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Options!$A$1:$L$34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Scenarios!$M$32:$R$34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60</xdr:row>
                <xdr:rowOff>12</xdr:rowOff>
              </xdr:from>
              <xdr:to>
                <xdr:col>10</xdr:col>
                <xdr:colOff>4</xdr:colOff>
                <xdr:row>63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<sst xmlns="http://schemas.openxmlformats.org/spreadsheetml/2006/main" count="1014" uniqueCount="509">
  <si>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</si>
  <si>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</si>
  <si>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</si>
  <si>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</si>
  <si>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</si>
  <si>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</si>
  <si>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</si>
  <si>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</si>
  <si>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</si>
  <si>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</si>
  <si>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</si>
  <si>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</si>
  <si>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</si>
  <si>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</si>
  <si>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</si>
  <si>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</si>
  <si>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</si>
  <si>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</si>
  <si>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</si>
  <si>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</si>
  <si>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</si>
  <si>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</si>
  <si>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</si>
  <si>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</si>
  <si>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</si>
  <si>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</si>
  <si>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</si>
  <si>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</si>
  <si>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</si>
  <si>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</si>
  <si>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</si>
  <si>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</si>
  <si>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</si>
  <si>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</si>
  <si>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</si>
  <si>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</si>
  <si>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</si>
  <si>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</si>
  <si>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</si>
  <si>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</si>
  <si>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</si>
  <si>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</si>
  <si>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</si>
  <si>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</si>
  <si>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</si>
  <si>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</si>
  <si>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</si>
  <si>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</si>
  <si>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</si>
  <si>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</si>
  <si>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</si>
  <si>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</si>
  <si>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</si>
  <si>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</si>
  <si>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</si>
  <si>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</si>
  <si>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</si>
  <si>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</si>
  <si>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</si>
  <si>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</si>
  <si>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</si>
  <si>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</si>
  <si>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</si>
  <si>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</si>
  <si>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</si>
  <si>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</si>
  <si>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</si>
  <si>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</si>
  <si>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</si>
  <si>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</si>
  <si>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</si>
  <si>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</si>
  <si>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</si>
  <si>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</si>
  <si>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</si>
  <si>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</si>
  <si>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</si>
  <si>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</si>
  <si>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</si>
  <si>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</si>
  <si>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</si>
  <si>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</si>
  <si>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</si>
  <si>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</si>
  <si>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</si>
  <si>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</si>
  <si>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</si>
  <si>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</si>
  <si>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</si>
  <si>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</si>
  <si>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</si>
  <si>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</si>
  <si>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</si>
  <si>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</si>
  <si>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</si>
  <si>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</si>
  <si>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</si>
  <si>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</si>
  <si>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</si>
  <si>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</si>
  <si>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</si>
  <si>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</si>
  <si>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</si>
  <si>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</si>
  <si>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</si>
  <si>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</si>
  <si>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</si>
  <si>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</si>
  <si>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</si>
  <si>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</si>
  <si>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</si>
  <si>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</si>
  <si>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</si>
  <si>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</si>
  <si>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</si>
  <si>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</si>
  <si>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</si>
  <si>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</si>
  <si>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</si>
  <si>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</si>
  <si>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</si>
  <si>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</si>
  <si>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</si>
  <si>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</si>
  <si>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</si>
  <si>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</si>
  <si>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</si>
  <si>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</si>
  <si>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</si>
  <si>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</si>
  <si>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</si>
  <si>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</si>
  <si>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</si>
  <si>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</si>
  <si>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</si>
  <si>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</si>
  <si>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</si>
  <si>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</si>
  <si>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</si>
  <si>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</si>
  <si>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</si>
  <si>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</si>
  <si>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</si>
  <si>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</si>
  <si>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</si>
  <si>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</si>
  <si>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</si>
  <si>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</si>
  <si>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</si>
  <si>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</si>
  <si>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</si>
  <si>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</si>
  <si>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</si>
  <si>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</si>
  <si>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</si>
  <si>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</si>
  <si>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</si>
  <si>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</si>
  <si>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</si>
  <si>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</si>
  <si>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</si>
  <si>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</si>
  <si>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</si>
  <si>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</si>
  <si>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</si>
  <si>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</si>
  <si>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</si>
  <si>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</si>
  <si>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</si>
  <si>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</si>
  <si>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</si>
  <si>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</si>
  <si>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</si>
  <si>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</si>
  <si>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</si>
  <si>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</si>
  <si>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</si>
  <si>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</si>
  <si>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</si>
  <si>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</si>
  <si>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</si>
  <si>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</si>
  <si>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</si>
  <si>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</si>
  <si>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</si>
  <si>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</si>
  <si>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</si>
  <si>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</si>
  <si>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</si>
  <si>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</si>
  <si>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</si>
  <si>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</si>
  <si>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</si>
  <si>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</si>
  <si>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</si>
  <si>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</si>
  <si>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</si>
  <si>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</si>
  <si>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</si>
  <si>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</si>
  <si>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</si>
  <si>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</si>
  <si>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</si>
  <si>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</si>
  <si>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</si>
  <si>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</si>
  <si>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</si>
  <si>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</si>
  <si>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</si>
  <si>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</si>
  <si>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</si>
  <si>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</si>
  <si>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</si>
  <si>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</si>
  <si>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</si>
  <si>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</si>
  <si>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</si>
  <si>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</si>
  <si>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</si>
  <si>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</si>
  <si>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</si>
  <si>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</si>
  <si>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</si>
  <si>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</si>
  <si>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</si>
  <si>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</si>
  <si>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</si>
  <si>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</si>
  <si>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</si>
  <si>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</si>
  <si>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Merchant Price Period </t>
  </si>
  <si>
    <t xml:space="preserve">Total Uses</t>
  </si>
  <si>
    <t xml:space="preserve">Project Cost Shift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</si>
  <si>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</si>
  <si>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</si>
  <si>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</si>
  <si>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</si>
  <si>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</si>
  <si>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</si>
  <si>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</si>
  <si>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</si>
  <si>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</si>
  <si>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</si>
  <si>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</si>
  <si>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</si>
  <si>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</si>
  <si>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</si>
  <si>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</si>
  <si>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</si>
  <si>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</si>
  <si>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</si>
  <si>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</si>
  <si>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</si>
  <si>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</si>
  <si>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</si>
  <si>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</si>
  <si>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</si>
  <si>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</si>
  <si>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</si>
  <si>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</si>
  <si>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</si>
  <si>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</si>
  <si>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</si>
  <si>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</si>
  <si>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</si>
  <si>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</si>
  <si>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</si>
  <si>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</si>
  <si>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</si>
  <si>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</si>
  <si>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</si>
  <si>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</si>
  <si>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</si>
  <si>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</si>
  <si>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</si>
  <si>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-10% Version</t>
  </si>
  <si>
    <t xml:space="preserve">Capacity Prices ($/kW-mo.) Base Version</t>
  </si>
  <si>
    <t xml:space="preserve">Capacity Prices ($/kW-mo.) +10% Version</t>
  </si>
  <si>
    <t xml:space="preserve">Capacity Prices ($/kW-mo.) New Version</t>
  </si>
  <si>
    <t xml:space="preserve">Spread Option Scenario on power curve shift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</si>
  <si>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</si>
  <si>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</si>
  <si>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</si>
  <si>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</si>
  <si>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</si>
  <si>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</si>
  <si>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</si>
  <si>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</si>
  <si>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Adj.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</si>
  <si>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</si>
  <si>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</si>
  <si>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</si>
  <si>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</si>
  <si>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</si>
  <si>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</si>
  <si>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Equity</t>
  </si>
  <si>
    <t xml:space="preserve">Debt/Equity = 60%/40% Scenario:</t>
  </si>
  <si>
    <t xml:space="preserve">Energy Payment ($/Mwh) Scenario</t>
  </si>
  <si>
    <t xml:space="preserve">Project Cost ($/Kw)</t>
  </si>
  <si>
    <t xml:space="preserve">$558/Kw</t>
  </si>
  <si>
    <t xml:space="preserve">$503/Kw (-10%)</t>
  </si>
  <si>
    <t xml:space="preserve">$447/Kw (-20%)</t>
  </si>
  <si>
    <t xml:space="preserve">Residual Value ($/kW)</t>
  </si>
  <si>
    <t xml:space="preserve">* With 12% IRR, 70% correlation and no curve shift</t>
  </si>
  <si>
    <t xml:space="preserve">IRR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</si>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</sst>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u val="single"/>
      <sz val="12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2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7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68915"/>
        <c:axId val="70020691"/>
      </c:lineChart>
      <c:catAx>
        <c:axId val="4668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20691"/>
        <c:crossesAt val="0"/>
        <c:auto val="1"/>
        <c:lblAlgn val="ctr"/>
        <c:lblOffset val="100"/>
        <c:noMultiLvlLbl val="0"/>
      </c:catAx>
      <c:valAx>
        <c:axId val="70020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89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373628"/>
        <c:axId val="54400777"/>
      </c:lineChart>
      <c:catAx>
        <c:axId val="143736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00777"/>
        <c:crossesAt val="0"/>
        <c:auto val="1"/>
        <c:lblAlgn val="ctr"/>
        <c:lblOffset val="100"/>
        <c:noMultiLvlLbl val="0"/>
      </c:catAx>
      <c:valAx>
        <c:axId val="54400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736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199800</xdr:rowOff>
        </xdr:from>
        <xdr:to>
          <xdr:col>8</xdr:col>
          <xdr:colOff>-28800</xdr:colOff>
          <xdr:row>58</xdr:row>
          <xdr:rowOff>199440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9360</xdr:rowOff>
        </xdr:from>
        <xdr:to>
          <xdr:col>9</xdr:col>
          <xdr:colOff>1440</xdr:colOff>
          <xdr:row>61</xdr:row>
          <xdr:rowOff>38160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5" t="str">
        <f aca="false">Assumptions!A3</f>
        <v>PROJECT NAME:  Retail Shorts</v>
      </c>
      <c r="C2" s="406"/>
      <c r="D2" s="403"/>
      <c r="E2" s="403"/>
      <c r="F2" s="407"/>
      <c r="G2" s="3"/>
      <c r="H2" s="3"/>
      <c r="I2" s="352"/>
      <c r="J2" s="352"/>
      <c r="K2" s="352"/>
      <c r="L2" s="407"/>
      <c r="M2" s="3"/>
      <c r="N2" s="3"/>
      <c r="O2" s="352"/>
      <c r="P2" s="352"/>
      <c r="Q2" s="352"/>
      <c r="R2" s="407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92"/>
      <c r="C3" s="406"/>
      <c r="D3" s="403"/>
      <c r="E3" s="403"/>
      <c r="F3" s="407"/>
      <c r="G3" s="3"/>
      <c r="H3" s="3"/>
      <c r="I3" s="352"/>
      <c r="J3" s="352"/>
      <c r="K3" s="352"/>
      <c r="L3" s="407"/>
      <c r="M3" s="3"/>
      <c r="N3" s="3"/>
      <c r="O3" s="352"/>
      <c r="P3" s="352"/>
      <c r="Q3" s="352"/>
      <c r="R3" s="407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9" t="s">
        <v>376</v>
      </c>
      <c r="B4" s="408" t="s">
        <v>377</v>
      </c>
      <c r="C4" s="406"/>
      <c r="D4" s="403"/>
      <c r="E4" s="403"/>
      <c r="F4" s="407"/>
      <c r="I4" s="406"/>
      <c r="J4" s="406"/>
      <c r="K4" s="406"/>
      <c r="L4" s="407"/>
      <c r="O4" s="406"/>
      <c r="P4" s="406"/>
      <c r="Q4" s="406"/>
      <c r="R4" s="407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10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0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2"/>
      <c r="BJ6" s="412"/>
      <c r="BK6" s="412"/>
      <c r="BL6" s="412"/>
      <c r="BM6" s="412"/>
      <c r="BN6" s="412"/>
      <c r="BO6" s="412"/>
      <c r="BP6" s="412"/>
      <c r="BQ6" s="412"/>
      <c r="BR6" s="412"/>
      <c r="BS6" s="412"/>
      <c r="BT6" s="412"/>
      <c r="BU6" s="412"/>
      <c r="BV6" s="412"/>
      <c r="BW6" s="412"/>
      <c r="BX6" s="412"/>
      <c r="BY6" s="412"/>
      <c r="BZ6" s="412"/>
      <c r="CA6" s="412"/>
      <c r="CB6" s="412"/>
      <c r="CC6" s="412"/>
      <c r="CD6" s="412"/>
      <c r="CE6" s="412"/>
      <c r="CF6" s="412"/>
      <c r="CG6" s="412"/>
      <c r="CH6" s="412"/>
      <c r="CI6" s="412"/>
      <c r="CJ6" s="412"/>
      <c r="CK6" s="412"/>
      <c r="CL6" s="412"/>
      <c r="CM6" s="412"/>
      <c r="CN6" s="412"/>
      <c r="CO6" s="412"/>
      <c r="CP6" s="412"/>
      <c r="CQ6" s="412"/>
      <c r="CR6" s="412"/>
      <c r="CS6" s="412"/>
      <c r="CT6" s="412"/>
      <c r="CU6" s="412"/>
      <c r="CV6" s="412"/>
      <c r="CW6" s="412"/>
      <c r="CX6" s="412"/>
      <c r="CY6" s="412"/>
      <c r="CZ6" s="412"/>
      <c r="DA6" s="412"/>
      <c r="DB6" s="412"/>
      <c r="DC6" s="412"/>
      <c r="DD6" s="412"/>
      <c r="DE6" s="412"/>
      <c r="DF6" s="412"/>
      <c r="DG6" s="412"/>
      <c r="DH6" s="412"/>
      <c r="DI6" s="412"/>
      <c r="DJ6" s="412"/>
      <c r="DK6" s="412"/>
      <c r="DL6" s="412"/>
      <c r="DM6" s="412"/>
      <c r="DN6" s="412"/>
      <c r="DO6" s="412"/>
      <c r="DP6" s="412"/>
      <c r="DQ6" s="412"/>
      <c r="DR6" s="412"/>
      <c r="DS6" s="412"/>
      <c r="DT6" s="412"/>
      <c r="DU6" s="412"/>
      <c r="DV6" s="412"/>
      <c r="DW6" s="412"/>
      <c r="DX6" s="412"/>
      <c r="DY6" s="412"/>
      <c r="DZ6" s="412"/>
      <c r="EA6" s="412"/>
      <c r="EB6" s="412"/>
      <c r="EC6" s="412"/>
      <c r="ED6" s="412"/>
      <c r="EE6" s="412"/>
      <c r="EF6" s="412"/>
      <c r="EG6" s="412"/>
      <c r="EH6" s="412"/>
      <c r="EI6" s="412"/>
      <c r="EJ6" s="412"/>
      <c r="EK6" s="412"/>
      <c r="EL6" s="412"/>
      <c r="EM6" s="412"/>
      <c r="EN6" s="412"/>
      <c r="EO6" s="412"/>
      <c r="EP6" s="412"/>
      <c r="EQ6" s="412"/>
      <c r="ER6" s="412"/>
      <c r="ES6" s="412"/>
      <c r="ET6" s="412"/>
      <c r="EU6" s="412"/>
      <c r="EV6" s="412"/>
      <c r="EW6" s="412"/>
      <c r="EX6" s="412"/>
      <c r="EY6" s="412"/>
      <c r="EZ6" s="412"/>
      <c r="FA6" s="412"/>
      <c r="FB6" s="412"/>
      <c r="FC6" s="412"/>
      <c r="FD6" s="412"/>
      <c r="FE6" s="412"/>
      <c r="FF6" s="412"/>
      <c r="FG6" s="412"/>
      <c r="FH6" s="412"/>
      <c r="FI6" s="412"/>
      <c r="FJ6" s="412"/>
      <c r="FK6" s="412"/>
      <c r="FL6" s="412"/>
      <c r="FM6" s="412"/>
      <c r="FN6" s="412"/>
      <c r="FO6" s="412"/>
      <c r="FP6" s="412"/>
      <c r="FQ6" s="412"/>
      <c r="FR6" s="412"/>
      <c r="FS6" s="412"/>
      <c r="FT6" s="412"/>
      <c r="FU6" s="412"/>
      <c r="FV6" s="412"/>
      <c r="FW6" s="412"/>
      <c r="FX6" s="412"/>
      <c r="FY6" s="412"/>
      <c r="FZ6" s="412"/>
      <c r="GA6" s="412"/>
      <c r="GB6" s="412"/>
      <c r="GC6" s="412"/>
      <c r="GD6" s="412"/>
      <c r="GE6" s="412"/>
      <c r="GF6" s="412"/>
      <c r="GG6" s="412"/>
      <c r="GH6" s="412"/>
      <c r="GI6" s="412"/>
      <c r="GJ6" s="412"/>
      <c r="GK6" s="412"/>
      <c r="GL6" s="412"/>
      <c r="GM6" s="412"/>
      <c r="GN6" s="412"/>
      <c r="GO6" s="412"/>
      <c r="GP6" s="412"/>
      <c r="GQ6" s="412"/>
      <c r="GR6" s="412"/>
      <c r="GS6" s="412"/>
      <c r="GT6" s="412"/>
      <c r="GU6" s="412"/>
      <c r="GV6" s="412"/>
      <c r="GW6" s="412"/>
      <c r="GX6" s="412"/>
      <c r="GY6" s="412"/>
      <c r="GZ6" s="412"/>
      <c r="HA6" s="412"/>
      <c r="HB6" s="412"/>
      <c r="HC6" s="412"/>
      <c r="HD6" s="412"/>
      <c r="HE6" s="412"/>
      <c r="HF6" s="412"/>
      <c r="HG6" s="412"/>
      <c r="HH6" s="412"/>
      <c r="HI6" s="412"/>
      <c r="HJ6" s="412"/>
      <c r="HK6" s="412"/>
      <c r="HL6" s="412"/>
      <c r="HM6" s="412"/>
      <c r="HN6" s="412"/>
      <c r="HO6" s="412"/>
      <c r="HP6" s="412"/>
      <c r="HQ6" s="412"/>
      <c r="HR6" s="412"/>
      <c r="HS6" s="412"/>
      <c r="HT6" s="412"/>
      <c r="HU6" s="412"/>
      <c r="HV6" s="412"/>
      <c r="HW6" s="412"/>
      <c r="HX6" s="412"/>
      <c r="HY6" s="412"/>
      <c r="HZ6" s="412"/>
      <c r="IA6" s="412"/>
      <c r="IB6" s="412"/>
      <c r="IC6" s="412"/>
      <c r="ID6" s="412"/>
      <c r="IE6" s="412"/>
      <c r="IF6" s="412"/>
      <c r="IG6" s="412"/>
      <c r="IH6" s="412"/>
      <c r="II6" s="412"/>
      <c r="IJ6" s="412"/>
      <c r="IK6" s="412"/>
      <c r="IL6" s="412"/>
      <c r="IM6" s="412"/>
      <c r="IN6" s="412"/>
      <c r="IO6" s="412"/>
      <c r="IP6" s="412"/>
      <c r="IQ6" s="412"/>
      <c r="IR6" s="412"/>
      <c r="IS6" s="412"/>
      <c r="IT6" s="412"/>
      <c r="IU6" s="412"/>
      <c r="IV6" s="412"/>
      <c r="IW6" s="412"/>
    </row>
    <row r="7" customFormat="false" ht="13.5" hidden="false" customHeight="false" outlineLevel="0" collapsed="false">
      <c r="A7" s="350" t="s">
        <v>311</v>
      </c>
      <c r="B7" s="413" t="n">
        <f aca="false">IS!C7</f>
        <v>2001</v>
      </c>
      <c r="C7" s="413" t="n">
        <f aca="false">B7+1</f>
        <v>2002</v>
      </c>
      <c r="D7" s="413" t="n">
        <f aca="false">C7+1</f>
        <v>2003</v>
      </c>
      <c r="E7" s="413" t="n">
        <f aca="false">D7+1</f>
        <v>2004</v>
      </c>
      <c r="F7" s="413" t="n">
        <f aca="false">E7+1</f>
        <v>2005</v>
      </c>
      <c r="G7" s="413" t="n">
        <f aca="false">F7+1</f>
        <v>2006</v>
      </c>
      <c r="H7" s="413" t="n">
        <f aca="false">G7+1</f>
        <v>2007</v>
      </c>
      <c r="I7" s="413" t="n">
        <f aca="false">H7+1</f>
        <v>2008</v>
      </c>
      <c r="J7" s="413" t="n">
        <f aca="false">I7+1</f>
        <v>2009</v>
      </c>
      <c r="K7" s="413" t="n">
        <f aca="false">J7+1</f>
        <v>2010</v>
      </c>
      <c r="L7" s="413" t="n">
        <f aca="false">K7+1</f>
        <v>2011</v>
      </c>
      <c r="M7" s="413" t="n">
        <f aca="false">L7+1</f>
        <v>2012</v>
      </c>
      <c r="N7" s="413" t="n">
        <f aca="false">M7+1</f>
        <v>2013</v>
      </c>
      <c r="O7" s="413" t="n">
        <f aca="false">N7+1</f>
        <v>2014</v>
      </c>
      <c r="P7" s="413" t="n">
        <f aca="false">O7+1</f>
        <v>2015</v>
      </c>
      <c r="Q7" s="413" t="n">
        <f aca="false">P7+1</f>
        <v>2016</v>
      </c>
      <c r="R7" s="413" t="n">
        <f aca="false">Q7+1</f>
        <v>2017</v>
      </c>
      <c r="S7" s="413" t="n">
        <f aca="false">R7+1</f>
        <v>2018</v>
      </c>
      <c r="T7" s="413" t="n">
        <f aca="false">S7+1</f>
        <v>2019</v>
      </c>
      <c r="U7" s="413" t="n">
        <f aca="false">T7+1</f>
        <v>2020</v>
      </c>
      <c r="V7" s="413" t="n">
        <f aca="false">U7+1</f>
        <v>2021</v>
      </c>
      <c r="W7" s="413" t="n">
        <f aca="false">V7+1</f>
        <v>2022</v>
      </c>
      <c r="X7" s="413" t="n">
        <f aca="false">W7+1</f>
        <v>2023</v>
      </c>
      <c r="Y7" s="413" t="n">
        <f aca="false">X7+1</f>
        <v>2024</v>
      </c>
      <c r="Z7" s="413" t="n">
        <f aca="false">Y7+1</f>
        <v>2025</v>
      </c>
      <c r="AA7" s="413" t="n">
        <f aca="false">Z7+1</f>
        <v>2026</v>
      </c>
      <c r="AB7" s="413" t="n">
        <f aca="false">AA7+1</f>
        <v>2027</v>
      </c>
      <c r="AC7" s="413" t="n">
        <f aca="false">AB7+1</f>
        <v>2028</v>
      </c>
      <c r="AD7" s="413" t="n">
        <f aca="false">AC7+1</f>
        <v>2029</v>
      </c>
      <c r="AE7" s="413" t="n">
        <f aca="false">AD7+1</f>
        <v>2030</v>
      </c>
      <c r="AF7" s="413" t="n">
        <f aca="false">AE7+1</f>
        <v>2031</v>
      </c>
      <c r="AG7" s="0"/>
      <c r="AH7" s="253"/>
    </row>
    <row r="8" customFormat="false" ht="12.75" hidden="false" customHeight="false" outlineLevel="0" collapsed="false">
      <c r="A8" s="414"/>
      <c r="B8" s="415" t="n">
        <f aca="false">IS!C8</f>
        <v>37256</v>
      </c>
      <c r="C8" s="415" t="n">
        <f aca="false">IS!D8</f>
        <v>37621</v>
      </c>
      <c r="D8" s="415" t="n">
        <f aca="false">IS!E8</f>
        <v>37986</v>
      </c>
      <c r="E8" s="415" t="n">
        <f aca="false">IS!F8</f>
        <v>38352</v>
      </c>
      <c r="F8" s="415" t="n">
        <f aca="false">IS!G8</f>
        <v>38717</v>
      </c>
      <c r="G8" s="415" t="n">
        <f aca="false">IS!H8</f>
        <v>39082</v>
      </c>
      <c r="H8" s="415" t="n">
        <f aca="false">IS!I8</f>
        <v>39447</v>
      </c>
      <c r="I8" s="415" t="n">
        <f aca="false">IS!J8</f>
        <v>39813</v>
      </c>
      <c r="J8" s="415" t="n">
        <f aca="false">IS!K8</f>
        <v>40178</v>
      </c>
      <c r="K8" s="415" t="n">
        <f aca="false">IS!L8</f>
        <v>40543</v>
      </c>
      <c r="L8" s="415" t="n">
        <f aca="false">IS!M8</f>
        <v>40908</v>
      </c>
      <c r="M8" s="415" t="n">
        <f aca="false">IS!N8</f>
        <v>41274</v>
      </c>
      <c r="N8" s="415" t="n">
        <f aca="false">IS!O8</f>
        <v>41639</v>
      </c>
      <c r="O8" s="415" t="n">
        <f aca="false">IS!P8</f>
        <v>42004</v>
      </c>
      <c r="P8" s="415" t="n">
        <f aca="false">IS!Q8</f>
        <v>42369</v>
      </c>
      <c r="Q8" s="415" t="n">
        <f aca="false">IS!R8</f>
        <v>42735</v>
      </c>
      <c r="R8" s="415" t="n">
        <f aca="false">IS!S8</f>
        <v>43100</v>
      </c>
      <c r="S8" s="415" t="n">
        <f aca="false">IS!T8</f>
        <v>43465</v>
      </c>
      <c r="T8" s="415" t="n">
        <f aca="false">IS!U8</f>
        <v>43830</v>
      </c>
      <c r="U8" s="415" t="n">
        <f aca="false">IS!V8</f>
        <v>44196</v>
      </c>
      <c r="V8" s="415" t="n">
        <f aca="false">IS!W8</f>
        <v>44561</v>
      </c>
      <c r="W8" s="415" t="n">
        <f aca="false">IS!X8</f>
        <v>44926</v>
      </c>
      <c r="X8" s="415" t="n">
        <f aca="false">IS!Y8</f>
        <v>45291</v>
      </c>
      <c r="Y8" s="415" t="n">
        <f aca="false">IS!Z8</f>
        <v>45657</v>
      </c>
      <c r="Z8" s="415" t="n">
        <f aca="false">IS!AA8</f>
        <v>46022</v>
      </c>
      <c r="AA8" s="415" t="n">
        <f aca="false">IS!AB8</f>
        <v>46387</v>
      </c>
      <c r="AB8" s="415" t="n">
        <f aca="false">IS!AC8</f>
        <v>46752</v>
      </c>
      <c r="AC8" s="415" t="n">
        <f aca="false">IS!AD8</f>
        <v>47118</v>
      </c>
      <c r="AD8" s="415" t="n">
        <f aca="false">IS!AE8</f>
        <v>47483</v>
      </c>
      <c r="AE8" s="415" t="n">
        <f aca="false">IS!AF8</f>
        <v>47848</v>
      </c>
      <c r="AF8" s="415" t="n">
        <f aca="false">IS!AG8</f>
        <v>48213</v>
      </c>
      <c r="AG8" s="0"/>
      <c r="AH8" s="253"/>
      <c r="AI8" s="416"/>
      <c r="AJ8" s="416"/>
      <c r="AK8" s="416"/>
      <c r="AL8" s="416"/>
      <c r="AM8" s="416"/>
      <c r="AN8" s="416"/>
      <c r="AO8" s="416"/>
      <c r="AP8" s="416"/>
      <c r="AQ8" s="416"/>
      <c r="AR8" s="416"/>
      <c r="AS8" s="416"/>
      <c r="AT8" s="416"/>
      <c r="AU8" s="416"/>
      <c r="AV8" s="416"/>
      <c r="AW8" s="416"/>
      <c r="AX8" s="416"/>
      <c r="AY8" s="416"/>
      <c r="AZ8" s="416"/>
      <c r="BA8" s="416"/>
      <c r="BB8" s="416"/>
      <c r="BC8" s="416"/>
      <c r="BD8" s="416"/>
      <c r="BE8" s="416"/>
      <c r="BF8" s="416"/>
      <c r="BG8" s="416"/>
      <c r="BH8" s="416"/>
      <c r="BI8" s="416"/>
      <c r="BJ8" s="416"/>
      <c r="BK8" s="416"/>
      <c r="BL8" s="416"/>
      <c r="BM8" s="416"/>
      <c r="BN8" s="416"/>
      <c r="BO8" s="416"/>
      <c r="BP8" s="416"/>
      <c r="BQ8" s="416"/>
      <c r="BR8" s="416"/>
      <c r="BS8" s="416"/>
      <c r="BT8" s="416"/>
      <c r="BU8" s="416"/>
      <c r="BV8" s="416"/>
      <c r="BW8" s="416"/>
      <c r="BX8" s="416"/>
      <c r="BY8" s="416"/>
      <c r="BZ8" s="416"/>
      <c r="CA8" s="416"/>
      <c r="CB8" s="416"/>
      <c r="CC8" s="416"/>
      <c r="CD8" s="416"/>
      <c r="CE8" s="416"/>
      <c r="CF8" s="416"/>
      <c r="CG8" s="416"/>
      <c r="CH8" s="416"/>
      <c r="CI8" s="416"/>
      <c r="CJ8" s="416"/>
      <c r="CK8" s="416"/>
      <c r="CL8" s="416"/>
      <c r="CM8" s="416"/>
      <c r="CN8" s="416"/>
      <c r="CO8" s="416"/>
      <c r="CP8" s="416"/>
      <c r="CQ8" s="416"/>
      <c r="CR8" s="416"/>
      <c r="CS8" s="416"/>
      <c r="CT8" s="416"/>
      <c r="CU8" s="416"/>
      <c r="CV8" s="416"/>
      <c r="CW8" s="416"/>
      <c r="CX8" s="416"/>
      <c r="CY8" s="416"/>
      <c r="CZ8" s="416"/>
      <c r="DA8" s="416"/>
      <c r="DB8" s="416"/>
      <c r="DC8" s="416"/>
      <c r="DD8" s="416"/>
      <c r="DE8" s="416"/>
      <c r="DF8" s="416"/>
      <c r="DG8" s="416"/>
      <c r="DH8" s="416"/>
      <c r="DI8" s="416"/>
      <c r="DJ8" s="416"/>
      <c r="DK8" s="416"/>
      <c r="DL8" s="416"/>
      <c r="DM8" s="416"/>
      <c r="DN8" s="416"/>
      <c r="DO8" s="416"/>
      <c r="DP8" s="416"/>
      <c r="DQ8" s="416"/>
      <c r="DR8" s="416"/>
      <c r="DS8" s="416"/>
      <c r="DT8" s="416"/>
      <c r="DU8" s="416"/>
      <c r="DV8" s="416"/>
      <c r="DW8" s="416"/>
      <c r="DX8" s="416"/>
      <c r="DY8" s="416"/>
      <c r="DZ8" s="416"/>
      <c r="EA8" s="416"/>
      <c r="EB8" s="416"/>
      <c r="EC8" s="416"/>
      <c r="ED8" s="416"/>
      <c r="EE8" s="416"/>
      <c r="EF8" s="416"/>
      <c r="EG8" s="416"/>
      <c r="EH8" s="416"/>
      <c r="EI8" s="416"/>
      <c r="EJ8" s="416"/>
      <c r="EK8" s="416"/>
      <c r="EL8" s="416"/>
      <c r="EM8" s="416"/>
      <c r="EN8" s="416"/>
      <c r="EO8" s="416"/>
      <c r="EP8" s="416"/>
      <c r="EQ8" s="416"/>
      <c r="ER8" s="416"/>
      <c r="ES8" s="416"/>
      <c r="ET8" s="416"/>
      <c r="EU8" s="416"/>
      <c r="EV8" s="416"/>
      <c r="EW8" s="416"/>
      <c r="EX8" s="416"/>
      <c r="EY8" s="416"/>
      <c r="EZ8" s="416"/>
      <c r="FA8" s="416"/>
      <c r="FB8" s="416"/>
      <c r="FC8" s="416"/>
      <c r="FD8" s="416"/>
      <c r="FE8" s="416"/>
      <c r="FF8" s="416"/>
      <c r="FG8" s="416"/>
      <c r="FH8" s="416"/>
      <c r="FI8" s="416"/>
      <c r="FJ8" s="416"/>
      <c r="FK8" s="416"/>
      <c r="FL8" s="416"/>
      <c r="FM8" s="416"/>
      <c r="FN8" s="416"/>
      <c r="FO8" s="416"/>
      <c r="FP8" s="416"/>
      <c r="FQ8" s="416"/>
      <c r="FR8" s="416"/>
      <c r="FS8" s="416"/>
      <c r="FT8" s="416"/>
      <c r="FU8" s="416"/>
      <c r="FV8" s="416"/>
      <c r="FW8" s="416"/>
      <c r="FX8" s="416"/>
      <c r="FY8" s="416"/>
      <c r="FZ8" s="416"/>
      <c r="GA8" s="416"/>
      <c r="GB8" s="416"/>
      <c r="GC8" s="416"/>
      <c r="GD8" s="416"/>
      <c r="GE8" s="416"/>
      <c r="GF8" s="416"/>
      <c r="GG8" s="416"/>
      <c r="GH8" s="416"/>
      <c r="GI8" s="416"/>
      <c r="GJ8" s="416"/>
      <c r="GK8" s="416"/>
      <c r="GL8" s="416"/>
      <c r="GM8" s="416"/>
      <c r="GN8" s="416"/>
      <c r="GO8" s="416"/>
      <c r="GP8" s="416"/>
      <c r="GQ8" s="416"/>
      <c r="GR8" s="416"/>
      <c r="GS8" s="416"/>
      <c r="GT8" s="416"/>
      <c r="GU8" s="416"/>
      <c r="GV8" s="416"/>
      <c r="GW8" s="416"/>
      <c r="GX8" s="416"/>
      <c r="GY8" s="416"/>
      <c r="GZ8" s="416"/>
      <c r="HA8" s="416"/>
      <c r="HB8" s="416"/>
      <c r="HC8" s="416"/>
      <c r="HD8" s="416"/>
      <c r="HE8" s="416"/>
      <c r="HF8" s="416"/>
      <c r="HG8" s="416"/>
      <c r="HH8" s="416"/>
      <c r="HI8" s="416"/>
      <c r="HJ8" s="416"/>
      <c r="HK8" s="416"/>
      <c r="HL8" s="416"/>
      <c r="HM8" s="416"/>
      <c r="HN8" s="416"/>
      <c r="HO8" s="416"/>
      <c r="HP8" s="416"/>
      <c r="HQ8" s="416"/>
      <c r="HR8" s="416"/>
      <c r="HS8" s="416"/>
      <c r="HT8" s="416"/>
      <c r="HU8" s="416"/>
      <c r="HV8" s="416"/>
      <c r="HW8" s="416"/>
      <c r="HX8" s="416"/>
      <c r="HY8" s="416"/>
      <c r="HZ8" s="416"/>
      <c r="IA8" s="416"/>
      <c r="IB8" s="416"/>
      <c r="IC8" s="416"/>
      <c r="ID8" s="416"/>
      <c r="IE8" s="416"/>
      <c r="IF8" s="416"/>
      <c r="IG8" s="416"/>
      <c r="IH8" s="416"/>
      <c r="II8" s="416"/>
      <c r="IJ8" s="416"/>
      <c r="IK8" s="416"/>
      <c r="IL8" s="416"/>
      <c r="IM8" s="416"/>
      <c r="IN8" s="416"/>
      <c r="IO8" s="416"/>
      <c r="IP8" s="416"/>
      <c r="IQ8" s="416"/>
      <c r="IR8" s="416"/>
      <c r="IS8" s="416"/>
      <c r="IT8" s="416"/>
      <c r="IU8" s="416"/>
      <c r="IV8" s="416"/>
      <c r="IW8" s="416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7" t="s">
        <v>378</v>
      </c>
      <c r="B11" s="418" t="n">
        <f aca="false">B29+B38</f>
        <v>9390.55756258683</v>
      </c>
      <c r="C11" s="418" t="n">
        <f aca="false">C29+C38</f>
        <v>19034.7317321786</v>
      </c>
      <c r="D11" s="418" t="n">
        <f aca="false">D29+D38</f>
        <v>18563.4301017416</v>
      </c>
      <c r="E11" s="418" t="n">
        <f aca="false">E29+E38</f>
        <v>19231.0924314137</v>
      </c>
      <c r="F11" s="418" t="n">
        <f aca="false">F29+F38</f>
        <v>19242.84534887</v>
      </c>
      <c r="G11" s="418" t="n">
        <f aca="false">G29+G38</f>
        <v>19112.9618928169</v>
      </c>
      <c r="H11" s="418" t="n">
        <f aca="false">H29+H38</f>
        <v>18551.3614488925</v>
      </c>
      <c r="I11" s="418" t="n">
        <f aca="false">I29+I38</f>
        <v>18376.4490328517</v>
      </c>
      <c r="J11" s="418" t="n">
        <f aca="false">J29+J38</f>
        <v>18079.7706396877</v>
      </c>
      <c r="K11" s="418" t="n">
        <f aca="false">K29+K38</f>
        <v>14311.4367048</v>
      </c>
      <c r="L11" s="418" t="n">
        <f aca="false">L29+L38</f>
        <v>1758.85468337</v>
      </c>
      <c r="M11" s="418" t="n">
        <f aca="false">M29+M38</f>
        <v>-2036.08354697919</v>
      </c>
      <c r="N11" s="418" t="n">
        <f aca="false">N29+N38</f>
        <v>-2076.78923551006</v>
      </c>
      <c r="O11" s="418" t="n">
        <f aca="false">O29+O38</f>
        <v>-2123.10930124417</v>
      </c>
      <c r="P11" s="419" t="n">
        <f aca="false">P29+P38</f>
        <v>-2169.51194519744</v>
      </c>
      <c r="Q11" s="418" t="n">
        <f aca="false">Q29+Q38</f>
        <v>-2218.95133042804</v>
      </c>
      <c r="R11" s="418" t="n">
        <f aca="false">R29+R38</f>
        <v>-2265.39616589658</v>
      </c>
      <c r="S11" s="418" t="n">
        <f aca="false">S29+S38</f>
        <v>-2318.00335589687</v>
      </c>
      <c r="T11" s="418" t="n">
        <f aca="false">T29+T38</f>
        <v>-2370.74417298474</v>
      </c>
      <c r="U11" s="418" t="n">
        <f aca="false">U29+U38</f>
        <v>-2426.84602083266</v>
      </c>
      <c r="V11" s="418" t="n">
        <f aca="false">V29+V38</f>
        <v>-2479.77491190557</v>
      </c>
      <c r="W11" s="418" t="n">
        <f aca="false">W29+W38</f>
        <v>-2539.53848333005</v>
      </c>
      <c r="X11" s="418" t="n">
        <f aca="false">X29+X38</f>
        <v>-2599.50140200699</v>
      </c>
      <c r="Y11" s="418" t="n">
        <f aca="false">Y29+Y38</f>
        <v>-2663.19123068886</v>
      </c>
      <c r="Z11" s="418" t="n">
        <f aca="false">Z29+Z38</f>
        <v>-2723.36873250961</v>
      </c>
      <c r="AA11" s="418" t="n">
        <f aca="false">AA29+AA38</f>
        <v>-2791.03107929384</v>
      </c>
      <c r="AB11" s="418" t="n">
        <f aca="false">AB29+AB38</f>
        <v>-2858.94226583292</v>
      </c>
      <c r="AC11" s="418" t="n">
        <f aca="false">AC29+AC38</f>
        <v>-2930.99256062299</v>
      </c>
      <c r="AD11" s="418" t="n">
        <f aca="false">AD29+AD38</f>
        <v>-2999.21459684144</v>
      </c>
      <c r="AE11" s="418" t="n">
        <f aca="false">AE29+AE38</f>
        <v>-3075.71457726684</v>
      </c>
      <c r="AF11" s="419" t="n">
        <f aca="false">AF29+AF38</f>
        <v>-3948.31700726605</v>
      </c>
      <c r="AG11" s="0"/>
      <c r="AN11" s="420" t="n">
        <f aca="false">IF(MONTH(C23)=MONTH(Assumptions!G34),1,2)</f>
        <v>1</v>
      </c>
    </row>
    <row r="12" customFormat="false" ht="12.75" hidden="false" customHeight="false" outlineLevel="0" collapsed="false">
      <c r="A12" s="421" t="s">
        <v>62</v>
      </c>
      <c r="B12" s="422" t="n">
        <v>1.5</v>
      </c>
      <c r="C12" s="422" t="n">
        <v>1.5</v>
      </c>
      <c r="D12" s="422" t="n">
        <v>1.5</v>
      </c>
      <c r="E12" s="422" t="n">
        <v>1.5</v>
      </c>
      <c r="F12" s="422" t="n">
        <v>1.5</v>
      </c>
      <c r="G12" s="422" t="n">
        <v>1.5</v>
      </c>
      <c r="H12" s="422" t="n">
        <v>1.5</v>
      </c>
      <c r="I12" s="422" t="n">
        <v>1.5</v>
      </c>
      <c r="J12" s="422" t="n">
        <v>1.5</v>
      </c>
      <c r="K12" s="422" t="n">
        <v>1.5</v>
      </c>
      <c r="L12" s="422" t="n">
        <v>1.5</v>
      </c>
      <c r="M12" s="422" t="n">
        <v>1.5</v>
      </c>
      <c r="N12" s="422" t="n">
        <v>1.5</v>
      </c>
      <c r="O12" s="422" t="n">
        <v>1.5</v>
      </c>
      <c r="P12" s="422" t="n">
        <v>1.5</v>
      </c>
      <c r="Q12" s="422" t="n">
        <v>1.5</v>
      </c>
      <c r="R12" s="422" t="n">
        <v>1.5</v>
      </c>
      <c r="S12" s="422" t="n">
        <v>1.5</v>
      </c>
      <c r="T12" s="422" t="n">
        <v>1.5</v>
      </c>
      <c r="U12" s="422" t="n">
        <v>1.5</v>
      </c>
      <c r="V12" s="422" t="n">
        <v>1.5</v>
      </c>
      <c r="W12" s="422" t="n">
        <v>1.5</v>
      </c>
      <c r="X12" s="422" t="n">
        <v>1.5</v>
      </c>
      <c r="Y12" s="422" t="n">
        <v>1.5</v>
      </c>
      <c r="Z12" s="422" t="n">
        <v>1.5</v>
      </c>
      <c r="AA12" s="422" t="n">
        <v>1.5</v>
      </c>
      <c r="AB12" s="422" t="n">
        <v>1.5</v>
      </c>
      <c r="AC12" s="422" t="n">
        <v>1.5</v>
      </c>
      <c r="AD12" s="422" t="n">
        <v>1.5</v>
      </c>
      <c r="AE12" s="422" t="n">
        <v>1.5</v>
      </c>
      <c r="AF12" s="422" t="n">
        <v>1.5</v>
      </c>
      <c r="AG12" s="0"/>
      <c r="AN12" s="420" t="n">
        <f aca="false">IF(AN11=1,6,15)</f>
        <v>6</v>
      </c>
    </row>
    <row r="13" customFormat="false" ht="12.75" hidden="false" customHeight="false" outlineLevel="0" collapsed="false">
      <c r="A13" s="423" t="s">
        <v>379</v>
      </c>
      <c r="B13" s="382" t="n">
        <f aca="false">B11/B12</f>
        <v>6260.37170839122</v>
      </c>
      <c r="C13" s="382" t="n">
        <f aca="false">C11/C12</f>
        <v>12689.8211547858</v>
      </c>
      <c r="D13" s="382" t="n">
        <f aca="false">D11/D12</f>
        <v>12375.6200678277</v>
      </c>
      <c r="E13" s="382" t="n">
        <f aca="false">E11/E12</f>
        <v>12820.7282876091</v>
      </c>
      <c r="F13" s="382" t="n">
        <f aca="false">F11/F12</f>
        <v>12828.5635659133</v>
      </c>
      <c r="G13" s="382" t="n">
        <f aca="false">G11/G12</f>
        <v>12741.9745952112</v>
      </c>
      <c r="H13" s="382" t="n">
        <f aca="false">H11/H12</f>
        <v>12367.5742992617</v>
      </c>
      <c r="I13" s="382" t="n">
        <f aca="false">I11/I12</f>
        <v>12250.9660219012</v>
      </c>
      <c r="J13" s="382" t="n">
        <f aca="false">J11/J12</f>
        <v>12053.1804264585</v>
      </c>
      <c r="K13" s="382" t="n">
        <f aca="false">K11/K12</f>
        <v>9540.95780319998</v>
      </c>
      <c r="L13" s="382" t="n">
        <f aca="false">L11/L12</f>
        <v>1172.56978891333</v>
      </c>
      <c r="M13" s="382" t="n">
        <f aca="false">M11/M12</f>
        <v>-1357.38903131946</v>
      </c>
      <c r="N13" s="382" t="n">
        <f aca="false">N11/N12</f>
        <v>-1384.52615700671</v>
      </c>
      <c r="O13" s="382" t="n">
        <f aca="false">O11/O12</f>
        <v>-1415.40620082945</v>
      </c>
      <c r="P13" s="424" t="n">
        <f aca="false">P11/P12</f>
        <v>-1446.34129679829</v>
      </c>
      <c r="Q13" s="382" t="n">
        <f aca="false">Q11/Q12</f>
        <v>-1479.30088695203</v>
      </c>
      <c r="R13" s="382" t="n">
        <f aca="false">R11/R12</f>
        <v>-1510.26411059772</v>
      </c>
      <c r="S13" s="382" t="n">
        <f aca="false">S11/S12</f>
        <v>-1545.33557059791</v>
      </c>
      <c r="T13" s="382" t="n">
        <f aca="false">T11/T12</f>
        <v>-1580.49611532316</v>
      </c>
      <c r="U13" s="382" t="n">
        <f aca="false">U11/U12</f>
        <v>-1617.89734722177</v>
      </c>
      <c r="V13" s="382" t="n">
        <f aca="false">V11/V12</f>
        <v>-1653.18327460371</v>
      </c>
      <c r="W13" s="382" t="n">
        <f aca="false">W11/W12</f>
        <v>-1693.02565555337</v>
      </c>
      <c r="X13" s="382" t="n">
        <f aca="false">X11/X12</f>
        <v>-1733.00093467133</v>
      </c>
      <c r="Y13" s="382" t="n">
        <f aca="false">Y11/Y12</f>
        <v>-1775.46082045924</v>
      </c>
      <c r="Z13" s="382" t="n">
        <f aca="false">Z11/Z12</f>
        <v>-1815.57915500641</v>
      </c>
      <c r="AA13" s="382" t="n">
        <f aca="false">AA11/AA12</f>
        <v>-1860.68738619589</v>
      </c>
      <c r="AB13" s="382" t="n">
        <f aca="false">AB11/AB12</f>
        <v>-1905.96151055528</v>
      </c>
      <c r="AC13" s="382" t="n">
        <f aca="false">AC11/AC12</f>
        <v>-1953.99504041532</v>
      </c>
      <c r="AD13" s="382" t="n">
        <f aca="false">AD11/AD12</f>
        <v>-1999.4763978943</v>
      </c>
      <c r="AE13" s="382" t="n">
        <f aca="false">AE11/AE12</f>
        <v>-2050.47638484456</v>
      </c>
      <c r="AF13" s="424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5"/>
      <c r="AG16" s="0"/>
    </row>
    <row r="17" customFormat="false" ht="12.75" hidden="false" customHeight="false" outlineLevel="0" collapsed="false">
      <c r="A17" s="7"/>
      <c r="B17" s="174"/>
      <c r="C17" s="425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3" t="s">
        <v>380</v>
      </c>
      <c r="B19" s="426" t="n">
        <f aca="false">Assumptions!C12</f>
        <v>62997.6990134759</v>
      </c>
      <c r="S19" s="180"/>
      <c r="AF19" s="265"/>
      <c r="AG19" s="0"/>
    </row>
    <row r="20" customFormat="false" ht="12.75" hidden="false" customHeight="false" outlineLevel="0" collapsed="false">
      <c r="A20" s="253" t="s">
        <v>381</v>
      </c>
      <c r="B20" s="427" t="n">
        <f aca="false">HLOOKUP(Assumptions!G34,B23:AF39,AN12)</f>
        <v>0</v>
      </c>
      <c r="AF20" s="425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3"/>
      <c r="B22" s="0"/>
      <c r="C22" s="7"/>
      <c r="AG22" s="0"/>
    </row>
    <row r="23" customFormat="false" ht="12.75" hidden="false" customHeight="false" outlineLevel="0" collapsed="false">
      <c r="A23" s="0"/>
      <c r="B23" s="428" t="n">
        <v>36982</v>
      </c>
      <c r="C23" s="428" t="n">
        <v>37347</v>
      </c>
      <c r="D23" s="428" t="n">
        <v>37712</v>
      </c>
      <c r="E23" s="428" t="n">
        <v>38078</v>
      </c>
      <c r="F23" s="428" t="n">
        <v>38443</v>
      </c>
      <c r="G23" s="428" t="n">
        <v>38808</v>
      </c>
      <c r="H23" s="428" t="n">
        <v>39173</v>
      </c>
      <c r="I23" s="428" t="n">
        <v>39539</v>
      </c>
      <c r="J23" s="428" t="n">
        <v>39904</v>
      </c>
      <c r="K23" s="428" t="n">
        <v>40269</v>
      </c>
      <c r="L23" s="428" t="n">
        <v>40634</v>
      </c>
      <c r="M23" s="428" t="n">
        <v>41000</v>
      </c>
      <c r="N23" s="428" t="n">
        <v>41365</v>
      </c>
      <c r="O23" s="428" t="n">
        <v>41730</v>
      </c>
      <c r="P23" s="428" t="n">
        <v>42095</v>
      </c>
      <c r="Q23" s="428" t="n">
        <v>42461</v>
      </c>
      <c r="R23" s="428" t="n">
        <v>42826</v>
      </c>
      <c r="S23" s="428" t="n">
        <v>43191</v>
      </c>
      <c r="T23" s="428" t="n">
        <v>43556</v>
      </c>
      <c r="U23" s="428" t="n">
        <v>43922</v>
      </c>
      <c r="V23" s="428" t="n">
        <v>44287</v>
      </c>
      <c r="W23" s="428" t="n">
        <v>44652</v>
      </c>
      <c r="X23" s="428" t="n">
        <v>45017</v>
      </c>
      <c r="Y23" s="428" t="n">
        <v>45383</v>
      </c>
      <c r="Z23" s="428" t="n">
        <v>45748</v>
      </c>
      <c r="AA23" s="428" t="n">
        <v>46113</v>
      </c>
      <c r="AB23" s="428" t="n">
        <v>46478</v>
      </c>
      <c r="AC23" s="428" t="n">
        <v>46844</v>
      </c>
      <c r="AD23" s="428" t="n">
        <v>47209</v>
      </c>
      <c r="AE23" s="428" t="n">
        <v>47574</v>
      </c>
      <c r="AF23" s="428" t="n">
        <v>47939</v>
      </c>
      <c r="AG23" s="429" t="n">
        <v>47969</v>
      </c>
    </row>
    <row r="24" customFormat="false" ht="12.75" hidden="false" customHeight="false" outlineLevel="0" collapsed="false">
      <c r="A24" s="430" t="s">
        <v>367</v>
      </c>
      <c r="B24" s="0"/>
      <c r="C24" s="430" t="n">
        <f aca="false">B45</f>
        <v>58980.407594394</v>
      </c>
      <c r="D24" s="430" t="n">
        <f aca="false">C45</f>
        <v>51139.1641875841</v>
      </c>
      <c r="E24" s="430" t="n">
        <f aca="false">D45</f>
        <v>42939.0400728057</v>
      </c>
      <c r="F24" s="430" t="n">
        <f aca="false">E45</f>
        <v>33575.8402356447</v>
      </c>
      <c r="G24" s="430" t="n">
        <f aca="false">F45</f>
        <v>23386.4882260829</v>
      </c>
      <c r="H24" s="430" t="n">
        <f aca="false">G45</f>
        <v>12403.0978699394</v>
      </c>
      <c r="I24" s="430" t="n">
        <f aca="false">H45</f>
        <v>848.658833120386</v>
      </c>
      <c r="J24" s="430" t="n">
        <f aca="false">I45</f>
        <v>0</v>
      </c>
      <c r="K24" s="430" t="n">
        <f aca="false">J45</f>
        <v>0</v>
      </c>
      <c r="L24" s="430" t="n">
        <f aca="false">K45</f>
        <v>0</v>
      </c>
      <c r="M24" s="430" t="n">
        <f aca="false">L45</f>
        <v>0</v>
      </c>
      <c r="N24" s="430" t="n">
        <f aca="false">M45</f>
        <v>1386.233548235</v>
      </c>
      <c r="O24" s="430" t="n">
        <f aca="false">N45</f>
        <v>2920.51152425889</v>
      </c>
      <c r="P24" s="430" t="n">
        <f aca="false">O45</f>
        <v>4619.59612454835</v>
      </c>
      <c r="Q24" s="430" t="n">
        <f aca="false">P45</f>
        <v>6497.76613215973</v>
      </c>
      <c r="R24" s="430" t="n">
        <f aca="false">Q45</f>
        <v>8572.94109135459</v>
      </c>
      <c r="S24" s="430" t="n">
        <f aca="false">R45</f>
        <v>10859.053455767</v>
      </c>
      <c r="T24" s="430" t="n">
        <f aca="false">S45</f>
        <v>13379.9509372257</v>
      </c>
      <c r="U24" s="430" t="n">
        <f aca="false">T45</f>
        <v>16155.5877948249</v>
      </c>
      <c r="V24" s="430" t="n">
        <f aca="false">U45</f>
        <v>19211.2466346099</v>
      </c>
      <c r="W24" s="430" t="n">
        <f aca="false">V45</f>
        <v>22566.1525628676</v>
      </c>
      <c r="X24" s="430" t="n">
        <f aca="false">W45</f>
        <v>26254.1363551246</v>
      </c>
      <c r="Y24" s="430" t="n">
        <f aca="false">X45</f>
        <v>30303.0872215741</v>
      </c>
      <c r="Z24" s="430" t="n">
        <f aca="false">Y45</f>
        <v>34748.6030995381</v>
      </c>
      <c r="AA24" s="430" t="n">
        <f aca="false">Z45</f>
        <v>39617.1667460974</v>
      </c>
      <c r="AB24" s="430" t="n">
        <f aca="false">AA45</f>
        <v>44956.5192106685</v>
      </c>
      <c r="AC24" s="430" t="n">
        <f aca="false">AB45</f>
        <v>50805.5996030512</v>
      </c>
      <c r="AD24" s="430" t="n">
        <f aca="false">AC45</f>
        <v>57214.4273378237</v>
      </c>
      <c r="AE24" s="430" t="n">
        <f aca="false">AD45</f>
        <v>64219.6241708922</v>
      </c>
      <c r="AF24" s="430" t="n">
        <f aca="false">AE45</f>
        <v>71888.4564359663</v>
      </c>
      <c r="AG24" s="0"/>
    </row>
    <row r="25" customFormat="false" ht="12.75" hidden="false" customHeight="false" outlineLevel="0" collapsed="false">
      <c r="A25" s="430" t="s">
        <v>382</v>
      </c>
      <c r="B25" s="0"/>
      <c r="C25" s="431" t="n">
        <v>0</v>
      </c>
      <c r="D25" s="431" t="n">
        <v>0</v>
      </c>
      <c r="E25" s="431" t="n">
        <v>0</v>
      </c>
      <c r="F25" s="431" t="n">
        <v>0</v>
      </c>
      <c r="G25" s="431" t="n">
        <v>0</v>
      </c>
      <c r="H25" s="431" t="n">
        <v>0</v>
      </c>
      <c r="I25" s="431" t="n">
        <v>0</v>
      </c>
      <c r="J25" s="431" t="n">
        <v>0</v>
      </c>
      <c r="K25" s="431" t="n">
        <v>0</v>
      </c>
      <c r="L25" s="431" t="n">
        <v>0</v>
      </c>
      <c r="M25" s="431" t="n">
        <v>0</v>
      </c>
      <c r="N25" s="431" t="n">
        <v>0</v>
      </c>
      <c r="O25" s="431" t="n">
        <v>0</v>
      </c>
      <c r="P25" s="431" t="n">
        <v>0</v>
      </c>
      <c r="Q25" s="431" t="n">
        <v>0</v>
      </c>
      <c r="R25" s="431" t="n">
        <v>0</v>
      </c>
      <c r="S25" s="431" t="n">
        <v>0</v>
      </c>
      <c r="T25" s="431" t="n">
        <v>0</v>
      </c>
      <c r="U25" s="431" t="n">
        <v>0</v>
      </c>
      <c r="V25" s="431" t="n">
        <v>0</v>
      </c>
      <c r="W25" s="431" t="n">
        <v>0</v>
      </c>
      <c r="X25" s="431" t="n">
        <v>0</v>
      </c>
      <c r="Y25" s="431" t="n">
        <v>0</v>
      </c>
      <c r="Z25" s="431" t="n">
        <v>0</v>
      </c>
      <c r="AA25" s="431" t="n">
        <v>0</v>
      </c>
      <c r="AB25" s="431" t="n">
        <v>0</v>
      </c>
      <c r="AC25" s="431" t="n">
        <v>0</v>
      </c>
      <c r="AD25" s="431" t="n">
        <v>0</v>
      </c>
      <c r="AE25" s="431" t="n">
        <v>0</v>
      </c>
      <c r="AF25" s="431" t="n">
        <v>0</v>
      </c>
      <c r="AG25" s="0"/>
    </row>
    <row r="26" customFormat="false" ht="12.75" hidden="false" customHeight="false" outlineLevel="0" collapsed="false">
      <c r="A26" s="430" t="s">
        <v>383</v>
      </c>
      <c r="B26" s="0"/>
      <c r="C26" s="430" t="n">
        <f aca="false">C24-C28</f>
        <v>3845.96634617342</v>
      </c>
      <c r="D26" s="430" t="n">
        <f aca="false">D24-D28</f>
        <v>4020.35011615517</v>
      </c>
      <c r="E26" s="430" t="n">
        <f aca="false">E24-E28</f>
        <v>4582.96872561216</v>
      </c>
      <c r="F26" s="430" t="n">
        <f aca="false">F24-F28</f>
        <v>4993.16216467083</v>
      </c>
      <c r="G26" s="430" t="n">
        <f aca="false">G24-G28</f>
        <v>5379.78463224259</v>
      </c>
      <c r="H26" s="430" t="n">
        <f aca="false">H24-H28</f>
        <v>5658.09968648573</v>
      </c>
      <c r="I26" s="430" t="n">
        <f aca="false">I24-I28</f>
        <v>848.658833120386</v>
      </c>
      <c r="J26" s="430" t="n">
        <f aca="false">J24-J28</f>
        <v>0</v>
      </c>
      <c r="K26" s="430" t="n">
        <f aca="false">K24-K28</f>
        <v>0</v>
      </c>
      <c r="L26" s="430" t="n">
        <f aca="false">L24-L28</f>
        <v>0</v>
      </c>
      <c r="M26" s="430" t="n">
        <f aca="false">M24-M28</f>
        <v>-678.694515659728</v>
      </c>
      <c r="N26" s="430" t="n">
        <f aca="false">N24-N28</f>
        <v>-750.936329182911</v>
      </c>
      <c r="O26" s="430" t="n">
        <f aca="false">O24-O28</f>
        <v>-831.484780634683</v>
      </c>
      <c r="P26" s="430" t="n">
        <f aca="false">P24-P28</f>
        <v>-918.965585513565</v>
      </c>
      <c r="Q26" s="430" t="n">
        <f aca="false">Q24-Q28</f>
        <v>-1016.18173151276</v>
      </c>
      <c r="R26" s="430" t="n">
        <f aca="false">R24-R28</f>
        <v>-1117.98745030395</v>
      </c>
      <c r="S26" s="430" t="n">
        <f aca="false">S24-S28</f>
        <v>-1232.91314683516</v>
      </c>
      <c r="T26" s="430" t="n">
        <f aca="false">T24-T28</f>
        <v>-1357.33803300098</v>
      </c>
      <c r="U26" s="430" t="n">
        <f aca="false">U24-U28</f>
        <v>-1496.4965802341</v>
      </c>
      <c r="V26" s="430" t="n">
        <f aca="false">V24-V28</f>
        <v>-1639.72034212539</v>
      </c>
      <c r="W26" s="430" t="n">
        <f aca="false">W24-W28</f>
        <v>-1802.94674598918</v>
      </c>
      <c r="X26" s="430" t="n">
        <f aca="false">X24-X28</f>
        <v>-1979.24427394876</v>
      </c>
      <c r="Y26" s="430" t="n">
        <f aca="false">Y24-Y28</f>
        <v>-2177.36619742692</v>
      </c>
      <c r="Z26" s="430" t="n">
        <f aca="false">Z24-Z28</f>
        <v>-2378.54715873437</v>
      </c>
      <c r="AA26" s="430" t="n">
        <f aca="false">AA24-AA28</f>
        <v>-2609.46032203528</v>
      </c>
      <c r="AB26" s="430" t="n">
        <f aca="false">AB24-AB28</f>
        <v>-2858.39815853528</v>
      </c>
      <c r="AC26" s="430" t="n">
        <f aca="false">AC24-AC28</f>
        <v>-3139.17720041743</v>
      </c>
      <c r="AD26" s="430" t="n">
        <f aca="false">AD24-AD28</f>
        <v>-3421.37663206225</v>
      </c>
      <c r="AE26" s="430" t="n">
        <f aca="false">AE24-AE28</f>
        <v>-3747.09459221323</v>
      </c>
      <c r="AF26" s="430" t="n">
        <f aca="false">AF24-AF28</f>
        <v>-4362.99449392264</v>
      </c>
      <c r="AG26" s="0"/>
    </row>
    <row r="27" customFormat="false" ht="12.75" hidden="false" customHeight="false" outlineLevel="0" collapsed="false">
      <c r="A27" s="430" t="s">
        <v>384</v>
      </c>
      <c r="B27" s="0"/>
      <c r="C27" s="432" t="n">
        <f aca="false">C24*(C23-B41)/(C41-B41)*$E$64</f>
        <v>1249.89987052778</v>
      </c>
      <c r="D27" s="432" t="n">
        <f aca="false">D24*(D23-C41)/(D41-C41)*$E$64</f>
        <v>1083.72995887935</v>
      </c>
      <c r="E27" s="432" t="n">
        <f aca="false">E24*(E23-D41)/(E41-D41)*$E$64</f>
        <v>917.440692265957</v>
      </c>
      <c r="F27" s="432" t="n">
        <f aca="false">F24*(F23-E41)/(F41-E41)*$E$64</f>
        <v>711.531847185511</v>
      </c>
      <c r="G27" s="432" t="n">
        <f aca="false">G24*(G23-F41)/(G41-F41)*$E$64</f>
        <v>495.601332681511</v>
      </c>
      <c r="H27" s="432" t="n">
        <f aca="false">H24*(H23-G41)/(H41-G41)*$E$64</f>
        <v>262.84373157255</v>
      </c>
      <c r="I27" s="432" t="n">
        <f aca="false">I24*(I23-H41)/(I41-H41)*$E$64</f>
        <v>18.1325466530093</v>
      </c>
      <c r="J27" s="432" t="n">
        <f aca="false">J24*(J23-I41)/(J41-I41)*$E$64</f>
        <v>0</v>
      </c>
      <c r="K27" s="432" t="n">
        <f aca="false">K24*(K23-J41)/(K41-J41)*$E$64</f>
        <v>0</v>
      </c>
      <c r="L27" s="432" t="n">
        <f aca="false">L24*(L23-K41)/(L41-K41)*$E$64</f>
        <v>0</v>
      </c>
      <c r="M27" s="432" t="n">
        <f aca="false">M24*(M23-L41)/(M41-L41)*$E$64</f>
        <v>0</v>
      </c>
      <c r="N27" s="432" t="n">
        <f aca="false">N24*(N23-M41)/(N41-M41)*$E$64</f>
        <v>29.3767575221854</v>
      </c>
      <c r="O27" s="432" t="n">
        <f aca="false">O24*(O23-N41)/(O41-N41)*$E$64</f>
        <v>61.8908401099796</v>
      </c>
      <c r="P27" s="432" t="n">
        <f aca="false">P24*(P23-O41)/(P41-O41)*$E$64</f>
        <v>97.8974685572096</v>
      </c>
      <c r="Q27" s="432" t="n">
        <f aca="false">Q24*(Q23-P41)/(Q41-P41)*$E$64</f>
        <v>138.832052331937</v>
      </c>
      <c r="R27" s="432" t="n">
        <f aca="false">R24*(R23-Q41)/(R41-Q41)*$E$64</f>
        <v>181.675888607199</v>
      </c>
      <c r="S27" s="432" t="n">
        <f aca="false">S24*(S23-R41)/(S41-R41)*$E$64</f>
        <v>230.122680768103</v>
      </c>
      <c r="T27" s="432" t="n">
        <f aca="false">T24*(T23-S41)/(T41-S41)*$E$64</f>
        <v>283.544987669701</v>
      </c>
      <c r="U27" s="432" t="n">
        <f aca="false">U24*(U23-T41)/(U41-T41)*$E$64</f>
        <v>345.18223102604</v>
      </c>
      <c r="V27" s="432" t="n">
        <f aca="false">V24*(V23-U41)/(V41-U41)*$E$64</f>
        <v>407.120527996459</v>
      </c>
      <c r="W27" s="432" t="n">
        <f aca="false">W24*(W23-V41)/(W41-V41)*$E$64</f>
        <v>478.216959106249</v>
      </c>
      <c r="X27" s="432" t="n">
        <f aca="false">X24*(X23-W41)/(X41-W41)*$E$64</f>
        <v>556.371903306545</v>
      </c>
      <c r="Y27" s="432" t="n">
        <f aca="false">Y24*(Y23-X41)/(Y41-X41)*$E$64</f>
        <v>647.459404570244</v>
      </c>
      <c r="Z27" s="432" t="n">
        <f aca="false">Z24*(Z23-Y41)/(Z41-Y41)*$E$64</f>
        <v>736.384780753226</v>
      </c>
      <c r="AA27" s="432" t="n">
        <f aca="false">AA24*(AA23-Z41)/(AA41-Z41)*$E$64</f>
        <v>839.558314468668</v>
      </c>
      <c r="AB27" s="432" t="n">
        <f aca="false">AB24*(AB23-AA41)/(AB41-AA41)*$E$64</f>
        <v>952.708701628824</v>
      </c>
      <c r="AC27" s="432" t="n">
        <f aca="false">AC24*(AC23-AB41)/(AC41-AB41)*$E$64</f>
        <v>1085.51854889579</v>
      </c>
      <c r="AD27" s="432" t="n">
        <f aca="false">AD24*(AD23-AC41)/(AD41-AC41)*$E$64</f>
        <v>1212.4756039947</v>
      </c>
      <c r="AE27" s="432" t="n">
        <f aca="false">AE24*(AE23-AD41)/(AE41-AD41)*$E$64</f>
        <v>1360.92819989548</v>
      </c>
      <c r="AF27" s="432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30" t="s">
        <v>371</v>
      </c>
      <c r="B28" s="0"/>
      <c r="C28" s="433" t="n">
        <f aca="false">MAX(C24+C25+B44+C27-0.5*C13,0)</f>
        <v>55134.4412482206</v>
      </c>
      <c r="D28" s="433" t="n">
        <f aca="false">MAX(D24+D25+C44+D27-0.5*D13,0)</f>
        <v>47118.8140714289</v>
      </c>
      <c r="E28" s="433" t="n">
        <f aca="false">MAX(E24+E25+D44+E27-0.5*E13,0)</f>
        <v>38356.0713471935</v>
      </c>
      <c r="F28" s="433" t="n">
        <f aca="false">MAX(F24+F25+E44+F27-0.5*F13,0)</f>
        <v>28582.6780709739</v>
      </c>
      <c r="G28" s="433" t="n">
        <f aca="false">MAX(G24+G25+F44+G27-0.5*G13,0)</f>
        <v>18006.7035938404</v>
      </c>
      <c r="H28" s="433" t="n">
        <f aca="false">MAX(H24+H25+G44+H27-0.5*H13,0)</f>
        <v>6744.99818345362</v>
      </c>
      <c r="I28" s="433" t="n">
        <f aca="false">MAX(I24+I25+H44+I27-0.5*I13,0)</f>
        <v>0</v>
      </c>
      <c r="J28" s="433" t="n">
        <f aca="false">MAX(J24+J25+I44+J27-0.5*J13,0)</f>
        <v>0</v>
      </c>
      <c r="K28" s="433" t="n">
        <f aca="false">MAX(K24+K25+J44+K27-0.5*K13,0)</f>
        <v>0</v>
      </c>
      <c r="L28" s="433" t="n">
        <f aca="false">MAX(L24+L25+K44+L27-0.5*L13,0)</f>
        <v>0</v>
      </c>
      <c r="M28" s="433" t="n">
        <f aca="false">MAX(M24+M25+L44+M27-0.5*M13,0)</f>
        <v>678.694515659728</v>
      </c>
      <c r="N28" s="433" t="n">
        <f aca="false">MAX(N24+N25+M44+N27-0.5*N13,0)</f>
        <v>2137.16987741791</v>
      </c>
      <c r="O28" s="433" t="n">
        <f aca="false">MAX(O24+O25+N44+O27-0.5*O13,0)</f>
        <v>3751.99630489358</v>
      </c>
      <c r="P28" s="433" t="n">
        <f aca="false">MAX(P24+P25+O44+P27-0.5*P13,0)</f>
        <v>5538.56171006192</v>
      </c>
      <c r="Q28" s="433" t="n">
        <f aca="false">MAX(Q24+Q25+P44+Q27-0.5*Q13,0)</f>
        <v>7513.94786367249</v>
      </c>
      <c r="R28" s="433" t="n">
        <f aca="false">MAX(R24+R25+Q44+R27-0.5*R13,0)</f>
        <v>9690.92854165853</v>
      </c>
      <c r="S28" s="433" t="n">
        <f aca="false">MAX(S24+S25+R44+S27-0.5*S13,0)</f>
        <v>12091.9666026021</v>
      </c>
      <c r="T28" s="433" t="n">
        <f aca="false">MAX(T24+T25+S44+T27-0.5*T13,0)</f>
        <v>14737.2889702267</v>
      </c>
      <c r="U28" s="433" t="n">
        <f aca="false">MAX(U24+U25+T44+U27-0.5*U13,0)</f>
        <v>17652.084375059</v>
      </c>
      <c r="V28" s="433" t="n">
        <f aca="false">MAX(V24+V25+U44+V27-0.5*V13,0)</f>
        <v>20850.9669767353</v>
      </c>
      <c r="W28" s="433" t="n">
        <f aca="false">MAX(W24+W25+V44+W27-0.5*W13,0)</f>
        <v>24369.0993088568</v>
      </c>
      <c r="X28" s="433" t="n">
        <f aca="false">MAX(X24+X25+W44+X27-0.5*X13,0)</f>
        <v>28233.3806290734</v>
      </c>
      <c r="Y28" s="433" t="n">
        <f aca="false">MAX(Y24+Y25+X44+Y27-0.5*Y13,0)</f>
        <v>32480.453419001</v>
      </c>
      <c r="Z28" s="433" t="n">
        <f aca="false">MAX(Z24+Z25+Y44+Z27-0.5*Z13,0)</f>
        <v>37127.1502582725</v>
      </c>
      <c r="AA28" s="433" t="n">
        <f aca="false">MAX(AA24+AA25+Z44+AA27-0.5*AA13,0)</f>
        <v>42226.6270681327</v>
      </c>
      <c r="AB28" s="433" t="n">
        <f aca="false">MAX(AB24+AB25+AA44+AB27-0.5*AB13,0)</f>
        <v>47814.9173692038</v>
      </c>
      <c r="AC28" s="433" t="n">
        <f aca="false">MAX(AC24+AC25+AB44+AC27-0.5*AC13,0)</f>
        <v>53944.7768034686</v>
      </c>
      <c r="AD28" s="433" t="n">
        <f aca="false">MAX(AD24+AD25+AC44+AD27-0.5*AD13,0)</f>
        <v>60635.8039698859</v>
      </c>
      <c r="AE28" s="433" t="n">
        <f aca="false">MAX(AE24+AE25+AD44+AE27-0.5*AE13,0)</f>
        <v>67966.7187631054</v>
      </c>
      <c r="AF28" s="433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30" t="s">
        <v>385</v>
      </c>
      <c r="B29" s="0"/>
      <c r="C29" s="433" t="n">
        <f aca="false">(C23-B41)/(C41-B41)*IS!D30+(B41-B32)/(B41-Assumptions!H17)*IS!C30</f>
        <v>10052.037712821</v>
      </c>
      <c r="D29" s="433" t="n">
        <f aca="false">(D23-C41)/(D41-C41)*IS!E30+(C41-C32)/(C41-B41)*IS!D30</f>
        <v>9148.53027379574</v>
      </c>
      <c r="E29" s="433" t="n">
        <f aca="false">(E23-D41)/(E41-D41)*IS!F30+(D41-D32)/(D41-C41)*IS!E30</f>
        <v>9549.15050193867</v>
      </c>
      <c r="F29" s="433" t="n">
        <f aca="false">(F23-E41)/(F41-E41)*IS!G30+(E41-E32)/(E41-D41)*IS!F30</f>
        <v>9606.40745375691</v>
      </c>
      <c r="G29" s="433" t="n">
        <f aca="false">(G23-F41)/(G41-F41)*IS!H30+(F41-F32)/(F41-E41)*IS!G30</f>
        <v>9548.15832372855</v>
      </c>
      <c r="H29" s="433" t="n">
        <f aca="false">(H23-G41)/(H41-G41)*IS!I30+(G41-G32)/(G41-F41)*IS!H30</f>
        <v>9337.85042567975</v>
      </c>
      <c r="I29" s="433" t="n">
        <f aca="false">(I23-H41)/(I41-H41)*IS!J30+(H41-H32)/(H41-G41)*IS!I30</f>
        <v>9196.59205139898</v>
      </c>
      <c r="J29" s="433" t="n">
        <f aca="false">(J23-I41)/(J41-I41)*IS!K30+(I41-I32)/(I41-H41)*IS!J30</f>
        <v>9053.37997636418</v>
      </c>
      <c r="K29" s="433" t="n">
        <f aca="false">(K23-J41)/(K41-J41)*IS!L30+(J41-J32)/(J41-I41)*IS!K30</f>
        <v>7750.88427189504</v>
      </c>
      <c r="L29" s="433" t="n">
        <f aca="false">(L23-K41)/(L41-K41)*IS!M30+(K41-K32)/(K41-J41)*IS!L30</f>
        <v>2763.0147721935</v>
      </c>
      <c r="M29" s="433" t="n">
        <f aca="false">(M23-L41)/(M41-L41)*IS!N30+(L41-L32)/(L41-K41)*IS!M30</f>
        <v>-1013.44819783645</v>
      </c>
      <c r="N29" s="433" t="n">
        <f aca="false">(N23-M41)/(N41-M41)*IS!O30+(M41-M32)/(M41-L41)*IS!N30</f>
        <v>-1029.37093869856</v>
      </c>
      <c r="O29" s="433" t="n">
        <f aca="false">(O23-N41)/(O41-N41)*IS!P30+(N41-N32)/(N41-M41)*IS!O30</f>
        <v>-1052.98544314988</v>
      </c>
      <c r="P29" s="433" t="n">
        <f aca="false">(P23-O41)/(P41-O41)*IS!Q30+(O41-O32)/(O41-N41)*IS!P30</f>
        <v>-1075.93743831952</v>
      </c>
      <c r="Q29" s="433" t="n">
        <f aca="false">(Q23-P41)/(Q41-P41)*IS!R30+(P41-P32)/(P41-O41)*IS!Q30</f>
        <v>-1104.21382736462</v>
      </c>
      <c r="R29" s="433" t="n">
        <f aca="false">(R23-Q41)/(R41-Q41)*IS!S30+(Q41-Q32)/(Q41-P41)*IS!R30</f>
        <v>-1122.59913823124</v>
      </c>
      <c r="S29" s="433" t="n">
        <f aca="false">(S23-R41)/(S41-R41)*IS!T30+(R41-R32)/(R41-Q41)*IS!S30</f>
        <v>-1149.38990840935</v>
      </c>
      <c r="T29" s="433" t="n">
        <f aca="false">(T23-S41)/(T41-S41)*IS!U30+(S41-S32)/(S41-R41)*IS!T30</f>
        <v>-1175.4800856313</v>
      </c>
      <c r="U29" s="433" t="n">
        <f aca="false">(U23-T41)/(U41-T41)*IS!V30+(T41-T32)/(T41-S41)*IS!U30</f>
        <v>-1207.4140576937</v>
      </c>
      <c r="V29" s="433" t="n">
        <f aca="false">(V23-U41)/(V41-U41)*IS!W30+(U41-U32)/(U41-T41)*IS!V30</f>
        <v>-1228.56870667537</v>
      </c>
      <c r="W29" s="433" t="n">
        <f aca="false">(W23-V41)/(W41-V41)*IS!X30+(V41-V32)/(V41-U41)*IS!W30</f>
        <v>-1258.96995131016</v>
      </c>
      <c r="X29" s="433" t="n">
        <f aca="false">(X23-W41)/(X41-W41)*IS!Y30+(W41-W32)/(W41-V41)*IS!X30</f>
        <v>-1288.63636495054</v>
      </c>
      <c r="Y29" s="433" t="n">
        <f aca="false">(Y23-X41)/(Y41-X41)*IS!Z30+(X41-X32)/(X41-W41)*IS!Y30</f>
        <v>-1324.73567852914</v>
      </c>
      <c r="Z29" s="433" t="n">
        <f aca="false">(Z23-Y41)/(Z41-Y41)*IS!AA30+(Y41-Y32)/(Y41-X41)*IS!Z30</f>
        <v>-1349.0000361493</v>
      </c>
      <c r="AA29" s="433" t="n">
        <f aca="false">(AA23-Z41)/(AA41-Z41)*IS!AB30+(Z41-Z32)/(Z41-Y41)*IS!AA30</f>
        <v>-1383.39919556397</v>
      </c>
      <c r="AB29" s="433" t="n">
        <f aca="false">(AB23-AA41)/(AB41-AA41)*IS!AC30+(AA41-AA32)/(AA41-Z41)*IS!AB30</f>
        <v>-1417.00090368691</v>
      </c>
      <c r="AC29" s="433" t="n">
        <f aca="false">(AC23-AB41)/(AC41-AB41)*IS!AD30+(AB41-AB32)/(AB41-AA41)*IS!AC30</f>
        <v>-1457.70174375491</v>
      </c>
      <c r="AD29" s="433" t="n">
        <f aca="false">(AD23-AC41)/(AD41-AC41)*IS!AE30+(AC41-AC32)/(AC41-AB41)*IS!AD30</f>
        <v>-1485.39413375024</v>
      </c>
      <c r="AE29" s="433" t="n">
        <f aca="false">(AE23-AD41)/(AE41-AD41)*IS!AF30+(AD41-AD32)/(AD41-AC41)*IS!AE30</f>
        <v>-1524.26163749117</v>
      </c>
      <c r="AF29" s="433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4" t="s">
        <v>62</v>
      </c>
      <c r="B30" s="435"/>
      <c r="C30" s="436" t="n">
        <f aca="false">IF(C28&gt;0.1,C29/(C27+C26+B44)," ")</f>
        <v>1.58426783013093</v>
      </c>
      <c r="D30" s="436" t="n">
        <f aca="false">IF(D28&gt;0.1,D29/(D27+D26+C44)," ")</f>
        <v>1.47847626602221</v>
      </c>
      <c r="E30" s="436" t="n">
        <f aca="false">IF(E28&gt;0.1,E29/(E27+E26+D44)," ")</f>
        <v>1.48964244272576</v>
      </c>
      <c r="F30" s="436" t="n">
        <f aca="false">IF(F28&gt;0.1,F29/(F27+F26+E44)," ")</f>
        <v>1.49765909556422</v>
      </c>
      <c r="G30" s="436" t="n">
        <f aca="false">IF(G28&gt;0.1,G29/(G27+G26+F44)," ")</f>
        <v>1.498693668298</v>
      </c>
      <c r="H30" s="436" t="n">
        <f aca="false">IF(H28&gt;0.1,H29/(H27+H26+G44)," ")</f>
        <v>1.51005366124822</v>
      </c>
      <c r="I30" s="436" t="str">
        <f aca="false">IF(I28&gt;0.1,I29/(I27+I26+H44)," ")</f>
        <v> </v>
      </c>
      <c r="J30" s="436" t="str">
        <f aca="false">IF(J28&gt;0.1,J29/(J27+J26+I44)," ")</f>
        <v> </v>
      </c>
      <c r="K30" s="436" t="str">
        <f aca="false">IF(K28&gt;0.1,K29/(K27+K26+J44)," ")</f>
        <v> </v>
      </c>
      <c r="L30" s="436" t="str">
        <f aca="false">IF(L28&gt;0.1,L29/(L27+L26+K44)," ")</f>
        <v> </v>
      </c>
      <c r="M30" s="436" t="n">
        <f aca="false">IF(M28&gt;0.1,M29/(M27+M26+L44)," ")</f>
        <v>1.49323174779352</v>
      </c>
      <c r="N30" s="436" t="n">
        <f aca="false">IF(N28&gt;0.1,N29/(N27+N26+M44)," ")</f>
        <v>1.48696495691207</v>
      </c>
      <c r="O30" s="436" t="n">
        <f aca="false">IF(O28&gt;0.1,O29/(O27+O26+N44)," ")</f>
        <v>1.48789152192892</v>
      </c>
      <c r="P30" s="436" t="n">
        <f aca="false">IF(P28&gt;0.1,P29/(P27+P26+O44)," ")</f>
        <v>1.48780573534238</v>
      </c>
      <c r="Q30" s="436" t="n">
        <f aca="false">IF(Q28&gt;0.1,Q29/(Q27+Q26+P44)," ")</f>
        <v>1.49288604786787</v>
      </c>
      <c r="R30" s="436" t="n">
        <f aca="false">IF(R28&gt;0.1,R29/(R27+R26+Q44)," ")</f>
        <v>1.48662625345305</v>
      </c>
      <c r="S30" s="436" t="n">
        <f aca="false">IF(S28&gt;0.1,S29/(S27+S26+R44)," ")</f>
        <v>1.48756028176408</v>
      </c>
      <c r="T30" s="436" t="n">
        <f aca="false">IF(T28&gt;0.1,T29/(T27+T26+S44)," ")</f>
        <v>1.48748241040877</v>
      </c>
      <c r="U30" s="436" t="n">
        <f aca="false">IF(U28&gt;0.1,U29/(U27+U26+T44)," ")</f>
        <v>1.49257189866472</v>
      </c>
      <c r="V30" s="436" t="n">
        <f aca="false">IF(V28&gt;0.1,V29/(V27+V26+U44)," ")</f>
        <v>1.48630672176365</v>
      </c>
      <c r="W30" s="436" t="n">
        <f aca="false">IF(W28&gt;0.1,W29/(W27+W26+V44)," ")</f>
        <v>1.48724261464149</v>
      </c>
      <c r="X30" s="436" t="n">
        <f aca="false">IF(X28&gt;0.1,X29/(X27+X26+W44)," ")</f>
        <v>1.48717330633746</v>
      </c>
      <c r="Y30" s="436" t="n">
        <f aca="false">IF(Y28&gt;0.1,Y29/(Y27+Y26+X44)," ")</f>
        <v>1.49227249992088</v>
      </c>
      <c r="Z30" s="436" t="n">
        <f aca="false">IF(Z28&gt;0.1,Z29/(Z27+Z26+Y44)," ")</f>
        <v>1.48602723536397</v>
      </c>
      <c r="AA30" s="436" t="n">
        <f aca="false">IF(AA28&gt;0.1,AA29/(AA27+AA26+Z44)," ")</f>
        <v>1.48697648603109</v>
      </c>
      <c r="AB30" s="436" t="n">
        <f aca="false">IF(AB28&gt;0.1,AB29/(AB27+AB26+AA44)," ")</f>
        <v>1.48691450046554</v>
      </c>
      <c r="AC30" s="436" t="n">
        <f aca="false">IF(AC28&gt;0.1,AC29/(AC27+AC26+AB44)," ")</f>
        <v>1.49202194847442</v>
      </c>
      <c r="AD30" s="436" t="n">
        <f aca="false">IF(AD28&gt;0.1,AD29/(AD27+AD26+AC44)," ")</f>
        <v>1.48578311333363</v>
      </c>
      <c r="AE30" s="436" t="n">
        <f aca="false">IF(AE28&gt;0.1,AE29/(AE27+AE26+AD44)," ")</f>
        <v>1.48673903172676</v>
      </c>
      <c r="AF30" s="436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3"/>
      <c r="B31" s="437"/>
      <c r="C31" s="7"/>
      <c r="AG31" s="0"/>
    </row>
    <row r="32" customFormat="false" ht="12.75" hidden="false" customHeight="false" outlineLevel="0" collapsed="false">
      <c r="A32" s="438" t="s">
        <v>386</v>
      </c>
      <c r="B32" s="428" t="n">
        <v>37165</v>
      </c>
      <c r="C32" s="428" t="n">
        <v>37530</v>
      </c>
      <c r="D32" s="428" t="n">
        <v>37895</v>
      </c>
      <c r="E32" s="428" t="n">
        <v>38261</v>
      </c>
      <c r="F32" s="428" t="n">
        <v>38626</v>
      </c>
      <c r="G32" s="428" t="n">
        <v>38991</v>
      </c>
      <c r="H32" s="428" t="n">
        <v>39356</v>
      </c>
      <c r="I32" s="428" t="n">
        <v>39722</v>
      </c>
      <c r="J32" s="428" t="n">
        <v>40087</v>
      </c>
      <c r="K32" s="428" t="n">
        <v>40452</v>
      </c>
      <c r="L32" s="428" t="n">
        <v>40817</v>
      </c>
      <c r="M32" s="428" t="n">
        <v>41183</v>
      </c>
      <c r="N32" s="428" t="n">
        <v>41548</v>
      </c>
      <c r="O32" s="428" t="n">
        <v>41913</v>
      </c>
      <c r="P32" s="428" t="n">
        <v>42278</v>
      </c>
      <c r="Q32" s="428" t="n">
        <v>42644</v>
      </c>
      <c r="R32" s="428" t="n">
        <v>43009</v>
      </c>
      <c r="S32" s="428" t="n">
        <v>43374</v>
      </c>
      <c r="T32" s="428" t="n">
        <v>43739</v>
      </c>
      <c r="U32" s="428" t="n">
        <v>44105</v>
      </c>
      <c r="V32" s="428" t="n">
        <v>44470</v>
      </c>
      <c r="W32" s="428" t="n">
        <v>44835</v>
      </c>
      <c r="X32" s="428" t="n">
        <v>45200</v>
      </c>
      <c r="Y32" s="428" t="n">
        <v>45566</v>
      </c>
      <c r="Z32" s="428" t="n">
        <v>45931</v>
      </c>
      <c r="AA32" s="428" t="n">
        <v>46296</v>
      </c>
      <c r="AB32" s="428" t="n">
        <v>46661</v>
      </c>
      <c r="AC32" s="428" t="n">
        <v>47027</v>
      </c>
      <c r="AD32" s="428" t="n">
        <v>47392</v>
      </c>
      <c r="AE32" s="428" t="n">
        <v>47757</v>
      </c>
      <c r="AF32" s="428" t="n">
        <v>47969</v>
      </c>
      <c r="AG32" s="0"/>
    </row>
    <row r="33" customFormat="false" ht="12.75" hidden="false" customHeight="false" outlineLevel="0" collapsed="false">
      <c r="A33" s="430" t="s">
        <v>367</v>
      </c>
      <c r="B33" s="431" t="n">
        <f aca="false">B19</f>
        <v>62997.6990134759</v>
      </c>
      <c r="C33" s="430" t="n">
        <f aca="false">C28</f>
        <v>55134.4412482206</v>
      </c>
      <c r="D33" s="430" t="n">
        <f aca="false">D28</f>
        <v>47118.8140714289</v>
      </c>
      <c r="E33" s="430" t="n">
        <f aca="false">E28</f>
        <v>38356.0713471935</v>
      </c>
      <c r="F33" s="430" t="n">
        <f aca="false">F28</f>
        <v>28582.6780709739</v>
      </c>
      <c r="G33" s="430" t="n">
        <f aca="false">G28</f>
        <v>18006.7035938404</v>
      </c>
      <c r="H33" s="430" t="n">
        <f aca="false">H28</f>
        <v>6744.99818345362</v>
      </c>
      <c r="I33" s="430" t="n">
        <f aca="false">I28</f>
        <v>0</v>
      </c>
      <c r="J33" s="430" t="n">
        <f aca="false">J28</f>
        <v>0</v>
      </c>
      <c r="K33" s="430" t="n">
        <f aca="false">K28</f>
        <v>0</v>
      </c>
      <c r="L33" s="430" t="n">
        <f aca="false">L28</f>
        <v>0</v>
      </c>
      <c r="M33" s="430" t="n">
        <f aca="false">M28</f>
        <v>678.694515659728</v>
      </c>
      <c r="N33" s="430" t="n">
        <f aca="false">N28</f>
        <v>2137.16987741791</v>
      </c>
      <c r="O33" s="430" t="n">
        <f aca="false">O28</f>
        <v>3751.99630489358</v>
      </c>
      <c r="P33" s="430" t="n">
        <f aca="false">P28</f>
        <v>5538.56171006192</v>
      </c>
      <c r="Q33" s="430" t="n">
        <f aca="false">Q28</f>
        <v>7513.94786367249</v>
      </c>
      <c r="R33" s="430" t="n">
        <f aca="false">R28</f>
        <v>9690.92854165853</v>
      </c>
      <c r="S33" s="430" t="n">
        <f aca="false">S28</f>
        <v>12091.9666026021</v>
      </c>
      <c r="T33" s="430" t="n">
        <f aca="false">T28</f>
        <v>14737.2889702267</v>
      </c>
      <c r="U33" s="430" t="n">
        <f aca="false">U28</f>
        <v>17652.084375059</v>
      </c>
      <c r="V33" s="430" t="n">
        <f aca="false">V28</f>
        <v>20850.9669767353</v>
      </c>
      <c r="W33" s="430" t="n">
        <f aca="false">W28</f>
        <v>24369.0993088568</v>
      </c>
      <c r="X33" s="430" t="n">
        <f aca="false">X28</f>
        <v>28233.3806290734</v>
      </c>
      <c r="Y33" s="430" t="n">
        <f aca="false">Y28</f>
        <v>32480.453419001</v>
      </c>
      <c r="Z33" s="430" t="n">
        <f aca="false">Z28</f>
        <v>37127.1502582725</v>
      </c>
      <c r="AA33" s="430" t="n">
        <f aca="false">AA28</f>
        <v>42226.6270681327</v>
      </c>
      <c r="AB33" s="430" t="n">
        <f aca="false">AB28</f>
        <v>47814.9173692038</v>
      </c>
      <c r="AC33" s="430" t="n">
        <f aca="false">AC28</f>
        <v>53944.7768034686</v>
      </c>
      <c r="AD33" s="430" t="n">
        <f aca="false">AD28</f>
        <v>60635.8039698859</v>
      </c>
      <c r="AE33" s="430" t="n">
        <f aca="false">AE28</f>
        <v>67966.7187631054</v>
      </c>
      <c r="AF33" s="430" t="n">
        <f aca="false">AF28</f>
        <v>76251.450929889</v>
      </c>
      <c r="AG33" s="0"/>
    </row>
    <row r="34" customFormat="false" ht="12.75" hidden="false" customHeight="false" outlineLevel="0" collapsed="false">
      <c r="A34" s="430" t="s">
        <v>382</v>
      </c>
      <c r="B34" s="431" t="n">
        <v>0</v>
      </c>
      <c r="C34" s="431" t="n">
        <v>0</v>
      </c>
      <c r="D34" s="431" t="n">
        <v>0</v>
      </c>
      <c r="E34" s="431" t="n">
        <v>0</v>
      </c>
      <c r="F34" s="431" t="n">
        <v>0</v>
      </c>
      <c r="G34" s="431" t="n">
        <v>0</v>
      </c>
      <c r="H34" s="431" t="n">
        <v>0</v>
      </c>
      <c r="I34" s="431" t="n">
        <v>0</v>
      </c>
      <c r="J34" s="431" t="n">
        <v>0</v>
      </c>
      <c r="K34" s="431" t="n">
        <v>0</v>
      </c>
      <c r="L34" s="431" t="n">
        <v>0</v>
      </c>
      <c r="M34" s="431" t="n">
        <v>0</v>
      </c>
      <c r="N34" s="431" t="n">
        <v>0</v>
      </c>
      <c r="O34" s="431" t="n">
        <v>0</v>
      </c>
      <c r="P34" s="431" t="n">
        <v>0</v>
      </c>
      <c r="Q34" s="431" t="n">
        <v>0</v>
      </c>
      <c r="R34" s="431" t="n">
        <v>0</v>
      </c>
      <c r="S34" s="431" t="n">
        <v>0</v>
      </c>
      <c r="T34" s="431" t="n">
        <v>0</v>
      </c>
      <c r="U34" s="431" t="n">
        <v>0</v>
      </c>
      <c r="V34" s="431" t="n">
        <v>0</v>
      </c>
      <c r="W34" s="431" t="n">
        <v>0</v>
      </c>
      <c r="X34" s="431" t="n">
        <v>0</v>
      </c>
      <c r="Y34" s="431" t="n">
        <v>0</v>
      </c>
      <c r="Z34" s="431" t="n">
        <v>0</v>
      </c>
      <c r="AA34" s="431" t="n">
        <v>0</v>
      </c>
      <c r="AB34" s="431" t="n">
        <v>0</v>
      </c>
      <c r="AC34" s="431" t="n">
        <v>0</v>
      </c>
      <c r="AD34" s="431" t="n">
        <v>0</v>
      </c>
      <c r="AE34" s="431" t="n">
        <v>0</v>
      </c>
      <c r="AF34" s="431" t="n">
        <v>0</v>
      </c>
      <c r="AG34" s="0"/>
    </row>
    <row r="35" customFormat="false" ht="12.75" hidden="false" customHeight="false" outlineLevel="0" collapsed="false">
      <c r="A35" s="430" t="s">
        <v>383</v>
      </c>
      <c r="B35" s="430" t="n">
        <f aca="false">B33-B37</f>
        <v>4017.29141908183</v>
      </c>
      <c r="C35" s="430" t="n">
        <f aca="false">C33-C37</f>
        <v>3995.27706063652</v>
      </c>
      <c r="D35" s="430" t="n">
        <f aca="false">D33-D37</f>
        <v>4179.77399862326</v>
      </c>
      <c r="E35" s="430" t="n">
        <f aca="false">E33-E37</f>
        <v>4780.23111154883</v>
      </c>
      <c r="F35" s="430" t="n">
        <f aca="false">F33-F37</f>
        <v>5196.18984489091</v>
      </c>
      <c r="G35" s="430" t="n">
        <f aca="false">G33-G37</f>
        <v>5603.605723901</v>
      </c>
      <c r="H35" s="430" t="n">
        <f aca="false">H33-H37</f>
        <v>5896.33935033324</v>
      </c>
      <c r="I35" s="430" t="n">
        <f aca="false">I33-I37</f>
        <v>0</v>
      </c>
      <c r="J35" s="430" t="n">
        <f aca="false">J33-J37</f>
        <v>0</v>
      </c>
      <c r="K35" s="430" t="n">
        <f aca="false">K33-K37</f>
        <v>0</v>
      </c>
      <c r="L35" s="430" t="n">
        <f aca="false">L33-L37</f>
        <v>0</v>
      </c>
      <c r="M35" s="430" t="n">
        <f aca="false">M33-M37</f>
        <v>-707.539032575267</v>
      </c>
      <c r="N35" s="430" t="n">
        <f aca="false">N33-N37</f>
        <v>-783.341646840986</v>
      </c>
      <c r="O35" s="430" t="n">
        <f aca="false">O33-O37</f>
        <v>-867.599819654777</v>
      </c>
      <c r="P35" s="430" t="n">
        <f aca="false">P33-P37</f>
        <v>-959.204422097812</v>
      </c>
      <c r="Q35" s="430" t="n">
        <f aca="false">Q33-Q37</f>
        <v>-1058.99322768209</v>
      </c>
      <c r="R35" s="430" t="n">
        <f aca="false">R33-R37</f>
        <v>-1168.12491410844</v>
      </c>
      <c r="S35" s="430" t="n">
        <f aca="false">S33-S37</f>
        <v>-1287.98433462355</v>
      </c>
      <c r="T35" s="430" t="n">
        <f aca="false">T33-T37</f>
        <v>-1418.29882459823</v>
      </c>
      <c r="U35" s="430" t="n">
        <f aca="false">U33-U37</f>
        <v>-1559.16225955089</v>
      </c>
      <c r="V35" s="430" t="n">
        <f aca="false">V33-V37</f>
        <v>-1715.18558613231</v>
      </c>
      <c r="W35" s="430" t="n">
        <f aca="false">W33-W37</f>
        <v>-1885.03704626783</v>
      </c>
      <c r="X35" s="430" t="n">
        <f aca="false">X33-X37</f>
        <v>-2069.70659250069</v>
      </c>
      <c r="Y35" s="430" t="n">
        <f aca="false">Y33-Y37</f>
        <v>-2268.14968053716</v>
      </c>
      <c r="Z35" s="430" t="n">
        <f aca="false">Z33-Z37</f>
        <v>-2490.01648782493</v>
      </c>
      <c r="AA35" s="430" t="n">
        <f aca="false">AA33-AA37</f>
        <v>-2729.89214253576</v>
      </c>
      <c r="AB35" s="430" t="n">
        <f aca="false">AB33-AB37</f>
        <v>-2990.68223384741</v>
      </c>
      <c r="AC35" s="430" t="n">
        <f aca="false">AC33-AC37</f>
        <v>-3269.65053435507</v>
      </c>
      <c r="AD35" s="430" t="n">
        <f aca="false">AD33-AD37</f>
        <v>-3583.82020100626</v>
      </c>
      <c r="AE35" s="430" t="n">
        <f aca="false">AE33-AE37</f>
        <v>-3921.73767286091</v>
      </c>
      <c r="AF35" s="430" t="n">
        <f aca="false">AF33-AF37</f>
        <v>-1848.8212851742</v>
      </c>
      <c r="AG35" s="0"/>
    </row>
    <row r="36" customFormat="false" ht="12.75" hidden="false" customHeight="false" outlineLevel="0" collapsed="false">
      <c r="A36" s="430" t="s">
        <v>384</v>
      </c>
      <c r="B36" s="432" t="n">
        <f aca="false">B33*(B32-Assumptions!H17)/365.25*$E$64</f>
        <v>2243.08028930939</v>
      </c>
      <c r="C36" s="432" t="n">
        <f aca="false">C33*(C32-C23)/(C41-B41)*$E$64</f>
        <v>2349.63351675636</v>
      </c>
      <c r="D36" s="432" t="n">
        <f aca="false">D33*(D32-D23)/(D41-C41)*$E$64</f>
        <v>2008.03603529062</v>
      </c>
      <c r="E36" s="432" t="n">
        <f aca="false">E33*(E32-E23)/(E41-D41)*$E$64</f>
        <v>1630.13303225572</v>
      </c>
      <c r="F36" s="432" t="n">
        <f aca="false">F33*(F32-F23)/(F41-E41)*$E$64</f>
        <v>1218.09193806575</v>
      </c>
      <c r="G36" s="432" t="n">
        <f aca="false">G33*(G32-G23)/(G41-F41)*$E$64</f>
        <v>767.381573704621</v>
      </c>
      <c r="H36" s="432" t="n">
        <f aca="false">H33*(H32-H23)/(H41-G41)*$E$64</f>
        <v>287.447799297592</v>
      </c>
      <c r="I36" s="432" t="n">
        <f aca="false">I33*(I32-I23)/(I41-H41)*$E$64</f>
        <v>0</v>
      </c>
      <c r="J36" s="432" t="n">
        <f aca="false">J33*(J32-J23)/(J41-I41)*$E$64</f>
        <v>0</v>
      </c>
      <c r="K36" s="432" t="n">
        <f aca="false">K33*(K32-K23)/(K41-J41)*$E$64</f>
        <v>0</v>
      </c>
      <c r="L36" s="432" t="n">
        <f aca="false">L33*(L32-L23)/(L41-K41)*$E$64</f>
        <v>0</v>
      </c>
      <c r="M36" s="432" t="n">
        <f aca="false">M33*(M32-M23)/(M41-L41)*$E$64</f>
        <v>28.8445169155385</v>
      </c>
      <c r="N36" s="432" t="n">
        <f aca="false">N33*(N32-N23)/(N41-M41)*$E$64</f>
        <v>91.0785683376316</v>
      </c>
      <c r="O36" s="432" t="n">
        <f aca="false">O33*(O32-O23)/(O41-N41)*$E$64</f>
        <v>159.896719240054</v>
      </c>
      <c r="P36" s="432" t="n">
        <f aca="false">P33*(P32-P23)/(P41-O41)*$E$64</f>
        <v>236.033773698666</v>
      </c>
      <c r="Q36" s="432" t="n">
        <f aca="false">Q33*(Q32-Q23)/(Q41-P41)*$E$64</f>
        <v>319.342784206081</v>
      </c>
      <c r="R36" s="432" t="n">
        <f aca="false">R33*(R32-R23)/(R41-Q41)*$E$64</f>
        <v>412.992858809585</v>
      </c>
      <c r="S36" s="432" t="n">
        <f aca="false">S33*(S32-S23)/(S41-R41)*$E$64</f>
        <v>515.316549324593</v>
      </c>
      <c r="T36" s="432" t="n">
        <f aca="false">T33*(T32-T23)/(T41-S41)*$E$64</f>
        <v>628.050766936646</v>
      </c>
      <c r="U36" s="432" t="n">
        <f aca="false">U33*(U32-U23)/(U41-T41)*$E$64</f>
        <v>750.213585940008</v>
      </c>
      <c r="V36" s="432" t="n">
        <f aca="false">V33*(V32-V23)/(V41-U41)*$E$64</f>
        <v>888.593948830458</v>
      </c>
      <c r="W36" s="432" t="n">
        <f aca="false">W33*(W32-W23)/(W41-V41)*$E$64</f>
        <v>1038.52421849114</v>
      </c>
      <c r="X36" s="432" t="n">
        <f aca="false">X33*(X32-X23)/(X41-W41)*$E$64</f>
        <v>1203.20612516503</v>
      </c>
      <c r="Y36" s="432" t="n">
        <f aca="false">Y33*(Y32-Y23)/(Y41-X41)*$E$64</f>
        <v>1380.41927030754</v>
      </c>
      <c r="Z36" s="432" t="n">
        <f aca="false">Z33*(Z32-Z23)/(Z41-Y41)*$E$64</f>
        <v>1582.22691032172</v>
      </c>
      <c r="AA36" s="432" t="n">
        <f aca="false">AA33*(AA32-AA23)/(AA41-Z41)*$E$64</f>
        <v>1799.54844943782</v>
      </c>
      <c r="AB36" s="432" t="n">
        <f aca="false">AB33*(AB32-AB23)/(AB41-AA41)*$E$64</f>
        <v>2037.70147856977</v>
      </c>
      <c r="AC36" s="432" t="n">
        <f aca="false">AC33*(AC32-AC23)/(AC41-AB41)*$E$64</f>
        <v>2292.65301414742</v>
      </c>
      <c r="AD36" s="432" t="n">
        <f aca="false">AD33*(AD32-AD23)/(AD41-AC41)*$E$64</f>
        <v>2584.08200205911</v>
      </c>
      <c r="AE36" s="432" t="n">
        <f aca="false">AE33*(AE32-AE23)/(AE41-AD41)*$E$64</f>
        <v>2896.49948043864</v>
      </c>
      <c r="AF36" s="432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30" t="s">
        <v>371</v>
      </c>
      <c r="B37" s="433" t="n">
        <f aca="false">MAX(B33+B34+B36-B13,0)</f>
        <v>58980.407594394</v>
      </c>
      <c r="C37" s="433" t="n">
        <f aca="false">MAX(C33+C34+C36-0.5*C13,0)</f>
        <v>51139.1641875841</v>
      </c>
      <c r="D37" s="433" t="n">
        <f aca="false">MAX(D33+D34+D36-0.5*D13,0)</f>
        <v>42939.0400728057</v>
      </c>
      <c r="E37" s="433" t="n">
        <f aca="false">MAX(E33+E34+E36-0.5*E13,0)</f>
        <v>33575.8402356447</v>
      </c>
      <c r="F37" s="433" t="n">
        <f aca="false">MAX(F33+F34+F36-0.5*F13,0)</f>
        <v>23386.4882260829</v>
      </c>
      <c r="G37" s="433" t="n">
        <f aca="false">MAX(G33+G34+G36-0.5*G13,0)</f>
        <v>12403.0978699394</v>
      </c>
      <c r="H37" s="433" t="n">
        <f aca="false">MAX(H33+H34+H36-0.5*H13,0)</f>
        <v>848.658833120386</v>
      </c>
      <c r="I37" s="433" t="n">
        <f aca="false">MAX(I33+I34+I36-0.5*I13,0)</f>
        <v>0</v>
      </c>
      <c r="J37" s="433" t="n">
        <f aca="false">MAX(J33+J34+J36-0.5*J13,0)</f>
        <v>0</v>
      </c>
      <c r="K37" s="433" t="n">
        <f aca="false">MAX(K33+K34+K36-0.5*K13,0)</f>
        <v>0</v>
      </c>
      <c r="L37" s="433" t="n">
        <f aca="false">MAX(L33+L34+L36-0.5*L13,0)</f>
        <v>0</v>
      </c>
      <c r="M37" s="433" t="n">
        <f aca="false">MAX(M33+M34+M36-0.5*M13,0)</f>
        <v>1386.233548235</v>
      </c>
      <c r="N37" s="433" t="n">
        <f aca="false">MAX(N33+N34+N36-0.5*N13,0)</f>
        <v>2920.51152425889</v>
      </c>
      <c r="O37" s="433" t="n">
        <f aca="false">MAX(O33+O34+O36-0.5*O13,0)</f>
        <v>4619.59612454835</v>
      </c>
      <c r="P37" s="433" t="n">
        <f aca="false">MAX(P33+P34+P36-0.5*P13,0)</f>
        <v>6497.76613215973</v>
      </c>
      <c r="Q37" s="433" t="n">
        <f aca="false">MAX(Q33+Q34+Q36-0.5*Q13,0)</f>
        <v>8572.94109135459</v>
      </c>
      <c r="R37" s="433" t="n">
        <f aca="false">MAX(R33+R34+R36-0.5*R13,0)</f>
        <v>10859.053455767</v>
      </c>
      <c r="S37" s="433" t="n">
        <f aca="false">MAX(S33+S34+S36-0.5*S13,0)</f>
        <v>13379.9509372257</v>
      </c>
      <c r="T37" s="433" t="n">
        <f aca="false">MAX(T33+T34+T36-0.5*T13,0)</f>
        <v>16155.5877948249</v>
      </c>
      <c r="U37" s="433" t="n">
        <f aca="false">MAX(U33+U34+U36-0.5*U13,0)</f>
        <v>19211.2466346099</v>
      </c>
      <c r="V37" s="433" t="n">
        <f aca="false">MAX(V33+V34+V36-0.5*V13,0)</f>
        <v>22566.1525628676</v>
      </c>
      <c r="W37" s="433" t="n">
        <f aca="false">MAX(W33+W34+W36-0.5*W13,0)</f>
        <v>26254.1363551246</v>
      </c>
      <c r="X37" s="433" t="n">
        <f aca="false">MAX(X33+X34+X36-0.5*X13,0)</f>
        <v>30303.0872215741</v>
      </c>
      <c r="Y37" s="433" t="n">
        <f aca="false">MAX(Y33+Y34+Y36-0.5*Y13,0)</f>
        <v>34748.6030995381</v>
      </c>
      <c r="Z37" s="433" t="n">
        <f aca="false">MAX(Z33+Z34+Z36-0.5*Z13,0)</f>
        <v>39617.1667460974</v>
      </c>
      <c r="AA37" s="433" t="n">
        <f aca="false">MAX(AA33+AA34+AA36-0.5*AA13,0)</f>
        <v>44956.5192106685</v>
      </c>
      <c r="AB37" s="433" t="n">
        <f aca="false">MAX(AB33+AB34+AB36-0.5*AB13,0)</f>
        <v>50805.5996030512</v>
      </c>
      <c r="AC37" s="433" t="n">
        <f aca="false">MAX(AC33+AC34+AC36-0.5*AC13,0)</f>
        <v>57214.4273378237</v>
      </c>
      <c r="AD37" s="433" t="n">
        <f aca="false">MAX(AD33+AD34+AD36-0.5*AD13,0)</f>
        <v>64219.6241708922</v>
      </c>
      <c r="AE37" s="433" t="n">
        <f aca="false">MAX(AE33+AE34+AE36-0.5*AE13,0)</f>
        <v>71888.4564359663</v>
      </c>
      <c r="AF37" s="433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30" t="s">
        <v>385</v>
      </c>
      <c r="B38" s="433" t="n">
        <f aca="false">(B32-Assumptions!H17)/(Debt!B41-Assumptions!H17)*IS!C30</f>
        <v>9390.55756258683</v>
      </c>
      <c r="C38" s="433" t="n">
        <f aca="false">(C32-C23)/(C41-B41)*IS!D30</f>
        <v>8982.69401935764</v>
      </c>
      <c r="D38" s="433" t="n">
        <f aca="false">(D32-D23)/(D41-C41)*IS!E30</f>
        <v>9414.89982794588</v>
      </c>
      <c r="E38" s="433" t="n">
        <f aca="false">(E32-E23)/(E41-D41)*IS!F30</f>
        <v>9681.94192947501</v>
      </c>
      <c r="F38" s="433" t="n">
        <f aca="false">(F32-F23)/(F41-E41)*IS!G30</f>
        <v>9636.43789511305</v>
      </c>
      <c r="G38" s="433" t="n">
        <f aca="false">(G32-G23)/(G41-F41)*IS!H30</f>
        <v>9564.80356908831</v>
      </c>
      <c r="H38" s="433" t="n">
        <f aca="false">(H32-H23)/(H41-G41)*IS!I30</f>
        <v>9213.51102321274</v>
      </c>
      <c r="I38" s="433" t="n">
        <f aca="false">(I32-I23)/(I41-H41)*IS!J30</f>
        <v>9179.85698145276</v>
      </c>
      <c r="J38" s="433" t="n">
        <f aca="false">(J32-J23)/(J41-I41)*IS!K30</f>
        <v>9026.39066332356</v>
      </c>
      <c r="K38" s="433" t="n">
        <f aca="false">(K32-K23)/(K41-J41)*IS!L30</f>
        <v>6560.55243290493</v>
      </c>
      <c r="L38" s="433" t="n">
        <f aca="false">(L32-L23)/(L41-K41)*IS!M30</f>
        <v>-1004.1600888235</v>
      </c>
      <c r="M38" s="433" t="n">
        <f aca="false">(M32-M23)/(M41-L41)*IS!N30</f>
        <v>-1022.63534914274</v>
      </c>
      <c r="N38" s="433" t="n">
        <f aca="false">(N32-N23)/(N41-M41)*IS!O30</f>
        <v>-1047.41829681151</v>
      </c>
      <c r="O38" s="433" t="n">
        <f aca="false">(O32-O23)/(O41-N41)*IS!P30</f>
        <v>-1070.12385809429</v>
      </c>
      <c r="P38" s="433" t="n">
        <f aca="false">(P32-P23)/(P41-O41)*IS!Q30</f>
        <v>-1093.57450687792</v>
      </c>
      <c r="Q38" s="433" t="n">
        <f aca="false">(Q32-Q23)/(Q41-P41)*IS!R30</f>
        <v>-1114.73750306342</v>
      </c>
      <c r="R38" s="433" t="n">
        <f aca="false">(R32-R23)/(R41-Q41)*IS!S30</f>
        <v>-1142.79702766534</v>
      </c>
      <c r="S38" s="433" t="n">
        <f aca="false">(S32-S23)/(S41-R41)*IS!T30</f>
        <v>-1168.61344748752</v>
      </c>
      <c r="T38" s="433" t="n">
        <f aca="false">(T32-T23)/(T41-S41)*IS!U30</f>
        <v>-1195.26408735344</v>
      </c>
      <c r="U38" s="433" t="n">
        <f aca="false">(U32-U23)/(U41-T41)*IS!V30</f>
        <v>-1219.43196313895</v>
      </c>
      <c r="V38" s="433" t="n">
        <f aca="false">(V32-V23)/(V41-U41)*IS!W30</f>
        <v>-1251.2062052302</v>
      </c>
      <c r="W38" s="433" t="n">
        <f aca="false">(W32-W23)/(W41-V41)*IS!X30</f>
        <v>-1280.5685320199</v>
      </c>
      <c r="X38" s="433" t="n">
        <f aca="false">(X32-X23)/(X41-W41)*IS!Y30</f>
        <v>-1310.86503705645</v>
      </c>
      <c r="Y38" s="433" t="n">
        <f aca="false">(Y32-Y23)/(Y41-X41)*IS!Z30</f>
        <v>-1338.45555215972</v>
      </c>
      <c r="Z38" s="433" t="n">
        <f aca="false">(Z32-Z23)/(Z41-Y41)*IS!AA30</f>
        <v>-1374.36869636031</v>
      </c>
      <c r="AA38" s="433" t="n">
        <f aca="false">(AA32-AA23)/(AA41-Z41)*IS!AB30</f>
        <v>-1407.63188372987</v>
      </c>
      <c r="AB38" s="433" t="n">
        <f aca="false">(AB32-AB23)/(AB41-AA41)*IS!AC30</f>
        <v>-1441.94136214601</v>
      </c>
      <c r="AC38" s="433" t="n">
        <f aca="false">(AC32-AC23)/(AC41-AB41)*IS!AD30</f>
        <v>-1473.29081686807</v>
      </c>
      <c r="AD38" s="433" t="n">
        <f aca="false">(AD32-AD23)/(AD41-AC41)*IS!AE30</f>
        <v>-1513.8204630912</v>
      </c>
      <c r="AE38" s="433" t="n">
        <f aca="false">(AE32-AE23)/(AE41-AD41)*IS!AF30</f>
        <v>-1551.45293977566</v>
      </c>
      <c r="AF38" s="433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4" t="s">
        <v>62</v>
      </c>
      <c r="B39" s="436" t="n">
        <f aca="false">IF(B37&gt;0.1,B38/(B36+B35)," ")</f>
        <v>1.5</v>
      </c>
      <c r="C39" s="436" t="n">
        <f aca="false">IF(C37&gt;0.1,C38/(C36+C35)," ")</f>
        <v>1.41573216986907</v>
      </c>
      <c r="D39" s="436" t="n">
        <f aca="false">IF(D37&gt;0.1,D38/(D36+D35)," ")</f>
        <v>1.52152373397779</v>
      </c>
      <c r="E39" s="436" t="n">
        <f aca="false">IF(E37&gt;0.1,E38/(E36+E35)," ")</f>
        <v>1.51035755727424</v>
      </c>
      <c r="F39" s="436" t="n">
        <f aca="false">IF(F37&gt;0.1,F38/(F36+F35)," ")</f>
        <v>1.50234090443578</v>
      </c>
      <c r="G39" s="436" t="n">
        <f aca="false">IF(G37&gt;0.1,G38/(G36+G35)," ")</f>
        <v>1.501306331702</v>
      </c>
      <c r="H39" s="436" t="n">
        <f aca="false">IF(H37&gt;0.1,H38/(H36+H35)," ")</f>
        <v>1.48994633875178</v>
      </c>
      <c r="I39" s="436" t="str">
        <f aca="false">IF(I37&gt;0.1,I38/(I36+I35)," ")</f>
        <v> </v>
      </c>
      <c r="J39" s="436" t="str">
        <f aca="false">IF(J37&gt;0.1,J38/(J36+J35)," ")</f>
        <v> </v>
      </c>
      <c r="K39" s="436" t="str">
        <f aca="false">IF(K37&gt;0.1,K38/(K36+K35)," ")</f>
        <v> </v>
      </c>
      <c r="L39" s="436" t="str">
        <f aca="false">IF(L37&gt;0.1,L38/(L36+L35)," ")</f>
        <v> </v>
      </c>
      <c r="M39" s="436" t="n">
        <f aca="false">IF(M37&gt;0.1,M38/(M36+M35)," ")</f>
        <v>1.50676825220648</v>
      </c>
      <c r="N39" s="436" t="n">
        <f aca="false">IF(N37&gt;0.1,N38/(N36+N35)," ")</f>
        <v>1.51303504308793</v>
      </c>
      <c r="O39" s="436" t="n">
        <f aca="false">IF(O37&gt;0.1,O38/(O36+O35)," ")</f>
        <v>1.51210847807108</v>
      </c>
      <c r="P39" s="436" t="n">
        <f aca="false">IF(P37&gt;0.1,P38/(P36+P35)," ")</f>
        <v>1.51219426465762</v>
      </c>
      <c r="Q39" s="436" t="n">
        <f aca="false">IF(Q37&gt;0.1,Q38/(Q36+Q35)," ")</f>
        <v>1.50711395213214</v>
      </c>
      <c r="R39" s="436" t="n">
        <f aca="false">IF(R37&gt;0.1,R38/(R36+R35)," ")</f>
        <v>1.51337374654696</v>
      </c>
      <c r="S39" s="436" t="n">
        <f aca="false">IF(S37&gt;0.1,S38/(S36+S35)," ")</f>
        <v>1.51243971823592</v>
      </c>
      <c r="T39" s="436" t="n">
        <f aca="false">IF(T37&gt;0.1,T38/(T36+T35)," ")</f>
        <v>1.51251758959122</v>
      </c>
      <c r="U39" s="436" t="n">
        <f aca="false">IF(U37&gt;0.1,U38/(U36+U35)," ")</f>
        <v>1.50742810133529</v>
      </c>
      <c r="V39" s="436" t="n">
        <f aca="false">IF(V37&gt;0.1,V38/(V36+V35)," ")</f>
        <v>1.51369327823635</v>
      </c>
      <c r="W39" s="436" t="n">
        <f aca="false">IF(W37&gt;0.1,W38/(W36+W35)," ")</f>
        <v>1.51275738535851</v>
      </c>
      <c r="X39" s="436" t="n">
        <f aca="false">IF(X37&gt;0.1,X38/(X36+X35)," ")</f>
        <v>1.51282669366254</v>
      </c>
      <c r="Y39" s="436" t="n">
        <f aca="false">IF(Y37&gt;0.1,Y38/(Y36+Y35)," ")</f>
        <v>1.50772750007914</v>
      </c>
      <c r="Z39" s="436" t="n">
        <f aca="false">IF(Z37&gt;0.1,Z38/(Z36+Z35)," ")</f>
        <v>1.51397276463604</v>
      </c>
      <c r="AA39" s="436" t="n">
        <f aca="false">IF(AA37&gt;0.1,AA38/(AA36+AA35)," ")</f>
        <v>1.51302351396892</v>
      </c>
      <c r="AB39" s="436" t="n">
        <f aca="false">IF(AB37&gt;0.1,AB38/(AB36+AB35)," ")</f>
        <v>1.51308549953447</v>
      </c>
      <c r="AC39" s="436" t="n">
        <f aca="false">IF(AC37&gt;0.1,AC38/(AC36+AC35)," ")</f>
        <v>1.50797805152558</v>
      </c>
      <c r="AD39" s="436" t="n">
        <f aca="false">IF(AD37&gt;0.1,AD38/(AD36+AD35)," ")</f>
        <v>1.51421688666638</v>
      </c>
      <c r="AE39" s="436" t="n">
        <f aca="false">IF(AE37&gt;0.1,AE38/(AE36+AE35)," ")</f>
        <v>1.51326096827328</v>
      </c>
      <c r="AF39" s="436" t="n">
        <f aca="false">IF(AF37&gt;0.1,AF38/(AF36+AF35)," ")</f>
        <v>0.598465374920968</v>
      </c>
    </row>
    <row r="40" customFormat="false" ht="12.75" hidden="false" customHeight="false" outlineLevel="0" collapsed="false">
      <c r="A40" s="430"/>
      <c r="B40" s="433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433"/>
      <c r="AB40" s="433"/>
      <c r="AC40" s="433"/>
      <c r="AD40" s="433"/>
      <c r="AE40" s="433"/>
      <c r="AF40" s="433"/>
    </row>
    <row r="41" customFormat="false" ht="12.75" hidden="false" customHeight="false" outlineLevel="0" collapsed="false">
      <c r="A41" s="0"/>
      <c r="B41" s="439" t="n">
        <f aca="false">B8</f>
        <v>37256</v>
      </c>
      <c r="C41" s="439" t="n">
        <f aca="false">C8</f>
        <v>37621</v>
      </c>
      <c r="D41" s="439" t="n">
        <f aca="false">D8</f>
        <v>37986</v>
      </c>
      <c r="E41" s="439" t="n">
        <f aca="false">E8</f>
        <v>38352</v>
      </c>
      <c r="F41" s="439" t="n">
        <f aca="false">F8</f>
        <v>38717</v>
      </c>
      <c r="G41" s="439" t="n">
        <f aca="false">G8</f>
        <v>39082</v>
      </c>
      <c r="H41" s="439" t="n">
        <f aca="false">H8</f>
        <v>39447</v>
      </c>
      <c r="I41" s="439" t="n">
        <f aca="false">I8</f>
        <v>39813</v>
      </c>
      <c r="J41" s="439" t="n">
        <f aca="false">J8</f>
        <v>40178</v>
      </c>
      <c r="K41" s="439" t="n">
        <f aca="false">K8</f>
        <v>40543</v>
      </c>
      <c r="L41" s="439" t="n">
        <f aca="false">L8</f>
        <v>40908</v>
      </c>
      <c r="M41" s="439" t="n">
        <f aca="false">M8</f>
        <v>41274</v>
      </c>
      <c r="N41" s="439" t="n">
        <f aca="false">N8</f>
        <v>41639</v>
      </c>
      <c r="O41" s="439" t="n">
        <f aca="false">O8</f>
        <v>42004</v>
      </c>
      <c r="P41" s="439" t="n">
        <f aca="false">P8</f>
        <v>42369</v>
      </c>
      <c r="Q41" s="439" t="n">
        <f aca="false">Q8</f>
        <v>42735</v>
      </c>
      <c r="R41" s="439" t="n">
        <f aca="false">R8</f>
        <v>43100</v>
      </c>
      <c r="S41" s="439" t="n">
        <f aca="false">S8</f>
        <v>43465</v>
      </c>
      <c r="T41" s="439" t="n">
        <f aca="false">T8</f>
        <v>43830</v>
      </c>
      <c r="U41" s="439" t="n">
        <f aca="false">U8</f>
        <v>44196</v>
      </c>
      <c r="V41" s="439" t="n">
        <f aca="false">V8</f>
        <v>44561</v>
      </c>
      <c r="W41" s="439" t="n">
        <f aca="false">W8</f>
        <v>44926</v>
      </c>
      <c r="X41" s="439" t="n">
        <f aca="false">X8</f>
        <v>45291</v>
      </c>
      <c r="Y41" s="439" t="n">
        <f aca="false">Y8</f>
        <v>45657</v>
      </c>
      <c r="Z41" s="439" t="n">
        <f aca="false">Z8</f>
        <v>46022</v>
      </c>
      <c r="AA41" s="439" t="n">
        <f aca="false">AA8</f>
        <v>46387</v>
      </c>
      <c r="AB41" s="439" t="n">
        <f aca="false">AB8</f>
        <v>46752</v>
      </c>
      <c r="AC41" s="439" t="n">
        <f aca="false">AC8</f>
        <v>47118</v>
      </c>
      <c r="AD41" s="439" t="n">
        <f aca="false">AD8</f>
        <v>47483</v>
      </c>
      <c r="AE41" s="439" t="n">
        <f aca="false">AE8</f>
        <v>47848</v>
      </c>
      <c r="AF41" s="439" t="n">
        <f aca="false">AF8</f>
        <v>48213</v>
      </c>
    </row>
    <row r="42" customFormat="false" ht="12.75" hidden="false" customHeight="false" outlineLevel="0" collapsed="false">
      <c r="A42" s="430" t="s">
        <v>367</v>
      </c>
      <c r="B42" s="430" t="n">
        <f aca="false">B37</f>
        <v>58980.407594394</v>
      </c>
      <c r="C42" s="430" t="n">
        <f aca="false">C37</f>
        <v>51139.1641875841</v>
      </c>
      <c r="D42" s="430" t="n">
        <f aca="false">D37</f>
        <v>42939.0400728057</v>
      </c>
      <c r="E42" s="430" t="n">
        <f aca="false">E37</f>
        <v>33575.8402356447</v>
      </c>
      <c r="F42" s="430" t="n">
        <f aca="false">F37</f>
        <v>23386.4882260829</v>
      </c>
      <c r="G42" s="430" t="n">
        <f aca="false">G37</f>
        <v>12403.0978699394</v>
      </c>
      <c r="H42" s="430" t="n">
        <f aca="false">H37</f>
        <v>848.658833120386</v>
      </c>
      <c r="I42" s="430" t="n">
        <f aca="false">I37</f>
        <v>0</v>
      </c>
      <c r="J42" s="430" t="n">
        <f aca="false">J37</f>
        <v>0</v>
      </c>
      <c r="K42" s="430" t="n">
        <f aca="false">K37</f>
        <v>0</v>
      </c>
      <c r="L42" s="430" t="n">
        <f aca="false">L37</f>
        <v>0</v>
      </c>
      <c r="M42" s="430" t="n">
        <f aca="false">M37</f>
        <v>1386.233548235</v>
      </c>
      <c r="N42" s="430" t="n">
        <f aca="false">N37</f>
        <v>2920.51152425889</v>
      </c>
      <c r="O42" s="430" t="n">
        <f aca="false">O37</f>
        <v>4619.59612454835</v>
      </c>
      <c r="P42" s="430" t="n">
        <f aca="false">P37</f>
        <v>6497.76613215973</v>
      </c>
      <c r="Q42" s="430" t="n">
        <f aca="false">Q37</f>
        <v>8572.94109135459</v>
      </c>
      <c r="R42" s="430" t="n">
        <f aca="false">R37</f>
        <v>10859.053455767</v>
      </c>
      <c r="S42" s="430" t="n">
        <f aca="false">S37</f>
        <v>13379.9509372257</v>
      </c>
      <c r="T42" s="430" t="n">
        <f aca="false">T37</f>
        <v>16155.5877948249</v>
      </c>
      <c r="U42" s="430" t="n">
        <f aca="false">U37</f>
        <v>19211.2466346099</v>
      </c>
      <c r="V42" s="430" t="n">
        <f aca="false">V37</f>
        <v>22566.1525628676</v>
      </c>
      <c r="W42" s="430" t="n">
        <f aca="false">W37</f>
        <v>26254.1363551246</v>
      </c>
      <c r="X42" s="430" t="n">
        <f aca="false">X37</f>
        <v>30303.0872215741</v>
      </c>
      <c r="Y42" s="430" t="n">
        <f aca="false">Y37</f>
        <v>34748.6030995381</v>
      </c>
      <c r="Z42" s="430" t="n">
        <f aca="false">Z37</f>
        <v>39617.1667460974</v>
      </c>
      <c r="AA42" s="430" t="n">
        <f aca="false">AA37</f>
        <v>44956.5192106685</v>
      </c>
      <c r="AB42" s="430" t="n">
        <f aca="false">AB37</f>
        <v>50805.5996030512</v>
      </c>
      <c r="AC42" s="430" t="n">
        <f aca="false">AC37</f>
        <v>57214.4273378237</v>
      </c>
      <c r="AD42" s="430" t="n">
        <f aca="false">AD37</f>
        <v>64219.6241708922</v>
      </c>
      <c r="AE42" s="430" t="n">
        <f aca="false">AE37</f>
        <v>71888.4564359663</v>
      </c>
      <c r="AF42" s="430" t="n">
        <f aca="false">AF37</f>
        <v>78100.2722150632</v>
      </c>
    </row>
    <row r="43" customFormat="false" ht="12.75" hidden="false" customHeight="false" outlineLevel="0" collapsed="false">
      <c r="A43" s="430" t="s">
        <v>382</v>
      </c>
      <c r="B43" s="431" t="n">
        <v>0</v>
      </c>
      <c r="C43" s="431" t="n">
        <v>0</v>
      </c>
      <c r="D43" s="431" t="n">
        <v>0</v>
      </c>
      <c r="E43" s="431" t="n">
        <v>0</v>
      </c>
      <c r="F43" s="431" t="n">
        <v>0</v>
      </c>
      <c r="G43" s="431" t="n">
        <v>0</v>
      </c>
      <c r="H43" s="431" t="n">
        <v>0</v>
      </c>
      <c r="I43" s="431" t="n">
        <v>0</v>
      </c>
      <c r="J43" s="431" t="n">
        <v>0</v>
      </c>
      <c r="K43" s="431" t="n">
        <v>0</v>
      </c>
      <c r="L43" s="431" t="n">
        <v>0</v>
      </c>
      <c r="M43" s="431" t="n">
        <v>0</v>
      </c>
      <c r="N43" s="431" t="n">
        <v>0</v>
      </c>
      <c r="O43" s="431" t="n">
        <v>0</v>
      </c>
      <c r="P43" s="431" t="n">
        <v>0</v>
      </c>
      <c r="Q43" s="431" t="n">
        <v>0</v>
      </c>
      <c r="R43" s="431" t="n">
        <v>0</v>
      </c>
      <c r="S43" s="431" t="n">
        <v>0</v>
      </c>
      <c r="T43" s="431" t="n">
        <v>0</v>
      </c>
      <c r="U43" s="431" t="n">
        <v>0</v>
      </c>
      <c r="V43" s="431" t="n">
        <v>0</v>
      </c>
      <c r="W43" s="431" t="n">
        <v>0</v>
      </c>
      <c r="X43" s="431" t="n">
        <v>0</v>
      </c>
      <c r="Y43" s="431" t="n">
        <v>0</v>
      </c>
      <c r="Z43" s="431" t="n">
        <v>0</v>
      </c>
      <c r="AA43" s="431" t="n">
        <v>0</v>
      </c>
      <c r="AB43" s="431" t="n">
        <v>0</v>
      </c>
      <c r="AC43" s="431" t="n">
        <v>0</v>
      </c>
      <c r="AD43" s="431" t="n">
        <v>0</v>
      </c>
      <c r="AE43" s="431" t="n">
        <v>0</v>
      </c>
      <c r="AF43" s="431" t="n">
        <v>0</v>
      </c>
    </row>
    <row r="44" customFormat="false" ht="12.75" hidden="false" customHeight="false" outlineLevel="0" collapsed="false">
      <c r="A44" s="430" t="s">
        <v>384</v>
      </c>
      <c r="B44" s="432" t="n">
        <f aca="false">B42*(B41-B32)/365.25*$E$64</f>
        <v>1249.04436069169</v>
      </c>
      <c r="C44" s="432" t="n">
        <f aca="false">C42*(C41-C32)/(C41-B41)*$E$64</f>
        <v>1083.72995887935</v>
      </c>
      <c r="D44" s="432" t="n">
        <f aca="false">D42*(D41-D32)/(D41-C41)*$E$64</f>
        <v>909.954725926444</v>
      </c>
      <c r="E44" s="432" t="n">
        <f aca="false">E42*(E41-E32)/(E41-D41)*$E$64</f>
        <v>709.587771100305</v>
      </c>
      <c r="F44" s="432" t="n">
        <f aca="false">F42*(F41-F32)/(F41-E41)*$E$64</f>
        <v>495.601332681511</v>
      </c>
      <c r="G44" s="432" t="n">
        <f aca="false">G42*(G41-G32)/(G41-F41)*$E$64</f>
        <v>262.84373157255</v>
      </c>
      <c r="H44" s="432" t="n">
        <f aca="false">H42*(H41-H32)/(H41-G41)*$E$64</f>
        <v>17.9845919840717</v>
      </c>
      <c r="I44" s="432" t="n">
        <f aca="false">I42*(I41-I32)/(I41-H41)*$E$64</f>
        <v>0</v>
      </c>
      <c r="J44" s="432" t="n">
        <f aca="false">J42*(J41-J32)/(J41-I41)*$E$64</f>
        <v>0</v>
      </c>
      <c r="K44" s="432" t="n">
        <f aca="false">K42*(K41-K32)/(K41-J41)*$E$64</f>
        <v>0</v>
      </c>
      <c r="L44" s="432" t="n">
        <f aca="false">L42*(L41-L32)/(L41-K41)*$E$64</f>
        <v>0</v>
      </c>
      <c r="M44" s="432" t="n">
        <f aca="false">M42*(M41-M32)/(M41-L41)*$E$64</f>
        <v>29.2964931573707</v>
      </c>
      <c r="N44" s="432" t="n">
        <f aca="false">N42*(N41-N32)/(N41-M41)*$E$64</f>
        <v>61.8908401099796</v>
      </c>
      <c r="O44" s="432" t="n">
        <f aca="false">O42*(O41-O32)/(O41-N41)*$E$64</f>
        <v>97.8974685572096</v>
      </c>
      <c r="P44" s="432" t="n">
        <f aca="false">P42*(P41-P32)/(P41-O41)*$E$64</f>
        <v>137.69923570481</v>
      </c>
      <c r="Q44" s="432" t="n">
        <f aca="false">Q42*(Q41-Q32)/(Q41-P41)*$E$64</f>
        <v>181.17950639789</v>
      </c>
      <c r="R44" s="432" t="n">
        <f aca="false">R42*(R41-R32)/(R41-Q41)*$E$64</f>
        <v>230.122680768103</v>
      </c>
      <c r="S44" s="432" t="n">
        <f aca="false">S42*(S41-S32)/(S41-R41)*$E$64</f>
        <v>283.544987669701</v>
      </c>
      <c r="T44" s="432" t="n">
        <f aca="false">T42*(T41-T32)/(T41-S41)*$E$64</f>
        <v>342.36567559718</v>
      </c>
      <c r="U44" s="432" t="n">
        <f aca="false">U42*(U41-U32)/(U41-T41)*$E$64</f>
        <v>406.00817682707</v>
      </c>
      <c r="V44" s="432" t="n">
        <f aca="false">V42*(V41-V32)/(V41-U41)*$E$64</f>
        <v>478.216959106249</v>
      </c>
      <c r="W44" s="432" t="n">
        <f aca="false">W42*(W41-W32)/(W41-V41)*$E$64</f>
        <v>556.371903306545</v>
      </c>
      <c r="X44" s="432" t="n">
        <f aca="false">X42*(X41-X32)/(X41-W41)*$E$64</f>
        <v>642.176382627056</v>
      </c>
      <c r="Y44" s="432" t="n">
        <f aca="false">Y42*(Y41-Y32)/(Y41-X41)*$E$64</f>
        <v>734.372800477944</v>
      </c>
      <c r="Z44" s="432" t="n">
        <f aca="false">Z42*(Z41-Z32)/(Z41-Y41)*$E$64</f>
        <v>839.558314468668</v>
      </c>
      <c r="AA44" s="432" t="n">
        <f aca="false">AA42*(AA41-AA32)/(AA41-Z41)*$E$64</f>
        <v>952.708701628824</v>
      </c>
      <c r="AB44" s="432" t="n">
        <f aca="false">AB42*(AB41-AB32)/(AB41-AA41)*$E$64</f>
        <v>1076.66113131397</v>
      </c>
      <c r="AC44" s="432" t="n">
        <f aca="false">AC42*(AC41-AC32)/(AC41-AB41)*$E$64</f>
        <v>1209.1628291204</v>
      </c>
      <c r="AD44" s="432" t="n">
        <f aca="false">AD42*(AD41-AD32)/(AD41-AC41)*$E$64</f>
        <v>1360.92819989548</v>
      </c>
      <c r="AE44" s="432" t="n">
        <f aca="false">AE42*(AE41-AE32)/(AE41-AD41)*$E$64</f>
        <v>1523.44441241698</v>
      </c>
      <c r="AF44" s="432" t="n">
        <f aca="false">AF42*(AF41-AF32)/(AF41-AE41)*$E$64</f>
        <v>4437.80724860386</v>
      </c>
    </row>
    <row r="45" customFormat="false" ht="12.75" hidden="false" customHeight="false" outlineLevel="0" collapsed="false">
      <c r="A45" s="430" t="s">
        <v>371</v>
      </c>
      <c r="B45" s="430" t="n">
        <f aca="false">B42+B43</f>
        <v>58980.407594394</v>
      </c>
      <c r="C45" s="430" t="n">
        <f aca="false">C42+C43</f>
        <v>51139.1641875841</v>
      </c>
      <c r="D45" s="430" t="n">
        <f aca="false">D42+D43</f>
        <v>42939.0400728057</v>
      </c>
      <c r="E45" s="430" t="n">
        <f aca="false">E42+E43</f>
        <v>33575.8402356447</v>
      </c>
      <c r="F45" s="430" t="n">
        <f aca="false">F42+F43</f>
        <v>23386.4882260829</v>
      </c>
      <c r="G45" s="430" t="n">
        <f aca="false">G42+G43</f>
        <v>12403.0978699394</v>
      </c>
      <c r="H45" s="430" t="n">
        <f aca="false">H42+H43</f>
        <v>848.658833120386</v>
      </c>
      <c r="I45" s="430" t="n">
        <f aca="false">I42+I43</f>
        <v>0</v>
      </c>
      <c r="J45" s="430" t="n">
        <f aca="false">J42+J43</f>
        <v>0</v>
      </c>
      <c r="K45" s="430" t="n">
        <f aca="false">K42+K43</f>
        <v>0</v>
      </c>
      <c r="L45" s="430" t="n">
        <f aca="false">L42+L43</f>
        <v>0</v>
      </c>
      <c r="M45" s="430" t="n">
        <f aca="false">M42+M43</f>
        <v>1386.233548235</v>
      </c>
      <c r="N45" s="430" t="n">
        <f aca="false">N42+N43</f>
        <v>2920.51152425889</v>
      </c>
      <c r="O45" s="430" t="n">
        <f aca="false">O42+O43</f>
        <v>4619.59612454835</v>
      </c>
      <c r="P45" s="430" t="n">
        <f aca="false">P42+P43</f>
        <v>6497.76613215973</v>
      </c>
      <c r="Q45" s="430" t="n">
        <f aca="false">Q42+Q43</f>
        <v>8572.94109135459</v>
      </c>
      <c r="R45" s="430" t="n">
        <f aca="false">R42+R43</f>
        <v>10859.053455767</v>
      </c>
      <c r="S45" s="430" t="n">
        <f aca="false">S42+S43</f>
        <v>13379.9509372257</v>
      </c>
      <c r="T45" s="430" t="n">
        <f aca="false">T42+T43</f>
        <v>16155.5877948249</v>
      </c>
      <c r="U45" s="430" t="n">
        <f aca="false">U42+U43</f>
        <v>19211.2466346099</v>
      </c>
      <c r="V45" s="430" t="n">
        <f aca="false">V42+V43</f>
        <v>22566.1525628676</v>
      </c>
      <c r="W45" s="430" t="n">
        <f aca="false">W42+W43</f>
        <v>26254.1363551246</v>
      </c>
      <c r="X45" s="430" t="n">
        <f aca="false">X42+X43</f>
        <v>30303.0872215741</v>
      </c>
      <c r="Y45" s="430" t="n">
        <f aca="false">Y42+Y43</f>
        <v>34748.6030995381</v>
      </c>
      <c r="Z45" s="430" t="n">
        <f aca="false">Z42+Z43</f>
        <v>39617.1667460974</v>
      </c>
      <c r="AA45" s="430" t="n">
        <f aca="false">AA42+AA43</f>
        <v>44956.5192106685</v>
      </c>
      <c r="AB45" s="430" t="n">
        <f aca="false">AB42+AB43</f>
        <v>50805.5996030512</v>
      </c>
      <c r="AC45" s="430" t="n">
        <f aca="false">AC42+AC43</f>
        <v>57214.4273378237</v>
      </c>
      <c r="AD45" s="430" t="n">
        <f aca="false">AD42+AD43</f>
        <v>64219.6241708922</v>
      </c>
      <c r="AE45" s="430" t="n">
        <f aca="false">AE42+AE43</f>
        <v>71888.4564359663</v>
      </c>
      <c r="AF45" s="430" t="n">
        <f aca="false">AF42+AF43</f>
        <v>78100.2722150632</v>
      </c>
    </row>
    <row r="46" customFormat="false" ht="12.75" hidden="false" customHeight="false" outlineLevel="0" collapsed="false">
      <c r="A46" s="430"/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</row>
    <row r="47" customFormat="false" ht="12.75" hidden="false" customHeight="false" outlineLevel="0" collapsed="false">
      <c r="A47" s="440" t="s">
        <v>387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41"/>
      <c r="AH47" s="441"/>
      <c r="AI47" s="441"/>
      <c r="AJ47" s="441"/>
      <c r="AK47" s="441"/>
      <c r="AL47" s="441"/>
      <c r="AM47" s="441"/>
    </row>
    <row r="48" customFormat="false" ht="12.75" hidden="false" customHeight="false" outlineLevel="0" collapsed="false">
      <c r="A48" s="430" t="s">
        <v>388</v>
      </c>
      <c r="B48" s="433" t="n">
        <f aca="false">SUM(B35,B26)</f>
        <v>4017.29141908183</v>
      </c>
      <c r="C48" s="433" t="n">
        <f aca="false">SUM(C35,C26)</f>
        <v>7841.24340680993</v>
      </c>
      <c r="D48" s="433" t="n">
        <f aca="false">SUM(D35,D26)</f>
        <v>8200.12411477842</v>
      </c>
      <c r="E48" s="433" t="n">
        <f aca="false">SUM(E35,E26)</f>
        <v>9363.199837161</v>
      </c>
      <c r="F48" s="433" t="n">
        <f aca="false">SUM(F35,F26)</f>
        <v>10189.3520095617</v>
      </c>
      <c r="G48" s="433" t="n">
        <f aca="false">SUM(G35,G26)</f>
        <v>10983.3903561436</v>
      </c>
      <c r="H48" s="433" t="n">
        <f aca="false">SUM(H35,H26)</f>
        <v>11554.439036819</v>
      </c>
      <c r="I48" s="433" t="n">
        <f aca="false">SUM(I35,I26)</f>
        <v>848.658833120386</v>
      </c>
      <c r="J48" s="433" t="n">
        <f aca="false">SUM(J35,J26)</f>
        <v>0</v>
      </c>
      <c r="K48" s="433" t="n">
        <f aca="false">SUM(K35,K26)</f>
        <v>0</v>
      </c>
      <c r="L48" s="433" t="n">
        <f aca="false">SUM(L35,L26)</f>
        <v>0</v>
      </c>
      <c r="M48" s="433" t="n">
        <f aca="false">SUM(M35,M26)</f>
        <v>-1386.233548235</v>
      </c>
      <c r="N48" s="433" t="n">
        <f aca="false">SUM(N35,N26)</f>
        <v>-1534.2779760239</v>
      </c>
      <c r="O48" s="433" t="n">
        <f aca="false">SUM(O35,O26)</f>
        <v>-1699.08460028946</v>
      </c>
      <c r="P48" s="433" t="n">
        <f aca="false">SUM(P35,P26)</f>
        <v>-1878.17000761138</v>
      </c>
      <c r="Q48" s="433" t="n">
        <f aca="false">SUM(Q35,Q26)</f>
        <v>-2075.17495919486</v>
      </c>
      <c r="R48" s="433" t="n">
        <f aca="false">SUM(R35,R26)</f>
        <v>-2286.11236441239</v>
      </c>
      <c r="S48" s="433" t="n">
        <f aca="false">SUM(S35,S26)</f>
        <v>-2520.89748145871</v>
      </c>
      <c r="T48" s="433" t="n">
        <f aca="false">SUM(T35,T26)</f>
        <v>-2775.63685759921</v>
      </c>
      <c r="U48" s="433" t="n">
        <f aca="false">SUM(U35,U26)</f>
        <v>-3055.658839785</v>
      </c>
      <c r="V48" s="433" t="n">
        <f aca="false">SUM(V35,V26)</f>
        <v>-3354.9059282577</v>
      </c>
      <c r="W48" s="433" t="n">
        <f aca="false">SUM(W35,W26)</f>
        <v>-3687.98379225701</v>
      </c>
      <c r="X48" s="433" t="n">
        <f aca="false">SUM(X35,X26)</f>
        <v>-4048.95086644945</v>
      </c>
      <c r="Y48" s="433" t="n">
        <f aca="false">SUM(Y35,Y26)</f>
        <v>-4445.51587796407</v>
      </c>
      <c r="Z48" s="433" t="n">
        <f aca="false">SUM(Z35,Z26)</f>
        <v>-4868.5636465593</v>
      </c>
      <c r="AA48" s="433" t="n">
        <f aca="false">SUM(AA35,AA26)</f>
        <v>-5339.35246457104</v>
      </c>
      <c r="AB48" s="433" t="n">
        <f aca="false">SUM(AB35,AB26)</f>
        <v>-5849.08039238269</v>
      </c>
      <c r="AC48" s="433" t="n">
        <f aca="false">SUM(AC35,AC26)</f>
        <v>-6408.8277347725</v>
      </c>
      <c r="AD48" s="433" t="n">
        <f aca="false">SUM(AD35,AD26)</f>
        <v>-7005.19683306851</v>
      </c>
      <c r="AE48" s="433" t="n">
        <f aca="false">SUM(AE35,AE26)</f>
        <v>-7668.83226507414</v>
      </c>
      <c r="AF48" s="433" t="n">
        <f aca="false">SUM(AF35,AF26)</f>
        <v>-6211.81577909684</v>
      </c>
      <c r="AG48" s="441"/>
      <c r="AH48" s="441"/>
      <c r="AI48" s="441"/>
      <c r="AJ48" s="441"/>
      <c r="AK48" s="441"/>
      <c r="AL48" s="441"/>
      <c r="AM48" s="441"/>
    </row>
    <row r="49" customFormat="false" ht="12.75" hidden="false" customHeight="false" outlineLevel="0" collapsed="false">
      <c r="A49" s="440" t="s">
        <v>324</v>
      </c>
      <c r="B49" s="432" t="n">
        <f aca="false">B36</f>
        <v>2243.08028930939</v>
      </c>
      <c r="C49" s="432" t="n">
        <f aca="false">C27+C36+B44</f>
        <v>4848.57774797582</v>
      </c>
      <c r="D49" s="432" t="n">
        <f aca="false">D27+D36+C44</f>
        <v>4175.49595304932</v>
      </c>
      <c r="E49" s="432" t="n">
        <f aca="false">E27+E36+D44</f>
        <v>3457.52845044813</v>
      </c>
      <c r="F49" s="432" t="n">
        <f aca="false">F27+F36+E44</f>
        <v>2639.21155635157</v>
      </c>
      <c r="G49" s="432" t="n">
        <f aca="false">G27+G36+F44</f>
        <v>1758.58423906764</v>
      </c>
      <c r="H49" s="432" t="n">
        <f aca="false">H27+H36+G44</f>
        <v>813.135262442693</v>
      </c>
      <c r="I49" s="432" t="n">
        <f aca="false">I27+I36+H44</f>
        <v>36.1171386370811</v>
      </c>
      <c r="J49" s="432" t="n">
        <f aca="false">J27+J36+I44</f>
        <v>0</v>
      </c>
      <c r="K49" s="432" t="n">
        <f aca="false">K27+K36+J44</f>
        <v>0</v>
      </c>
      <c r="L49" s="432" t="n">
        <f aca="false">L27+L36+K44</f>
        <v>0</v>
      </c>
      <c r="M49" s="432" t="n">
        <f aca="false">M27+M36+L44</f>
        <v>28.8445169155385</v>
      </c>
      <c r="N49" s="432" t="n">
        <f aca="false">N27+N36+M44</f>
        <v>149.751819017188</v>
      </c>
      <c r="O49" s="432" t="n">
        <f aca="false">O27+O36+N44</f>
        <v>283.678399460013</v>
      </c>
      <c r="P49" s="432" t="n">
        <f aca="false">P27+P36+O44</f>
        <v>431.828710813085</v>
      </c>
      <c r="Q49" s="432" t="n">
        <f aca="false">Q27+Q36+P44</f>
        <v>595.874072242828</v>
      </c>
      <c r="R49" s="432" t="n">
        <f aca="false">R27+R36+Q44</f>
        <v>775.848253814674</v>
      </c>
      <c r="S49" s="432" t="n">
        <f aca="false">S27+S36+R44</f>
        <v>975.561910860799</v>
      </c>
      <c r="T49" s="432" t="n">
        <f aca="false">T27+T36+S44</f>
        <v>1195.14074227605</v>
      </c>
      <c r="U49" s="432" t="n">
        <f aca="false">U27+U36+T44</f>
        <v>1437.76149256323</v>
      </c>
      <c r="V49" s="432" t="n">
        <f aca="false">V27+V36+U44</f>
        <v>1701.72265365399</v>
      </c>
      <c r="W49" s="432" t="n">
        <f aca="false">W27+W36+V44</f>
        <v>1994.95813670364</v>
      </c>
      <c r="X49" s="432" t="n">
        <f aca="false">X27+X36+W44</f>
        <v>2315.94993177812</v>
      </c>
      <c r="Y49" s="432" t="n">
        <f aca="false">Y27+Y36+X44</f>
        <v>2670.05505750484</v>
      </c>
      <c r="Z49" s="432" t="n">
        <f aca="false">Z27+Z36+Y44</f>
        <v>3052.98449155289</v>
      </c>
      <c r="AA49" s="432" t="n">
        <f aca="false">AA27+AA36+Z44</f>
        <v>3478.66507837516</v>
      </c>
      <c r="AB49" s="432" t="n">
        <f aca="false">AB27+AB36+AA44</f>
        <v>3943.11888182741</v>
      </c>
      <c r="AC49" s="432" t="n">
        <f aca="false">AC27+AC36+AB44</f>
        <v>4454.83269435718</v>
      </c>
      <c r="AD49" s="432" t="n">
        <f aca="false">AD27+AD36+AC44</f>
        <v>5005.72043517421</v>
      </c>
      <c r="AE49" s="432" t="n">
        <f aca="false">AE27+AE36+AD44</f>
        <v>5618.35588022961</v>
      </c>
      <c r="AF49" s="432" t="n">
        <f aca="false">AF27+AF36+AE44</f>
        <v>3579.60444091949</v>
      </c>
      <c r="AG49" s="441"/>
      <c r="AH49" s="441"/>
      <c r="AI49" s="441"/>
      <c r="AJ49" s="441"/>
      <c r="AK49" s="441"/>
      <c r="AL49" s="441"/>
      <c r="AM49" s="441"/>
    </row>
    <row r="50" customFormat="false" ht="12.75" hidden="false" customHeight="false" outlineLevel="0" collapsed="false">
      <c r="A50" s="441" t="s">
        <v>389</v>
      </c>
      <c r="B50" s="441" t="n">
        <f aca="false">SUM(B48:B49)</f>
        <v>6260.37170839122</v>
      </c>
      <c r="C50" s="441" t="n">
        <f aca="false">SUM(C48:C49)</f>
        <v>12689.8211547858</v>
      </c>
      <c r="D50" s="441" t="n">
        <f aca="false">SUM(D48:D49)</f>
        <v>12375.6200678277</v>
      </c>
      <c r="E50" s="441" t="n">
        <f aca="false">SUM(E48:E49)</f>
        <v>12820.7282876091</v>
      </c>
      <c r="F50" s="441" t="n">
        <f aca="false">SUM(F48:F49)</f>
        <v>12828.5635659133</v>
      </c>
      <c r="G50" s="441" t="n">
        <f aca="false">SUM(G48:G49)</f>
        <v>12741.9745952112</v>
      </c>
      <c r="H50" s="441" t="n">
        <f aca="false">SUM(H48:H49)</f>
        <v>12367.5742992617</v>
      </c>
      <c r="I50" s="441" t="n">
        <f aca="false">SUM(I48:I49)</f>
        <v>884.775971757467</v>
      </c>
      <c r="J50" s="441" t="n">
        <f aca="false">SUM(J48:J49)</f>
        <v>0</v>
      </c>
      <c r="K50" s="441" t="n">
        <f aca="false">SUM(K48:K49)</f>
        <v>0</v>
      </c>
      <c r="L50" s="441" t="n">
        <f aca="false">SUM(L48:L49)</f>
        <v>0</v>
      </c>
      <c r="M50" s="441" t="n">
        <f aca="false">SUM(M48:M49)</f>
        <v>-1357.38903131946</v>
      </c>
      <c r="N50" s="441" t="n">
        <f aca="false">SUM(N48:N49)</f>
        <v>-1384.52615700671</v>
      </c>
      <c r="O50" s="441" t="n">
        <f aca="false">SUM(O48:O49)</f>
        <v>-1415.40620082945</v>
      </c>
      <c r="P50" s="441" t="n">
        <f aca="false">SUM(P48:P49)</f>
        <v>-1446.34129679829</v>
      </c>
      <c r="Q50" s="441" t="n">
        <f aca="false">SUM(Q48:Q49)</f>
        <v>-1479.30088695203</v>
      </c>
      <c r="R50" s="441" t="n">
        <f aca="false">SUM(R48:R49)</f>
        <v>-1510.26411059772</v>
      </c>
      <c r="S50" s="441" t="n">
        <f aca="false">SUM(S48:S49)</f>
        <v>-1545.33557059791</v>
      </c>
      <c r="T50" s="441" t="n">
        <f aca="false">SUM(T48:T49)</f>
        <v>-1580.49611532316</v>
      </c>
      <c r="U50" s="441" t="n">
        <f aca="false">SUM(U48:U49)</f>
        <v>-1617.89734722177</v>
      </c>
      <c r="V50" s="441" t="n">
        <f aca="false">SUM(V48:V49)</f>
        <v>-1653.18327460371</v>
      </c>
      <c r="W50" s="441" t="n">
        <f aca="false">SUM(W48:W49)</f>
        <v>-1693.02565555337</v>
      </c>
      <c r="X50" s="441" t="n">
        <f aca="false">SUM(X48:X49)</f>
        <v>-1733.00093467133</v>
      </c>
      <c r="Y50" s="441" t="n">
        <f aca="false">SUM(Y48:Y49)</f>
        <v>-1775.46082045923</v>
      </c>
      <c r="Z50" s="441" t="n">
        <f aca="false">SUM(Z48:Z49)</f>
        <v>-1815.57915500641</v>
      </c>
      <c r="AA50" s="441" t="n">
        <f aca="false">SUM(AA48:AA49)</f>
        <v>-1860.68738619589</v>
      </c>
      <c r="AB50" s="441" t="n">
        <f aca="false">SUM(AB48:AB49)</f>
        <v>-1905.96151055528</v>
      </c>
      <c r="AC50" s="441" t="n">
        <f aca="false">SUM(AC48:AC49)</f>
        <v>-1953.99504041532</v>
      </c>
      <c r="AD50" s="441" t="n">
        <f aca="false">SUM(AD48:AD49)</f>
        <v>-1999.47639789429</v>
      </c>
      <c r="AE50" s="441" t="n">
        <f aca="false">SUM(AE48:AE49)</f>
        <v>-2050.47638484453</v>
      </c>
      <c r="AF50" s="441" t="n">
        <f aca="false">SUM(AF48:AF49)</f>
        <v>-2632.21133817735</v>
      </c>
      <c r="AG50" s="441"/>
      <c r="AH50" s="441"/>
      <c r="AI50" s="441"/>
      <c r="AJ50" s="441"/>
      <c r="AK50" s="441"/>
      <c r="AL50" s="441"/>
      <c r="AM50" s="441"/>
    </row>
    <row r="51" customFormat="false" ht="12.75" hidden="false" customHeight="false" outlineLevel="0" collapsed="false">
      <c r="A51" s="441"/>
      <c r="B51" s="441"/>
      <c r="C51" s="441"/>
      <c r="D51" s="441"/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</row>
    <row r="52" customFormat="false" ht="12.75" hidden="false" customHeight="false" outlineLevel="0" collapsed="false">
      <c r="A52" s="442" t="s">
        <v>390</v>
      </c>
      <c r="B52" s="443" t="n">
        <f aca="false">IF(B33&gt;0.1,(B38+B29)/B50," ")</f>
        <v>1.5</v>
      </c>
      <c r="C52" s="443" t="n">
        <f aca="false">IF(C33&gt;0.1,(C38+C29)/C50," ")</f>
        <v>1.5</v>
      </c>
      <c r="D52" s="443" t="n">
        <f aca="false">IF(D33&gt;0.1,(D38+D29)/D50," ")</f>
        <v>1.5</v>
      </c>
      <c r="E52" s="443" t="n">
        <f aca="false">IF(E33&gt;0.1,(E38+E29)/E50," ")</f>
        <v>1.5</v>
      </c>
      <c r="F52" s="443" t="n">
        <f aca="false">IF(F33&gt;0.1,(F38+F29)/F50," ")</f>
        <v>1.5</v>
      </c>
      <c r="G52" s="443" t="n">
        <f aca="false">IF(G33&gt;0.1,(G38+G29)/G50," ")</f>
        <v>1.5</v>
      </c>
      <c r="H52" s="443" t="n">
        <f aca="false">IF(H33&gt;0.1,(H38+H29)/H50," ")</f>
        <v>1.5</v>
      </c>
      <c r="I52" s="443" t="str">
        <f aca="false">IF(I33&gt;0.1,(I38+I29)/I50," ")</f>
        <v> </v>
      </c>
      <c r="J52" s="443" t="str">
        <f aca="false">IF(J33&gt;0.1,(J38+J29)/J50," ")</f>
        <v> </v>
      </c>
      <c r="K52" s="443" t="str">
        <f aca="false">IF(K33&gt;0.1,(K38+K29)/K50," ")</f>
        <v> </v>
      </c>
      <c r="L52" s="443" t="str">
        <f aca="false">IF(L33&gt;0.1,(L38+L29)/L50," ")</f>
        <v> </v>
      </c>
      <c r="M52" s="443" t="n">
        <f aca="false">IF(M33&gt;0.1,(M38+M29)/M50," ")</f>
        <v>1.5</v>
      </c>
      <c r="N52" s="443" t="n">
        <f aca="false">IF(N33&gt;0.1,(N38+N29)/N50," ")</f>
        <v>1.5</v>
      </c>
      <c r="O52" s="443" t="n">
        <f aca="false">IF(O33&gt;0.1,(O38+O29)/O50," ")</f>
        <v>1.5</v>
      </c>
      <c r="P52" s="444" t="n">
        <f aca="false">IF(P33&gt;0.1,(P38+P29)/P50," ")</f>
        <v>1.5</v>
      </c>
      <c r="Q52" s="443" t="n">
        <f aca="false">IF(Q33&gt;0.1,(Q38+Q29)/Q50," ")</f>
        <v>1.5</v>
      </c>
      <c r="R52" s="443" t="n">
        <f aca="false">IF(R33&gt;0.1,(R38+R29)/R50," ")</f>
        <v>1.5</v>
      </c>
      <c r="S52" s="443" t="n">
        <f aca="false">IF(S33&gt;0.1,(S38+S29)/S50," ")</f>
        <v>1.5</v>
      </c>
      <c r="T52" s="443" t="n">
        <f aca="false">IF(T33&gt;0.1,(T38+T29)/T50," ")</f>
        <v>1.5</v>
      </c>
      <c r="U52" s="443" t="n">
        <f aca="false">IF(U33&gt;0.1,(U38+U29)/U50," ")</f>
        <v>1.5</v>
      </c>
      <c r="V52" s="443" t="n">
        <f aca="false">IF(V33&gt;0.1,(V38+V29)/V50," ")</f>
        <v>1.5</v>
      </c>
      <c r="W52" s="443" t="n">
        <f aca="false">IF(W33&gt;0.1,(W38+W29)/W50," ")</f>
        <v>1.5</v>
      </c>
      <c r="X52" s="443" t="n">
        <f aca="false">IF(X33&gt;0.1,(X38+X29)/X50," ")</f>
        <v>1.5</v>
      </c>
      <c r="Y52" s="443" t="n">
        <f aca="false">IF(Y33&gt;0.1,(Y38+Y29)/Y50," ")</f>
        <v>1.50000000000001</v>
      </c>
      <c r="Z52" s="443" t="n">
        <f aca="false">IF(Z33&gt;0.1,(Z38+Z29)/Z50," ")</f>
        <v>1.5</v>
      </c>
      <c r="AA52" s="443" t="n">
        <f aca="false">IF(AA33&gt;0.1,(AA38+AA29)/AA50," ")</f>
        <v>1.50000000000001</v>
      </c>
      <c r="AB52" s="443" t="n">
        <f aca="false">IF(AB33&gt;0.1,(AB38+AB29)/AB50," ")</f>
        <v>1.5</v>
      </c>
      <c r="AC52" s="443" t="n">
        <f aca="false">IF(AC33&gt;0.1,(AC38+AC29)/AC50," ")</f>
        <v>1.5</v>
      </c>
      <c r="AD52" s="443" t="n">
        <f aca="false">IF(AD33&gt;0.1,(AD38+AD29)/AD50," ")</f>
        <v>1.5</v>
      </c>
      <c r="AE52" s="443" t="n">
        <f aca="false">IF(AE33&gt;0.1,(AE38+AE29)/AE50," ")</f>
        <v>1.50000000000002</v>
      </c>
      <c r="AF52" s="444" t="n">
        <f aca="false">IF(AF33&gt;0.1,(AF38+AF29)/AF50," ")</f>
        <v>1.50000000000001</v>
      </c>
      <c r="AG52" s="416"/>
      <c r="AH52" s="416"/>
      <c r="AI52" s="416"/>
      <c r="AJ52" s="416"/>
      <c r="AK52" s="416"/>
      <c r="AL52" s="416"/>
      <c r="AM52" s="416"/>
    </row>
    <row r="53" customFormat="false" ht="12.75" hidden="false" customHeight="false" outlineLevel="0" collapsed="false">
      <c r="A53" s="445"/>
      <c r="B53" s="446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16"/>
      <c r="AH53" s="416"/>
      <c r="AI53" s="416"/>
      <c r="AJ53" s="416"/>
      <c r="AK53" s="416"/>
      <c r="AL53" s="416"/>
      <c r="AM53" s="416"/>
    </row>
    <row r="54" customFormat="false" ht="12.75" hidden="false" customHeight="false" outlineLevel="0" collapsed="false">
      <c r="A54" s="445"/>
      <c r="B54" s="446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16"/>
      <c r="AH54" s="416"/>
      <c r="AI54" s="416"/>
      <c r="AJ54" s="416"/>
      <c r="AK54" s="416"/>
      <c r="AL54" s="416"/>
      <c r="AM54" s="416"/>
    </row>
    <row r="55" customFormat="false" ht="12.75" hidden="false" customHeight="false" outlineLevel="0" collapsed="false">
      <c r="A55" s="440" t="s">
        <v>391</v>
      </c>
      <c r="B55" s="437"/>
      <c r="C55" s="437"/>
      <c r="D55" s="437"/>
      <c r="E55" s="437"/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37"/>
      <c r="X55" s="437"/>
      <c r="Y55" s="437"/>
      <c r="Z55" s="437"/>
      <c r="AA55" s="437"/>
      <c r="AB55" s="437"/>
      <c r="AC55" s="437"/>
      <c r="AD55" s="437"/>
      <c r="AE55" s="437"/>
      <c r="AF55" s="437"/>
    </row>
    <row r="56" customFormat="false" ht="12.75" hidden="false" customHeight="false" outlineLevel="0" collapsed="false">
      <c r="A56" s="430" t="s">
        <v>388</v>
      </c>
      <c r="B56" s="433" t="n">
        <f aca="false">B35+B26</f>
        <v>4017.29141908183</v>
      </c>
      <c r="C56" s="433" t="n">
        <f aca="false">C35+C26</f>
        <v>7841.24340680993</v>
      </c>
      <c r="D56" s="433" t="n">
        <f aca="false">D35+D26</f>
        <v>8200.12411477842</v>
      </c>
      <c r="E56" s="433" t="n">
        <f aca="false">E35+E26</f>
        <v>9363.199837161</v>
      </c>
      <c r="F56" s="433" t="n">
        <f aca="false">F35+F26</f>
        <v>10189.3520095617</v>
      </c>
      <c r="G56" s="433" t="n">
        <f aca="false">G35+G26</f>
        <v>10983.3903561436</v>
      </c>
      <c r="H56" s="433" t="n">
        <f aca="false">H35+H26</f>
        <v>11554.439036819</v>
      </c>
      <c r="I56" s="433" t="n">
        <f aca="false">I35+I26</f>
        <v>848.658833120386</v>
      </c>
      <c r="J56" s="433" t="n">
        <f aca="false">J35+J26</f>
        <v>0</v>
      </c>
      <c r="K56" s="433" t="n">
        <f aca="false">K35+K26</f>
        <v>0</v>
      </c>
      <c r="L56" s="433" t="n">
        <f aca="false">L35+L26</f>
        <v>0</v>
      </c>
      <c r="M56" s="433" t="n">
        <f aca="false">M35+M26</f>
        <v>-1386.233548235</v>
      </c>
      <c r="N56" s="433" t="n">
        <f aca="false">N35+N26</f>
        <v>-1534.2779760239</v>
      </c>
      <c r="O56" s="433" t="n">
        <f aca="false">O35+O26</f>
        <v>-1699.08460028946</v>
      </c>
      <c r="P56" s="433" t="n">
        <f aca="false">P35+P26</f>
        <v>-1878.17000761138</v>
      </c>
      <c r="Q56" s="433" t="n">
        <f aca="false">Q35+Q26</f>
        <v>-2075.17495919486</v>
      </c>
      <c r="R56" s="433" t="n">
        <f aca="false">R35+R26</f>
        <v>-2286.11236441239</v>
      </c>
      <c r="S56" s="433" t="n">
        <f aca="false">S35+S26</f>
        <v>-2520.89748145871</v>
      </c>
      <c r="T56" s="433" t="n">
        <f aca="false">T35+T26</f>
        <v>-2775.63685759921</v>
      </c>
      <c r="U56" s="433" t="n">
        <f aca="false">U35+U26</f>
        <v>-3055.658839785</v>
      </c>
      <c r="V56" s="433" t="n">
        <f aca="false">V35+V26</f>
        <v>-3354.9059282577</v>
      </c>
      <c r="W56" s="433" t="n">
        <f aca="false">W35+W26</f>
        <v>-3687.98379225701</v>
      </c>
      <c r="X56" s="433" t="n">
        <f aca="false">X35+X26</f>
        <v>-4048.95086644945</v>
      </c>
      <c r="Y56" s="433" t="n">
        <f aca="false">Y35+Y26</f>
        <v>-4445.51587796407</v>
      </c>
      <c r="Z56" s="433" t="n">
        <f aca="false">Z35+Z26</f>
        <v>-4868.5636465593</v>
      </c>
      <c r="AA56" s="433" t="n">
        <f aca="false">AA35+AA26</f>
        <v>-5339.35246457104</v>
      </c>
      <c r="AB56" s="433" t="n">
        <f aca="false">AB35+AB26</f>
        <v>-5849.08039238269</v>
      </c>
      <c r="AC56" s="433" t="n">
        <f aca="false">AC35+AC26</f>
        <v>-6408.8277347725</v>
      </c>
      <c r="AD56" s="433" t="n">
        <f aca="false">AD35+AD26</f>
        <v>-7005.19683306851</v>
      </c>
      <c r="AE56" s="433" t="n">
        <f aca="false">AE35+AE26</f>
        <v>-7668.83226507414</v>
      </c>
      <c r="AF56" s="433" t="n">
        <f aca="false">AF35+AF26</f>
        <v>-6211.81577909684</v>
      </c>
    </row>
    <row r="57" customFormat="false" ht="12.75" hidden="false" customHeight="false" outlineLevel="0" collapsed="false">
      <c r="A57" s="440" t="s">
        <v>324</v>
      </c>
      <c r="B57" s="432" t="n">
        <f aca="false">B36+B44+B27</f>
        <v>3492.12465000107</v>
      </c>
      <c r="C57" s="432" t="n">
        <f aca="false">C36+C44+C27</f>
        <v>4683.26334616349</v>
      </c>
      <c r="D57" s="432" t="n">
        <f aca="false">D36+D44+D27</f>
        <v>4001.72072009642</v>
      </c>
      <c r="E57" s="432" t="n">
        <f aca="false">E36+E44+E27</f>
        <v>3257.16149562199</v>
      </c>
      <c r="F57" s="432" t="n">
        <f aca="false">F36+F44+F27</f>
        <v>2425.22511793277</v>
      </c>
      <c r="G57" s="432" t="n">
        <f aca="false">G36+G44+G27</f>
        <v>1525.82663795868</v>
      </c>
      <c r="H57" s="432" t="n">
        <f aca="false">H36+H44+H27</f>
        <v>568.276122854214</v>
      </c>
      <c r="I57" s="432" t="n">
        <f aca="false">I36+I44+I27</f>
        <v>18.1325466530093</v>
      </c>
      <c r="J57" s="432" t="n">
        <f aca="false">J36+J44+J27</f>
        <v>0</v>
      </c>
      <c r="K57" s="432" t="n">
        <f aca="false">K36+K44+K27</f>
        <v>0</v>
      </c>
      <c r="L57" s="432" t="n">
        <f aca="false">L36+L44+L27</f>
        <v>0</v>
      </c>
      <c r="M57" s="432" t="n">
        <f aca="false">M36+M44+M27</f>
        <v>58.1410100729092</v>
      </c>
      <c r="N57" s="432" t="n">
        <f aca="false">N36+N44+N27</f>
        <v>182.346165969797</v>
      </c>
      <c r="O57" s="432" t="n">
        <f aca="false">O36+O44+O27</f>
        <v>319.685027907243</v>
      </c>
      <c r="P57" s="432" t="n">
        <f aca="false">P36+P44+P27</f>
        <v>471.630477960685</v>
      </c>
      <c r="Q57" s="432" t="n">
        <f aca="false">Q36+Q44+Q27</f>
        <v>639.354342935908</v>
      </c>
      <c r="R57" s="432" t="n">
        <f aca="false">R36+R44+R27</f>
        <v>824.791428184887</v>
      </c>
      <c r="S57" s="432" t="n">
        <f aca="false">S36+S44+S27</f>
        <v>1028.9842177624</v>
      </c>
      <c r="T57" s="432" t="n">
        <f aca="false">T36+T44+T27</f>
        <v>1253.96143020353</v>
      </c>
      <c r="U57" s="432" t="n">
        <f aca="false">U36+U44+U27</f>
        <v>1501.40399379312</v>
      </c>
      <c r="V57" s="432" t="n">
        <f aca="false">V36+V44+V27</f>
        <v>1773.93143593317</v>
      </c>
      <c r="W57" s="432" t="n">
        <f aca="false">W36+W44+W27</f>
        <v>2073.11308090394</v>
      </c>
      <c r="X57" s="432" t="n">
        <f aca="false">X36+X44+X27</f>
        <v>2401.75441109863</v>
      </c>
      <c r="Y57" s="432" t="n">
        <f aca="false">Y36+Y44+Y27</f>
        <v>2762.25147535573</v>
      </c>
      <c r="Z57" s="432" t="n">
        <f aca="false">Z36+Z44+Z27</f>
        <v>3158.17000554362</v>
      </c>
      <c r="AA57" s="432" t="n">
        <f aca="false">AA36+AA44+AA27</f>
        <v>3591.81546553531</v>
      </c>
      <c r="AB57" s="432" t="n">
        <f aca="false">AB36+AB44+AB27</f>
        <v>4067.07131151256</v>
      </c>
      <c r="AC57" s="432" t="n">
        <f aca="false">AC36+AC44+AC27</f>
        <v>4587.33439216361</v>
      </c>
      <c r="AD57" s="432" t="n">
        <f aca="false">AD36+AD44+AD27</f>
        <v>5157.48580594929</v>
      </c>
      <c r="AE57" s="432" t="n">
        <f aca="false">AE36+AE44+AE27</f>
        <v>5780.87209275111</v>
      </c>
      <c r="AF57" s="432" t="n">
        <f aca="false">AF36+AF44+AF27</f>
        <v>6493.96727710637</v>
      </c>
    </row>
    <row r="58" customFormat="false" ht="12.75" hidden="false" customHeight="false" outlineLevel="0" collapsed="false">
      <c r="A58" s="441" t="s">
        <v>389</v>
      </c>
      <c r="B58" s="441" t="n">
        <f aca="false">SUM(B56:B57)</f>
        <v>7509.41606908291</v>
      </c>
      <c r="C58" s="441" t="n">
        <f aca="false">SUM(C56:C57)</f>
        <v>12524.5067529734</v>
      </c>
      <c r="D58" s="441" t="n">
        <f aca="false">SUM(D56:D57)</f>
        <v>12201.8448348748</v>
      </c>
      <c r="E58" s="441" t="n">
        <f aca="false">SUM(E56:E57)</f>
        <v>12620.361332783</v>
      </c>
      <c r="F58" s="441" t="n">
        <f aca="false">SUM(F56:F57)</f>
        <v>12614.5771274945</v>
      </c>
      <c r="G58" s="441" t="n">
        <f aca="false">SUM(G56:G57)</f>
        <v>12509.2169941023</v>
      </c>
      <c r="H58" s="441" t="n">
        <f aca="false">SUM(H56:H57)</f>
        <v>12122.7151596732</v>
      </c>
      <c r="I58" s="441" t="n">
        <f aca="false">SUM(I56:I57)</f>
        <v>866.791379773395</v>
      </c>
      <c r="J58" s="441" t="n">
        <f aca="false">SUM(J56:J57)</f>
        <v>0</v>
      </c>
      <c r="K58" s="441" t="n">
        <f aca="false">SUM(K56:K57)</f>
        <v>0</v>
      </c>
      <c r="L58" s="441" t="n">
        <f aca="false">SUM(L56:L57)</f>
        <v>0</v>
      </c>
      <c r="M58" s="441" t="n">
        <f aca="false">SUM(M56:M57)</f>
        <v>-1328.09253816209</v>
      </c>
      <c r="N58" s="441" t="n">
        <f aca="false">SUM(N56:N57)</f>
        <v>-1351.9318100541</v>
      </c>
      <c r="O58" s="441" t="n">
        <f aca="false">SUM(O56:O57)</f>
        <v>-1379.39957238222</v>
      </c>
      <c r="P58" s="441" t="n">
        <f aca="false">SUM(P56:P57)</f>
        <v>-1406.53952965069</v>
      </c>
      <c r="Q58" s="441" t="n">
        <f aca="false">SUM(Q56:Q57)</f>
        <v>-1435.82061625895</v>
      </c>
      <c r="R58" s="441" t="n">
        <f aca="false">SUM(R56:R57)</f>
        <v>-1461.32093622751</v>
      </c>
      <c r="S58" s="441" t="n">
        <f aca="false">SUM(S56:S57)</f>
        <v>-1491.91326369631</v>
      </c>
      <c r="T58" s="441" t="n">
        <f aca="false">SUM(T56:T57)</f>
        <v>-1521.67542739568</v>
      </c>
      <c r="U58" s="441" t="n">
        <f aca="false">SUM(U56:U57)</f>
        <v>-1554.25484599188</v>
      </c>
      <c r="V58" s="441" t="n">
        <f aca="false">SUM(V56:V57)</f>
        <v>-1580.97449232453</v>
      </c>
      <c r="W58" s="441" t="n">
        <f aca="false">SUM(W56:W57)</f>
        <v>-1614.87071135307</v>
      </c>
      <c r="X58" s="441" t="n">
        <f aca="false">SUM(X56:X57)</f>
        <v>-1647.19645535082</v>
      </c>
      <c r="Y58" s="441" t="n">
        <f aca="false">SUM(Y56:Y57)</f>
        <v>-1683.26440260834</v>
      </c>
      <c r="Z58" s="441" t="n">
        <f aca="false">SUM(Z56:Z57)</f>
        <v>-1710.39364101568</v>
      </c>
      <c r="AA58" s="441" t="n">
        <f aca="false">SUM(AA56:AA57)</f>
        <v>-1747.53699903573</v>
      </c>
      <c r="AB58" s="441" t="n">
        <f aca="false">SUM(AB56:AB57)</f>
        <v>-1782.00908087013</v>
      </c>
      <c r="AC58" s="441" t="n">
        <f aca="false">SUM(AC56:AC57)</f>
        <v>-1821.4933426089</v>
      </c>
      <c r="AD58" s="441" t="n">
        <f aca="false">SUM(AD56:AD57)</f>
        <v>-1847.71102711921</v>
      </c>
      <c r="AE58" s="441" t="n">
        <f aca="false">SUM(AE56:AE57)</f>
        <v>-1887.96017232303</v>
      </c>
      <c r="AF58" s="441" t="n">
        <f aca="false">SUM(AF56:AF57)</f>
        <v>282.151498009534</v>
      </c>
      <c r="AG58" s="441"/>
      <c r="AH58" s="441"/>
      <c r="AI58" s="441"/>
      <c r="AJ58" s="441"/>
      <c r="AK58" s="441"/>
      <c r="AL58" s="441"/>
      <c r="AM58" s="441"/>
    </row>
    <row r="59" customFormat="false" ht="12.75" hidden="false" customHeight="false" outlineLevel="0" collapsed="false">
      <c r="A59" s="445"/>
      <c r="B59" s="446"/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16"/>
      <c r="AH59" s="416"/>
      <c r="AI59" s="416"/>
      <c r="AJ59" s="416"/>
      <c r="AK59" s="416"/>
      <c r="AL59" s="416"/>
      <c r="AM59" s="416"/>
    </row>
    <row r="60" customFormat="false" ht="12.75" hidden="false" customHeight="false" outlineLevel="0" collapsed="false">
      <c r="A60" s="445"/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  <c r="R60" s="448"/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  <c r="AD60" s="448"/>
      <c r="AE60" s="448"/>
      <c r="AF60" s="448"/>
      <c r="AG60" s="416"/>
      <c r="AH60" s="416"/>
      <c r="AI60" s="416"/>
      <c r="AJ60" s="416"/>
      <c r="AK60" s="416"/>
      <c r="AL60" s="416"/>
      <c r="AM60" s="416"/>
    </row>
    <row r="61" customFormat="false" ht="12.75" hidden="false" customHeight="false" outlineLevel="0" collapsed="false">
      <c r="B61" s="449" t="s">
        <v>392</v>
      </c>
      <c r="C61" s="449"/>
      <c r="D61" s="449"/>
      <c r="E61" s="449"/>
      <c r="F61" s="416"/>
      <c r="K61" s="416"/>
      <c r="L61" s="416"/>
      <c r="M61" s="450"/>
      <c r="N61" s="416"/>
      <c r="O61" s="416"/>
      <c r="P61" s="7"/>
      <c r="Q61" s="7"/>
      <c r="R61" s="7"/>
      <c r="S61" s="416"/>
      <c r="T61" s="416"/>
      <c r="U61" s="416"/>
      <c r="V61" s="416"/>
      <c r="X61" s="416"/>
      <c r="Z61" s="416"/>
      <c r="AA61" s="1"/>
      <c r="AB61" s="416"/>
      <c r="AD61" s="416"/>
      <c r="AF61" s="416"/>
      <c r="AG61" s="416"/>
      <c r="AH61" s="416"/>
      <c r="AI61" s="416"/>
      <c r="AJ61" s="416"/>
      <c r="AK61" s="416"/>
      <c r="AL61" s="416"/>
      <c r="AM61" s="416"/>
    </row>
    <row r="62" customFormat="false" ht="12.75" hidden="false" customHeight="false" outlineLevel="0" collapsed="false">
      <c r="B62" s="451" t="s">
        <v>393</v>
      </c>
      <c r="C62" s="104"/>
      <c r="D62" s="104"/>
      <c r="E62" s="452" t="n">
        <f aca="false">Assumptions!G37</f>
        <v>0.065</v>
      </c>
      <c r="F62" s="445"/>
      <c r="K62" s="445"/>
      <c r="L62" s="445"/>
      <c r="M62" s="445"/>
      <c r="N62" s="445"/>
      <c r="O62" s="445"/>
      <c r="P62" s="7"/>
      <c r="Q62" s="7"/>
      <c r="R62" s="7"/>
      <c r="S62" s="416"/>
      <c r="T62" s="416"/>
      <c r="U62" s="416"/>
      <c r="V62" s="416"/>
      <c r="X62" s="416"/>
      <c r="Z62" s="416"/>
      <c r="AA62" s="1"/>
      <c r="AB62" s="416"/>
      <c r="AD62" s="416"/>
      <c r="AF62" s="416"/>
      <c r="AG62" s="416"/>
      <c r="AH62" s="416"/>
      <c r="AI62" s="416"/>
      <c r="AJ62" s="416"/>
      <c r="AK62" s="416"/>
      <c r="AL62" s="416"/>
      <c r="AM62" s="416"/>
    </row>
    <row r="63" customFormat="false" ht="12.75" hidden="false" customHeight="false" outlineLevel="0" collapsed="false">
      <c r="B63" s="113" t="s">
        <v>184</v>
      </c>
      <c r="C63" s="31"/>
      <c r="D63" s="31"/>
      <c r="E63" s="453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30"/>
      <c r="B64" s="115" t="s">
        <v>394</v>
      </c>
      <c r="C64" s="116"/>
      <c r="D64" s="116"/>
      <c r="E64" s="454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5" t="s">
        <v>395</v>
      </c>
      <c r="C65" s="104"/>
      <c r="D65" s="104"/>
      <c r="E65" s="456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7" t="s">
        <v>396</v>
      </c>
      <c r="C66" s="31"/>
      <c r="D66" s="31"/>
      <c r="E66" s="458" t="n">
        <f aca="false">B77</f>
        <v>-25.3002018720177</v>
      </c>
      <c r="AA66" s="1"/>
      <c r="AB66" s="1"/>
    </row>
    <row r="67" customFormat="false" ht="12.75" hidden="false" customHeight="false" outlineLevel="0" collapsed="false">
      <c r="B67" s="115" t="s">
        <v>397</v>
      </c>
      <c r="C67" s="116"/>
      <c r="D67" s="116"/>
      <c r="E67" s="459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398</v>
      </c>
      <c r="E68" s="460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61"/>
      <c r="C69" s="116"/>
      <c r="D69" s="116" t="s">
        <v>399</v>
      </c>
      <c r="E69" s="462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30"/>
      <c r="AA70" s="1"/>
      <c r="AB70" s="1"/>
    </row>
    <row r="71" customFormat="false" ht="12.75" hidden="false" customHeight="false" outlineLevel="0" collapsed="false">
      <c r="B71" s="430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3" t="s">
        <v>400</v>
      </c>
      <c r="B74" s="225" t="n">
        <v>0</v>
      </c>
      <c r="C74" s="225" t="n">
        <f aca="false">(C32-$B$32)/365.25</f>
        <v>0.999315537303217</v>
      </c>
      <c r="D74" s="225" t="n">
        <f aca="false">(D32-$B$32)/365.25</f>
        <v>1.99863107460643</v>
      </c>
      <c r="E74" s="225" t="n">
        <f aca="false">(E32-$B$32)/365.25</f>
        <v>3.00068446269678</v>
      </c>
      <c r="F74" s="225" t="n">
        <f aca="false">(F32-$B$32)/365.25</f>
        <v>4</v>
      </c>
      <c r="G74" s="225" t="n">
        <f aca="false">(G32-$B$32)/365.25</f>
        <v>4.99931553730322</v>
      </c>
      <c r="H74" s="225" t="n">
        <f aca="false">(H32-$B$32)/365.25</f>
        <v>5.99863107460643</v>
      </c>
      <c r="I74" s="225" t="n">
        <f aca="false">(I32-$B$32)/365.25</f>
        <v>7.00068446269678</v>
      </c>
      <c r="J74" s="225" t="n">
        <f aca="false">(J32-$B$32)/365.25</f>
        <v>8</v>
      </c>
      <c r="K74" s="225" t="n">
        <f aca="false">(K32-$B$32)/365.25</f>
        <v>8.99931553730322</v>
      </c>
      <c r="L74" s="225" t="n">
        <f aca="false">(L32-$B$32)/365.25</f>
        <v>9.99863107460643</v>
      </c>
      <c r="M74" s="225" t="n">
        <f aca="false">(M32-$B$32)/365.25</f>
        <v>11.0006844626968</v>
      </c>
      <c r="N74" s="225" t="n">
        <f aca="false">(N32-$B$32)/365.25</f>
        <v>12</v>
      </c>
      <c r="O74" s="225" t="n">
        <f aca="false">(O32-$B$32)/365.25</f>
        <v>12.9993155373032</v>
      </c>
      <c r="P74" s="225" t="n">
        <f aca="false">(P32-$B$32)/365.25</f>
        <v>13.9986310746064</v>
      </c>
      <c r="Q74" s="225" t="n">
        <f aca="false">(Q32-$B$32)/365.25</f>
        <v>15.0006844626968</v>
      </c>
      <c r="R74" s="225" t="n">
        <f aca="false">(R32-$B$32)/365.25</f>
        <v>16</v>
      </c>
      <c r="S74" s="225" t="n">
        <f aca="false">(S32-$B$32)/365.25</f>
        <v>16.9993155373032</v>
      </c>
      <c r="T74" s="225" t="n">
        <f aca="false">(T32-$B$32)/365.25</f>
        <v>17.9986310746064</v>
      </c>
      <c r="U74" s="225" t="n">
        <f aca="false">(U32-$B$32)/365.25</f>
        <v>19.0006844626968</v>
      </c>
      <c r="V74" s="225" t="n">
        <f aca="false">(V32-$B$32)/365.25</f>
        <v>20</v>
      </c>
      <c r="W74" s="225" t="n">
        <f aca="false">(W32-$B$32)/365.25</f>
        <v>20.9993155373032</v>
      </c>
      <c r="X74" s="225" t="n">
        <f aca="false">(X32-$B$32)/365.25</f>
        <v>21.9986310746064</v>
      </c>
      <c r="Y74" s="225" t="n">
        <f aca="false">(Y32-$B$32)/365.25</f>
        <v>23.0006844626968</v>
      </c>
      <c r="Z74" s="225" t="n">
        <f aca="false">(Z32-$B$32)/365.25</f>
        <v>24</v>
      </c>
      <c r="AA74" s="225" t="n">
        <f aca="false">(AA32-$B$32)/365.25</f>
        <v>24.9993155373032</v>
      </c>
      <c r="AB74" s="225" t="n">
        <f aca="false">(AB32-$B$32)/365.25</f>
        <v>25.9986310746064</v>
      </c>
      <c r="AC74" s="225" t="n">
        <f aca="false">(AC32-$B$32)/365.25</f>
        <v>27.0006844626968</v>
      </c>
      <c r="AD74" s="225" t="n">
        <f aca="false">(AD32-$B$32)/365.25</f>
        <v>28</v>
      </c>
      <c r="AE74" s="225" t="n">
        <f aca="false">(AE32-$B$32)/365.25</f>
        <v>28.9993155373032</v>
      </c>
      <c r="AF74" s="225" t="n">
        <f aca="false">(AF32-$B$32)/365.25</f>
        <v>29.5797399041752</v>
      </c>
      <c r="AG74" s="463"/>
      <c r="AH74" s="463"/>
      <c r="AI74" s="463"/>
      <c r="AJ74" s="463"/>
      <c r="AK74" s="463"/>
      <c r="AL74" s="463"/>
      <c r="AM74" s="463"/>
      <c r="AN74" s="463"/>
      <c r="AO74" s="463"/>
      <c r="AP74" s="463"/>
      <c r="AQ74" s="463"/>
    </row>
    <row r="75" customFormat="false" ht="12.75" hidden="false" customHeight="false" outlineLevel="0" collapsed="false">
      <c r="B75" s="225" t="n">
        <f aca="false">(C23-$B$32)/365.25</f>
        <v>0.498288843258042</v>
      </c>
      <c r="C75" s="225" t="n">
        <f aca="false">(D23-$B$32)/365.25</f>
        <v>1.49760438056126</v>
      </c>
      <c r="D75" s="225" t="n">
        <f aca="false">(E23-$B$32)/365.25</f>
        <v>2.49965776865161</v>
      </c>
      <c r="E75" s="225" t="n">
        <f aca="false">(F23-$B$32)/365.25</f>
        <v>3.49897330595483</v>
      </c>
      <c r="F75" s="225" t="n">
        <f aca="false">(G23-$B$32)/365.25</f>
        <v>4.49828884325804</v>
      </c>
      <c r="G75" s="225" t="n">
        <f aca="false">(H23-$B$32)/365.25</f>
        <v>5.49760438056126</v>
      </c>
      <c r="H75" s="225" t="n">
        <f aca="false">(I23-$B$32)/365.25</f>
        <v>6.49965776865161</v>
      </c>
      <c r="I75" s="225" t="n">
        <f aca="false">(J23-$B$32)/365.25</f>
        <v>7.49897330595483</v>
      </c>
      <c r="J75" s="225" t="n">
        <f aca="false">(K23-$B$32)/365.25</f>
        <v>8.49828884325804</v>
      </c>
      <c r="K75" s="225" t="n">
        <f aca="false">(L23-$B$32)/365.25</f>
        <v>9.49760438056126</v>
      </c>
      <c r="L75" s="225" t="n">
        <f aca="false">(M23-$B$32)/365.25</f>
        <v>10.4996577686516</v>
      </c>
      <c r="M75" s="225" t="n">
        <f aca="false">(N23-$B$32)/365.25</f>
        <v>11.4989733059548</v>
      </c>
      <c r="N75" s="225" t="n">
        <f aca="false">(O23-$B$32)/365.25</f>
        <v>12.498288843258</v>
      </c>
      <c r="O75" s="225" t="n">
        <f aca="false">(P23-$B$32)/365.25</f>
        <v>13.4976043805613</v>
      </c>
      <c r="P75" s="225" t="n">
        <f aca="false">(Q23-$B$32)/365.25</f>
        <v>14.4996577686516</v>
      </c>
      <c r="Q75" s="225" t="n">
        <f aca="false">(R23-$B$32)/365.25</f>
        <v>15.4989733059548</v>
      </c>
      <c r="R75" s="225" t="n">
        <f aca="false">(S23-$B$32)/365.25</f>
        <v>16.498288843258</v>
      </c>
      <c r="S75" s="225" t="n">
        <f aca="false">(T23-$B$32)/365.25</f>
        <v>17.4976043805613</v>
      </c>
      <c r="T75" s="225" t="n">
        <f aca="false">(U23-$B$32)/365.25</f>
        <v>18.4996577686516</v>
      </c>
      <c r="U75" s="225" t="n">
        <f aca="false">(V23-$B$32)/365.25</f>
        <v>19.4989733059548</v>
      </c>
      <c r="V75" s="225" t="n">
        <f aca="false">(W23-$B$32)/365.25</f>
        <v>20.498288843258</v>
      </c>
      <c r="W75" s="225" t="n">
        <f aca="false">(X23-$B$32)/365.25</f>
        <v>21.4976043805613</v>
      </c>
      <c r="X75" s="225" t="n">
        <f aca="false">(Y23-$B$32)/365.25</f>
        <v>22.4996577686516</v>
      </c>
      <c r="Y75" s="225" t="n">
        <f aca="false">(Z23-$B$32)/365.25</f>
        <v>23.4989733059548</v>
      </c>
      <c r="Z75" s="225" t="n">
        <f aca="false">(AA23-$B$32)/365.25</f>
        <v>24.498288843258</v>
      </c>
      <c r="AA75" s="225" t="n">
        <f aca="false">(AB23-$B$32)/365.25</f>
        <v>25.4976043805613</v>
      </c>
      <c r="AB75" s="225" t="n">
        <f aca="false">(AC23-$B$32)/365.25</f>
        <v>26.4996577686516</v>
      </c>
      <c r="AC75" s="225" t="n">
        <f aca="false">(AD23-$B$32)/365.25</f>
        <v>27.4989733059548</v>
      </c>
      <c r="AD75" s="225" t="n">
        <f aca="false">(AE23-$B$32)/365.25</f>
        <v>28.498288843258</v>
      </c>
      <c r="AE75" s="225" t="n">
        <f aca="false">(AF23-$B$32)/365.25</f>
        <v>29.4976043805613</v>
      </c>
      <c r="AF75" s="225" t="n">
        <f aca="false">(AG23-$B$32)/365.25</f>
        <v>29.5797399041752</v>
      </c>
      <c r="AG75" s="225"/>
      <c r="AH75" s="225"/>
      <c r="AI75" s="225"/>
      <c r="AJ75" s="225"/>
      <c r="AK75" s="225"/>
      <c r="AL75" s="225"/>
      <c r="AM75" s="225"/>
      <c r="AN75" s="225"/>
      <c r="AO75" s="430"/>
      <c r="AP75" s="430"/>
    </row>
    <row r="76" customFormat="false" ht="12.75" hidden="false" customHeight="false" outlineLevel="0" collapsed="false"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430"/>
      <c r="AP76" s="430"/>
    </row>
    <row r="77" customFormat="false" ht="12.75" hidden="false" customHeight="false" outlineLevel="0" collapsed="false">
      <c r="A77" s="253" t="s">
        <v>401</v>
      </c>
      <c r="B77" s="464" t="n">
        <f aca="false">(SUMPRODUCT(B74:AF74,B35:AF35)+SUMPRODUCT(B75:AF75,B26:AF26))/E67</f>
        <v>-25.3002018720177</v>
      </c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</row>
    <row r="78" customFormat="false" ht="12.75" hidden="false" customHeight="false" outlineLevel="0" collapsed="false"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30"/>
      <c r="T78" s="430"/>
      <c r="U78" s="430"/>
      <c r="V78" s="430"/>
      <c r="W78" s="430"/>
      <c r="X78" s="430"/>
      <c r="Y78" s="430"/>
      <c r="Z78" s="430"/>
      <c r="AA78" s="465"/>
      <c r="AB78" s="465"/>
      <c r="AC78" s="430"/>
      <c r="AD78" s="430"/>
      <c r="AE78" s="430"/>
      <c r="AF78" s="430"/>
      <c r="AG78" s="430"/>
      <c r="AH78" s="430"/>
      <c r="AI78" s="430"/>
      <c r="AJ78" s="430"/>
      <c r="AK78" s="430"/>
      <c r="AL78" s="430"/>
      <c r="AM78" s="430"/>
      <c r="AN78" s="430"/>
      <c r="AO78" s="430"/>
      <c r="AP78" s="430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3"/>
      <c r="AB79" s="323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9" t="s">
        <v>402</v>
      </c>
    </row>
    <row r="5" customFormat="false" ht="12.75" hidden="false" customHeight="false" outlineLevel="0" collapsed="false">
      <c r="Z5" s="467"/>
    </row>
    <row r="6" customFormat="false" ht="12.75" hidden="false" customHeight="false" outlineLevel="0" collapsed="false">
      <c r="D6" s="236" t="n">
        <f aca="false">'Price_Technical Assumption'!D7</f>
        <v>0.666666666666667</v>
      </c>
      <c r="E6" s="236" t="n">
        <f aca="false">'Price_Technical Assumption'!E7</f>
        <v>1.66666666666667</v>
      </c>
      <c r="F6" s="236" t="n">
        <f aca="false">'Price_Technical Assumption'!F7</f>
        <v>2.66666666666667</v>
      </c>
      <c r="G6" s="236" t="n">
        <f aca="false">'Price_Technical Assumption'!G7</f>
        <v>3.66666666666667</v>
      </c>
      <c r="H6" s="236" t="n">
        <f aca="false">'Price_Technical Assumption'!H7</f>
        <v>4.66666666666667</v>
      </c>
      <c r="I6" s="236" t="n">
        <f aca="false">'Price_Technical Assumption'!I7</f>
        <v>5.66666666666667</v>
      </c>
      <c r="J6" s="236" t="n">
        <f aca="false">'Price_Technical Assumption'!J7</f>
        <v>6.66666666666667</v>
      </c>
      <c r="K6" s="236" t="n">
        <f aca="false">'Price_Technical Assumption'!K7</f>
        <v>7.66666666666667</v>
      </c>
      <c r="L6" s="236" t="n">
        <f aca="false">'Price_Technical Assumption'!L7</f>
        <v>8.66666666666667</v>
      </c>
      <c r="M6" s="236" t="n">
        <f aca="false">'Price_Technical Assumption'!M7</f>
        <v>9.66666666666667</v>
      </c>
      <c r="N6" s="236" t="n">
        <f aca="false">'Price_Technical Assumption'!N7</f>
        <v>10.6666666666667</v>
      </c>
      <c r="O6" s="236" t="n">
        <f aca="false">'Price_Technical Assumption'!O7</f>
        <v>11.6666666666667</v>
      </c>
      <c r="P6" s="236" t="n">
        <f aca="false">'Price_Technical Assumption'!P7</f>
        <v>12.6666666666667</v>
      </c>
      <c r="Q6" s="236" t="n">
        <f aca="false">'Price_Technical Assumption'!Q7</f>
        <v>13.6666666666667</v>
      </c>
      <c r="R6" s="236" t="n">
        <f aca="false">'Price_Technical Assumption'!R7</f>
        <v>14.6666666666667</v>
      </c>
      <c r="S6" s="236" t="n">
        <f aca="false">'Price_Technical Assumption'!S7</f>
        <v>15.6666666666667</v>
      </c>
      <c r="T6" s="236" t="n">
        <f aca="false">'Price_Technical Assumption'!T7</f>
        <v>16.6666666666667</v>
      </c>
      <c r="U6" s="236" t="n">
        <f aca="false">'Price_Technical Assumption'!U7</f>
        <v>17.6666666666667</v>
      </c>
      <c r="V6" s="236" t="n">
        <f aca="false">'Price_Technical Assumption'!V7</f>
        <v>18.6666666666667</v>
      </c>
      <c r="W6" s="236" t="n">
        <f aca="false">'Price_Technical Assumption'!W7</f>
        <v>19.6666666666667</v>
      </c>
      <c r="X6" s="236" t="n">
        <f aca="false">'Price_Technical Assumption'!X7</f>
        <v>20.6666666666667</v>
      </c>
      <c r="Y6" s="236" t="n">
        <f aca="false">'Price_Technical Assumption'!Y7</f>
        <v>21.6666666666667</v>
      </c>
      <c r="Z6" s="236" t="n">
        <f aca="false">'Price_Technical Assumption'!Z7</f>
        <v>22.6666666666667</v>
      </c>
      <c r="AA6" s="236" t="n">
        <f aca="false">'Price_Technical Assumption'!AA7</f>
        <v>23.6666666666667</v>
      </c>
      <c r="AB6" s="236" t="n">
        <f aca="false">'Price_Technical Assumption'!AB7</f>
        <v>24.6666666666667</v>
      </c>
      <c r="AC6" s="236" t="n">
        <f aca="false">'Price_Technical Assumption'!AC7</f>
        <v>25.6666666666667</v>
      </c>
      <c r="AD6" s="236" t="n">
        <f aca="false">'Price_Technical Assumption'!AD7</f>
        <v>26.6666666666667</v>
      </c>
      <c r="AE6" s="236" t="n">
        <f aca="false">'Price_Technical Assumption'!AE7</f>
        <v>27.6666666666667</v>
      </c>
      <c r="AF6" s="236" t="n">
        <f aca="false">'Price_Technical Assumption'!AF7</f>
        <v>28.6666666666667</v>
      </c>
      <c r="AG6" s="236" t="n">
        <f aca="false">'Price_Technical Assumption'!AG7</f>
        <v>29.6666666666667</v>
      </c>
      <c r="AH6" s="236" t="n">
        <f aca="false">'Price_Technical Assumption'!AH7</f>
        <v>30.6666666666667</v>
      </c>
    </row>
    <row r="7" customFormat="false" ht="13.5" hidden="false" customHeight="false" outlineLevel="0" collapsed="false">
      <c r="A7" s="350" t="s">
        <v>311</v>
      </c>
      <c r="B7" s="468"/>
      <c r="C7" s="468"/>
      <c r="D7" s="351" t="n">
        <f aca="false">'Price_Technical Assumption'!D8</f>
        <v>2001</v>
      </c>
      <c r="E7" s="351" t="n">
        <f aca="false">'Price_Technical Assumption'!E8</f>
        <v>2002</v>
      </c>
      <c r="F7" s="351" t="n">
        <f aca="false">'Price_Technical Assumption'!F8</f>
        <v>2003</v>
      </c>
      <c r="G7" s="351" t="n">
        <f aca="false">'Price_Technical Assumption'!G8</f>
        <v>2004</v>
      </c>
      <c r="H7" s="351" t="n">
        <f aca="false">'Price_Technical Assumption'!H8</f>
        <v>2005</v>
      </c>
      <c r="I7" s="351" t="n">
        <f aca="false">'Price_Technical Assumption'!I8</f>
        <v>2006</v>
      </c>
      <c r="J7" s="351" t="n">
        <f aca="false">'Price_Technical Assumption'!J8</f>
        <v>2007</v>
      </c>
      <c r="K7" s="351" t="n">
        <f aca="false">'Price_Technical Assumption'!K8</f>
        <v>2008</v>
      </c>
      <c r="L7" s="351" t="n">
        <f aca="false">'Price_Technical Assumption'!L8</f>
        <v>2009</v>
      </c>
      <c r="M7" s="351" t="n">
        <f aca="false">'Price_Technical Assumption'!M8</f>
        <v>2010</v>
      </c>
      <c r="N7" s="351" t="n">
        <f aca="false">'Price_Technical Assumption'!N8</f>
        <v>2011</v>
      </c>
      <c r="O7" s="351" t="n">
        <f aca="false">'Price_Technical Assumption'!O8</f>
        <v>2012</v>
      </c>
      <c r="P7" s="351" t="n">
        <f aca="false">'Price_Technical Assumption'!P8</f>
        <v>2013</v>
      </c>
      <c r="Q7" s="351" t="n">
        <f aca="false">'Price_Technical Assumption'!Q8</f>
        <v>2014</v>
      </c>
      <c r="R7" s="351" t="n">
        <f aca="false">'Price_Technical Assumption'!R8</f>
        <v>2015</v>
      </c>
      <c r="S7" s="351" t="n">
        <f aca="false">'Price_Technical Assumption'!S8</f>
        <v>2016</v>
      </c>
      <c r="T7" s="351" t="n">
        <f aca="false">'Price_Technical Assumption'!T8</f>
        <v>2017</v>
      </c>
      <c r="U7" s="351" t="n">
        <f aca="false">'Price_Technical Assumption'!U8</f>
        <v>2018</v>
      </c>
      <c r="V7" s="351" t="n">
        <f aca="false">'Price_Technical Assumption'!V8</f>
        <v>2019</v>
      </c>
      <c r="W7" s="351" t="n">
        <f aca="false">'Price_Technical Assumption'!W8</f>
        <v>2020</v>
      </c>
      <c r="X7" s="351" t="n">
        <f aca="false">'Price_Technical Assumption'!X8</f>
        <v>2021</v>
      </c>
      <c r="Y7" s="351" t="n">
        <f aca="false">'Price_Technical Assumption'!Y8</f>
        <v>2022</v>
      </c>
      <c r="Z7" s="351" t="n">
        <f aca="false">'Price_Technical Assumption'!Z8</f>
        <v>2023</v>
      </c>
      <c r="AA7" s="351" t="n">
        <f aca="false">'Price_Technical Assumption'!AA8</f>
        <v>2024</v>
      </c>
      <c r="AB7" s="351" t="n">
        <f aca="false">'Price_Technical Assumption'!AB8</f>
        <v>2025</v>
      </c>
      <c r="AC7" s="351" t="n">
        <f aca="false">'Price_Technical Assumption'!AC8</f>
        <v>2026</v>
      </c>
      <c r="AD7" s="351" t="n">
        <f aca="false">'Price_Technical Assumption'!AD8</f>
        <v>2027</v>
      </c>
      <c r="AE7" s="351" t="n">
        <f aca="false">'Price_Technical Assumption'!AE8</f>
        <v>2028</v>
      </c>
      <c r="AF7" s="351" t="n">
        <f aca="false">'Price_Technical Assumption'!AF8</f>
        <v>2029</v>
      </c>
      <c r="AG7" s="351" t="n">
        <f aca="false">'Price_Technical Assumption'!AG8</f>
        <v>2030</v>
      </c>
      <c r="AH7" s="351" t="n">
        <f aca="false">'Price_Technical Assumption'!AH8</f>
        <v>2031</v>
      </c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69"/>
      <c r="BF7" s="469"/>
      <c r="BG7" s="469"/>
      <c r="BH7" s="469"/>
      <c r="BI7" s="469"/>
      <c r="BJ7" s="469"/>
      <c r="BK7" s="469"/>
      <c r="BL7" s="469"/>
      <c r="BM7" s="469"/>
      <c r="BN7" s="469"/>
      <c r="BO7" s="469"/>
      <c r="BP7" s="469"/>
      <c r="BQ7" s="469"/>
      <c r="BR7" s="469"/>
      <c r="BS7" s="469"/>
      <c r="BT7" s="469"/>
      <c r="BU7" s="469"/>
      <c r="BV7" s="469"/>
      <c r="BW7" s="469"/>
      <c r="BX7" s="469"/>
      <c r="BY7" s="469"/>
      <c r="BZ7" s="469"/>
      <c r="CA7" s="469"/>
      <c r="CB7" s="469"/>
      <c r="CC7" s="469"/>
      <c r="CD7" s="469"/>
      <c r="CE7" s="469"/>
      <c r="CF7" s="469"/>
      <c r="CG7" s="469"/>
      <c r="CH7" s="469"/>
      <c r="CI7" s="469"/>
      <c r="CJ7" s="469"/>
      <c r="CK7" s="469"/>
      <c r="CL7" s="469"/>
      <c r="CM7" s="469"/>
      <c r="CN7" s="469"/>
      <c r="CO7" s="469"/>
      <c r="CP7" s="469"/>
      <c r="CQ7" s="469"/>
      <c r="CR7" s="469"/>
      <c r="CS7" s="469"/>
      <c r="CT7" s="469"/>
      <c r="CU7" s="469"/>
      <c r="CV7" s="469"/>
      <c r="CW7" s="469"/>
      <c r="CX7" s="469"/>
      <c r="CY7" s="469"/>
      <c r="CZ7" s="469"/>
      <c r="DA7" s="469"/>
      <c r="DB7" s="469"/>
      <c r="DC7" s="469"/>
      <c r="DD7" s="469"/>
      <c r="DE7" s="469"/>
      <c r="DF7" s="469"/>
      <c r="DG7" s="469"/>
      <c r="DH7" s="469"/>
      <c r="DI7" s="469"/>
      <c r="DJ7" s="469"/>
      <c r="DK7" s="469"/>
      <c r="DL7" s="469"/>
      <c r="DM7" s="469"/>
      <c r="DN7" s="469"/>
      <c r="DO7" s="469"/>
      <c r="DP7" s="469"/>
      <c r="DQ7" s="469"/>
      <c r="DR7" s="469"/>
      <c r="DS7" s="469"/>
      <c r="DT7" s="469"/>
      <c r="DU7" s="469"/>
      <c r="DV7" s="469"/>
      <c r="DW7" s="469"/>
      <c r="DX7" s="469"/>
      <c r="DY7" s="469"/>
      <c r="DZ7" s="469"/>
      <c r="EA7" s="469"/>
      <c r="EB7" s="469"/>
      <c r="EC7" s="469"/>
      <c r="ED7" s="469"/>
      <c r="EE7" s="469"/>
      <c r="EF7" s="469"/>
      <c r="EG7" s="469"/>
      <c r="EH7" s="469"/>
      <c r="EI7" s="469"/>
      <c r="EJ7" s="469"/>
      <c r="EK7" s="469"/>
      <c r="EL7" s="469"/>
      <c r="EM7" s="469"/>
      <c r="EN7" s="469"/>
      <c r="EO7" s="469"/>
      <c r="EP7" s="469"/>
      <c r="EQ7" s="469"/>
      <c r="ER7" s="469"/>
      <c r="ES7" s="469"/>
      <c r="ET7" s="469"/>
      <c r="EU7" s="469"/>
      <c r="EV7" s="469"/>
      <c r="EW7" s="469"/>
      <c r="EX7" s="469"/>
      <c r="EY7" s="469"/>
      <c r="EZ7" s="469"/>
      <c r="FA7" s="469"/>
      <c r="FB7" s="469"/>
      <c r="FC7" s="469"/>
      <c r="FD7" s="469"/>
      <c r="FE7" s="469"/>
      <c r="FF7" s="469"/>
      <c r="FG7" s="469"/>
      <c r="FH7" s="469"/>
      <c r="FI7" s="469"/>
      <c r="FJ7" s="469"/>
      <c r="FK7" s="469"/>
      <c r="FL7" s="469"/>
      <c r="FM7" s="469"/>
      <c r="FN7" s="469"/>
      <c r="FO7" s="469"/>
      <c r="FP7" s="469"/>
      <c r="FQ7" s="469"/>
      <c r="FR7" s="469"/>
      <c r="FS7" s="469"/>
      <c r="FT7" s="469"/>
      <c r="FU7" s="469"/>
      <c r="FV7" s="469"/>
      <c r="FW7" s="469"/>
      <c r="FX7" s="469"/>
      <c r="FY7" s="469"/>
      <c r="FZ7" s="469"/>
      <c r="GA7" s="469"/>
      <c r="GB7" s="469"/>
      <c r="GC7" s="469"/>
      <c r="GD7" s="469"/>
      <c r="GE7" s="469"/>
      <c r="GF7" s="469"/>
      <c r="GG7" s="469"/>
      <c r="GH7" s="469"/>
      <c r="GI7" s="469"/>
      <c r="GJ7" s="469"/>
      <c r="GK7" s="469"/>
      <c r="GL7" s="469"/>
      <c r="GM7" s="469"/>
      <c r="GN7" s="469"/>
      <c r="GO7" s="469"/>
      <c r="GP7" s="469"/>
      <c r="GQ7" s="469"/>
      <c r="GR7" s="469"/>
      <c r="GS7" s="469"/>
      <c r="GT7" s="469"/>
      <c r="GU7" s="469"/>
      <c r="GV7" s="469"/>
      <c r="GW7" s="469"/>
      <c r="GX7" s="469"/>
      <c r="GY7" s="469"/>
      <c r="GZ7" s="469"/>
      <c r="HA7" s="469"/>
      <c r="HB7" s="469"/>
      <c r="HC7" s="469"/>
      <c r="HD7" s="469"/>
      <c r="HE7" s="469"/>
      <c r="HF7" s="469"/>
      <c r="HG7" s="469"/>
      <c r="HH7" s="469"/>
      <c r="HI7" s="469"/>
      <c r="HJ7" s="469"/>
      <c r="HK7" s="469"/>
      <c r="HL7" s="469"/>
      <c r="HM7" s="469"/>
      <c r="HN7" s="469"/>
      <c r="HO7" s="469"/>
      <c r="HP7" s="469"/>
      <c r="HQ7" s="469"/>
      <c r="HR7" s="469"/>
      <c r="HS7" s="469"/>
      <c r="HT7" s="469"/>
      <c r="HU7" s="469"/>
      <c r="HV7" s="469"/>
      <c r="HW7" s="469"/>
      <c r="HX7" s="469"/>
      <c r="HY7" s="469"/>
      <c r="HZ7" s="469"/>
      <c r="IA7" s="469"/>
      <c r="IB7" s="469"/>
      <c r="IC7" s="469"/>
      <c r="ID7" s="469"/>
      <c r="IE7" s="469"/>
      <c r="IF7" s="469"/>
      <c r="IG7" s="469"/>
      <c r="IH7" s="469"/>
      <c r="II7" s="469"/>
      <c r="IJ7" s="469"/>
      <c r="IK7" s="469"/>
      <c r="IL7" s="469"/>
      <c r="IM7" s="469"/>
      <c r="IN7" s="469"/>
      <c r="IO7" s="469"/>
      <c r="IP7" s="469"/>
      <c r="IQ7" s="469"/>
      <c r="IR7" s="469"/>
      <c r="IS7" s="469"/>
      <c r="IT7" s="469"/>
      <c r="IU7" s="469"/>
      <c r="IV7" s="469"/>
      <c r="IW7" s="469"/>
    </row>
    <row r="8" customFormat="false" ht="12.75" hidden="false" customHeight="false" outlineLevel="0" collapsed="false">
      <c r="A8" s="388"/>
      <c r="B8" s="470"/>
      <c r="C8" s="470"/>
      <c r="D8" s="471" t="n">
        <f aca="false">IS!C8</f>
        <v>37256</v>
      </c>
      <c r="E8" s="471" t="n">
        <f aca="false">IS!D8</f>
        <v>37621</v>
      </c>
      <c r="F8" s="471" t="n">
        <f aca="false">IS!E8</f>
        <v>37986</v>
      </c>
      <c r="G8" s="471" t="n">
        <f aca="false">IS!F8</f>
        <v>38352</v>
      </c>
      <c r="H8" s="471" t="n">
        <f aca="false">IS!G8</f>
        <v>38717</v>
      </c>
      <c r="I8" s="471" t="n">
        <f aca="false">IS!H8</f>
        <v>39082</v>
      </c>
      <c r="J8" s="471" t="n">
        <f aca="false">IS!I8</f>
        <v>39447</v>
      </c>
      <c r="K8" s="471" t="n">
        <f aca="false">IS!J8</f>
        <v>39813</v>
      </c>
      <c r="L8" s="471" t="n">
        <f aca="false">IS!K8</f>
        <v>40178</v>
      </c>
      <c r="M8" s="471" t="n">
        <f aca="false">IS!L8</f>
        <v>40543</v>
      </c>
      <c r="N8" s="471" t="n">
        <f aca="false">IS!M8</f>
        <v>40908</v>
      </c>
      <c r="O8" s="471" t="n">
        <f aca="false">IS!N8</f>
        <v>41274</v>
      </c>
      <c r="P8" s="471" t="n">
        <f aca="false">IS!O8</f>
        <v>41639</v>
      </c>
      <c r="Q8" s="471" t="n">
        <f aca="false">IS!P8</f>
        <v>42004</v>
      </c>
      <c r="R8" s="471" t="n">
        <f aca="false">IS!Q8</f>
        <v>42369</v>
      </c>
      <c r="S8" s="471" t="n">
        <f aca="false">IS!R8</f>
        <v>42735</v>
      </c>
      <c r="T8" s="471" t="n">
        <f aca="false">IS!S8</f>
        <v>43100</v>
      </c>
      <c r="U8" s="471" t="n">
        <f aca="false">IS!T8</f>
        <v>43465</v>
      </c>
      <c r="V8" s="471" t="n">
        <f aca="false">IS!U8</f>
        <v>43830</v>
      </c>
      <c r="W8" s="471" t="n">
        <f aca="false">IS!V8</f>
        <v>44196</v>
      </c>
      <c r="X8" s="471" t="n">
        <f aca="false">IS!W8</f>
        <v>44561</v>
      </c>
      <c r="Y8" s="471" t="n">
        <f aca="false">IS!X8</f>
        <v>44926</v>
      </c>
      <c r="Z8" s="471" t="n">
        <f aca="false">IS!Y8</f>
        <v>45291</v>
      </c>
      <c r="AA8" s="471" t="n">
        <f aca="false">IS!Z8</f>
        <v>45657</v>
      </c>
      <c r="AB8" s="471" t="n">
        <f aca="false">IS!AA8</f>
        <v>46022</v>
      </c>
      <c r="AC8" s="471" t="n">
        <f aca="false">IS!AB8</f>
        <v>46387</v>
      </c>
      <c r="AD8" s="471" t="n">
        <f aca="false">IS!AC8</f>
        <v>46752</v>
      </c>
      <c r="AE8" s="471" t="n">
        <f aca="false">IS!AD8</f>
        <v>47118</v>
      </c>
      <c r="AF8" s="471" t="n">
        <f aca="false">IS!AE8</f>
        <v>47483</v>
      </c>
      <c r="AG8" s="471" t="n">
        <f aca="false">IS!AF8</f>
        <v>47848</v>
      </c>
      <c r="AH8" s="471" t="n">
        <f aca="false">IS!AG8</f>
        <v>48213</v>
      </c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69"/>
      <c r="BT8" s="469"/>
      <c r="BU8" s="469"/>
      <c r="BV8" s="469"/>
      <c r="BW8" s="469"/>
      <c r="BX8" s="469"/>
      <c r="BY8" s="469"/>
      <c r="BZ8" s="469"/>
      <c r="CA8" s="469"/>
      <c r="CB8" s="469"/>
      <c r="CC8" s="469"/>
      <c r="CD8" s="469"/>
      <c r="CE8" s="469"/>
      <c r="CF8" s="469"/>
      <c r="CG8" s="469"/>
      <c r="CH8" s="469"/>
      <c r="CI8" s="469"/>
      <c r="CJ8" s="469"/>
      <c r="CK8" s="469"/>
      <c r="CL8" s="469"/>
      <c r="CM8" s="469"/>
      <c r="CN8" s="469"/>
      <c r="CO8" s="469"/>
      <c r="CP8" s="469"/>
      <c r="CQ8" s="469"/>
      <c r="CR8" s="469"/>
      <c r="CS8" s="469"/>
      <c r="CT8" s="469"/>
      <c r="CU8" s="469"/>
      <c r="CV8" s="469"/>
      <c r="CW8" s="469"/>
      <c r="CX8" s="469"/>
      <c r="CY8" s="469"/>
      <c r="CZ8" s="469"/>
      <c r="DA8" s="469"/>
      <c r="DB8" s="469"/>
      <c r="DC8" s="469"/>
      <c r="DD8" s="469"/>
      <c r="DE8" s="469"/>
      <c r="DF8" s="469"/>
      <c r="DG8" s="469"/>
      <c r="DH8" s="469"/>
      <c r="DI8" s="469"/>
      <c r="DJ8" s="469"/>
      <c r="DK8" s="469"/>
      <c r="DL8" s="469"/>
      <c r="DM8" s="469"/>
      <c r="DN8" s="469"/>
      <c r="DO8" s="469"/>
      <c r="DP8" s="469"/>
      <c r="DQ8" s="469"/>
      <c r="DR8" s="469"/>
      <c r="DS8" s="469"/>
      <c r="DT8" s="469"/>
      <c r="DU8" s="469"/>
      <c r="DV8" s="469"/>
      <c r="DW8" s="469"/>
      <c r="DX8" s="469"/>
      <c r="DY8" s="469"/>
      <c r="DZ8" s="469"/>
      <c r="EA8" s="469"/>
      <c r="EB8" s="469"/>
      <c r="EC8" s="469"/>
      <c r="ED8" s="469"/>
      <c r="EE8" s="469"/>
      <c r="EF8" s="469"/>
      <c r="EG8" s="469"/>
      <c r="EH8" s="469"/>
      <c r="EI8" s="469"/>
      <c r="EJ8" s="469"/>
      <c r="EK8" s="469"/>
      <c r="EL8" s="469"/>
      <c r="EM8" s="469"/>
      <c r="EN8" s="469"/>
      <c r="EO8" s="469"/>
      <c r="EP8" s="469"/>
      <c r="EQ8" s="469"/>
      <c r="ER8" s="469"/>
      <c r="ES8" s="469"/>
      <c r="ET8" s="469"/>
      <c r="EU8" s="469"/>
      <c r="EV8" s="469"/>
      <c r="EW8" s="469"/>
      <c r="EX8" s="469"/>
      <c r="EY8" s="469"/>
      <c r="EZ8" s="469"/>
      <c r="FA8" s="469"/>
      <c r="FB8" s="469"/>
      <c r="FC8" s="469"/>
      <c r="FD8" s="469"/>
      <c r="FE8" s="469"/>
      <c r="FF8" s="469"/>
      <c r="FG8" s="469"/>
      <c r="FH8" s="469"/>
      <c r="FI8" s="469"/>
      <c r="FJ8" s="469"/>
      <c r="FK8" s="469"/>
      <c r="FL8" s="469"/>
      <c r="FM8" s="469"/>
      <c r="FN8" s="469"/>
      <c r="FO8" s="469"/>
      <c r="FP8" s="469"/>
      <c r="FQ8" s="469"/>
      <c r="FR8" s="469"/>
      <c r="FS8" s="469"/>
      <c r="FT8" s="469"/>
      <c r="FU8" s="469"/>
      <c r="FV8" s="469"/>
      <c r="FW8" s="469"/>
      <c r="FX8" s="469"/>
      <c r="FY8" s="469"/>
      <c r="FZ8" s="469"/>
      <c r="GA8" s="469"/>
      <c r="GB8" s="469"/>
      <c r="GC8" s="469"/>
      <c r="GD8" s="469"/>
      <c r="GE8" s="469"/>
      <c r="GF8" s="469"/>
      <c r="GG8" s="469"/>
      <c r="GH8" s="469"/>
      <c r="GI8" s="469"/>
      <c r="GJ8" s="469"/>
      <c r="GK8" s="469"/>
      <c r="GL8" s="469"/>
      <c r="GM8" s="469"/>
      <c r="GN8" s="469"/>
      <c r="GO8" s="469"/>
      <c r="GP8" s="469"/>
      <c r="GQ8" s="469"/>
      <c r="GR8" s="469"/>
      <c r="GS8" s="469"/>
      <c r="GT8" s="469"/>
      <c r="GU8" s="469"/>
      <c r="GV8" s="469"/>
      <c r="GW8" s="469"/>
      <c r="GX8" s="469"/>
      <c r="GY8" s="469"/>
      <c r="GZ8" s="469"/>
      <c r="HA8" s="469"/>
      <c r="HB8" s="469"/>
      <c r="HC8" s="469"/>
      <c r="HD8" s="469"/>
      <c r="HE8" s="469"/>
      <c r="HF8" s="469"/>
      <c r="HG8" s="469"/>
      <c r="HH8" s="469"/>
      <c r="HI8" s="469"/>
      <c r="HJ8" s="469"/>
      <c r="HK8" s="469"/>
      <c r="HL8" s="469"/>
      <c r="HM8" s="469"/>
      <c r="HN8" s="469"/>
      <c r="HO8" s="469"/>
      <c r="HP8" s="469"/>
      <c r="HQ8" s="469"/>
      <c r="HR8" s="469"/>
      <c r="HS8" s="469"/>
      <c r="HT8" s="469"/>
      <c r="HU8" s="469"/>
      <c r="HV8" s="469"/>
      <c r="HW8" s="469"/>
      <c r="HX8" s="469"/>
      <c r="HY8" s="469"/>
      <c r="HZ8" s="469"/>
      <c r="IA8" s="469"/>
      <c r="IB8" s="469"/>
      <c r="IC8" s="469"/>
      <c r="ID8" s="469"/>
      <c r="IE8" s="469"/>
      <c r="IF8" s="469"/>
      <c r="IG8" s="469"/>
      <c r="IH8" s="469"/>
      <c r="II8" s="469"/>
      <c r="IJ8" s="469"/>
      <c r="IK8" s="469"/>
      <c r="IL8" s="469"/>
      <c r="IM8" s="469"/>
      <c r="IN8" s="469"/>
      <c r="IO8" s="469"/>
      <c r="IP8" s="469"/>
      <c r="IQ8" s="469"/>
      <c r="IR8" s="469"/>
      <c r="IS8" s="469"/>
      <c r="IT8" s="469"/>
      <c r="IU8" s="469"/>
      <c r="IV8" s="469"/>
      <c r="IW8" s="469"/>
    </row>
    <row r="9" customFormat="false" ht="15.75" hidden="false" customHeight="false" outlineLevel="0" collapsed="false">
      <c r="A9" s="230"/>
    </row>
    <row r="10" customFormat="false" ht="12.75" hidden="false" customHeight="false" outlineLevel="0" collapsed="false">
      <c r="A10" s="472" t="s">
        <v>403</v>
      </c>
      <c r="C10" s="473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5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5"/>
      <c r="AV10" s="475"/>
      <c r="AW10" s="475"/>
      <c r="AX10" s="475"/>
      <c r="AY10" s="475"/>
      <c r="AZ10" s="475"/>
      <c r="BA10" s="475"/>
      <c r="BB10" s="475"/>
      <c r="BC10" s="475"/>
      <c r="BD10" s="475"/>
      <c r="BE10" s="475"/>
      <c r="BF10" s="475"/>
      <c r="BG10" s="475"/>
      <c r="BH10" s="475"/>
      <c r="BI10" s="475"/>
      <c r="BJ10" s="475"/>
      <c r="BK10" s="475"/>
      <c r="BL10" s="475"/>
      <c r="BM10" s="475"/>
      <c r="BN10" s="475"/>
      <c r="BO10" s="475"/>
      <c r="BP10" s="475"/>
      <c r="BQ10" s="475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  <c r="CC10" s="475"/>
      <c r="CD10" s="475"/>
      <c r="CE10" s="475"/>
      <c r="CF10" s="475"/>
      <c r="CG10" s="475"/>
      <c r="CH10" s="475"/>
      <c r="CI10" s="475"/>
      <c r="CJ10" s="475"/>
      <c r="CK10" s="475"/>
      <c r="CL10" s="475"/>
      <c r="CM10" s="475"/>
      <c r="CN10" s="475"/>
      <c r="CO10" s="475"/>
      <c r="CP10" s="475"/>
      <c r="CQ10" s="475"/>
      <c r="CR10" s="475"/>
      <c r="CS10" s="475"/>
      <c r="CT10" s="475"/>
      <c r="CU10" s="475"/>
      <c r="CV10" s="475"/>
      <c r="CW10" s="475"/>
      <c r="CX10" s="475"/>
      <c r="CY10" s="475"/>
      <c r="CZ10" s="475"/>
      <c r="DA10" s="475"/>
      <c r="DB10" s="475"/>
      <c r="DC10" s="475"/>
      <c r="DD10" s="475"/>
      <c r="DE10" s="475"/>
      <c r="DF10" s="475"/>
      <c r="DG10" s="475"/>
      <c r="DH10" s="475"/>
      <c r="DI10" s="475"/>
      <c r="DJ10" s="475"/>
      <c r="DK10" s="475"/>
      <c r="DL10" s="475"/>
      <c r="DM10" s="475"/>
      <c r="DN10" s="475"/>
      <c r="DO10" s="475"/>
      <c r="DP10" s="475"/>
      <c r="DQ10" s="475"/>
      <c r="DR10" s="475"/>
      <c r="DS10" s="475"/>
      <c r="DT10" s="475"/>
      <c r="DU10" s="475"/>
      <c r="DV10" s="475"/>
      <c r="DW10" s="475"/>
      <c r="DX10" s="475"/>
      <c r="DY10" s="475"/>
      <c r="DZ10" s="475"/>
      <c r="EA10" s="475"/>
      <c r="EB10" s="475"/>
      <c r="EC10" s="475"/>
      <c r="ED10" s="475"/>
      <c r="EE10" s="475"/>
      <c r="EF10" s="475"/>
      <c r="EG10" s="475"/>
      <c r="EH10" s="475"/>
      <c r="EI10" s="475"/>
      <c r="EJ10" s="475"/>
      <c r="EK10" s="475"/>
      <c r="EL10" s="475"/>
      <c r="EM10" s="475"/>
      <c r="EN10" s="475"/>
      <c r="EO10" s="475"/>
      <c r="EP10" s="475"/>
      <c r="EQ10" s="475"/>
      <c r="ER10" s="475"/>
      <c r="ES10" s="475"/>
      <c r="ET10" s="475"/>
      <c r="EU10" s="475"/>
      <c r="EV10" s="475"/>
      <c r="EW10" s="475"/>
      <c r="EX10" s="475"/>
      <c r="EY10" s="475"/>
      <c r="EZ10" s="475"/>
      <c r="FA10" s="475"/>
      <c r="FB10" s="475"/>
      <c r="FC10" s="475"/>
      <c r="FD10" s="475"/>
      <c r="FE10" s="475"/>
      <c r="FF10" s="475"/>
      <c r="FG10" s="475"/>
      <c r="FH10" s="475"/>
      <c r="FI10" s="475"/>
      <c r="FJ10" s="475"/>
      <c r="FK10" s="475"/>
      <c r="FL10" s="475"/>
      <c r="FM10" s="475"/>
      <c r="FN10" s="475"/>
      <c r="FO10" s="475"/>
      <c r="FP10" s="475"/>
      <c r="FQ10" s="475"/>
      <c r="FR10" s="475"/>
      <c r="FS10" s="475"/>
      <c r="FT10" s="475"/>
      <c r="FU10" s="475"/>
      <c r="FV10" s="475"/>
      <c r="FW10" s="475"/>
      <c r="FX10" s="475"/>
      <c r="FY10" s="475"/>
      <c r="FZ10" s="475"/>
      <c r="GA10" s="475"/>
      <c r="GB10" s="475"/>
      <c r="GC10" s="475"/>
      <c r="GD10" s="475"/>
      <c r="GE10" s="475"/>
      <c r="GF10" s="475"/>
      <c r="GG10" s="475"/>
      <c r="GH10" s="475"/>
      <c r="GI10" s="475"/>
      <c r="GJ10" s="475"/>
      <c r="GK10" s="475"/>
      <c r="GL10" s="475"/>
      <c r="GM10" s="475"/>
      <c r="GN10" s="475"/>
      <c r="GO10" s="475"/>
      <c r="GP10" s="475"/>
      <c r="GQ10" s="475"/>
      <c r="GR10" s="475"/>
      <c r="GS10" s="475"/>
      <c r="GT10" s="475"/>
      <c r="GU10" s="475"/>
      <c r="GV10" s="475"/>
      <c r="GW10" s="475"/>
      <c r="GX10" s="475"/>
      <c r="GY10" s="475"/>
      <c r="GZ10" s="475"/>
      <c r="HA10" s="475"/>
      <c r="HB10" s="475"/>
      <c r="HC10" s="475"/>
      <c r="HD10" s="475"/>
      <c r="HE10" s="475"/>
      <c r="HF10" s="475"/>
      <c r="HG10" s="475"/>
      <c r="HH10" s="475"/>
      <c r="HI10" s="475"/>
      <c r="HJ10" s="475"/>
      <c r="HK10" s="475"/>
      <c r="HL10" s="475"/>
      <c r="HM10" s="475"/>
      <c r="HN10" s="475"/>
      <c r="HO10" s="475"/>
      <c r="HP10" s="475"/>
      <c r="HQ10" s="475"/>
      <c r="HR10" s="475"/>
      <c r="HS10" s="475"/>
      <c r="HT10" s="475"/>
      <c r="HU10" s="475"/>
      <c r="HV10" s="475"/>
      <c r="HW10" s="475"/>
      <c r="HX10" s="475"/>
      <c r="HY10" s="475"/>
      <c r="HZ10" s="475"/>
      <c r="IA10" s="475"/>
      <c r="IB10" s="475"/>
      <c r="IC10" s="475"/>
      <c r="ID10" s="475"/>
      <c r="IE10" s="475"/>
      <c r="IF10" s="475"/>
      <c r="IG10" s="475"/>
      <c r="IH10" s="475"/>
      <c r="II10" s="475"/>
      <c r="IJ10" s="475"/>
      <c r="IK10" s="475"/>
      <c r="IL10" s="475"/>
      <c r="IM10" s="475"/>
      <c r="IN10" s="475"/>
      <c r="IO10" s="475"/>
      <c r="IP10" s="475"/>
      <c r="IQ10" s="475"/>
      <c r="IR10" s="475"/>
      <c r="IS10" s="475"/>
      <c r="IT10" s="475"/>
      <c r="IU10" s="475"/>
      <c r="IV10" s="475"/>
      <c r="IW10" s="475"/>
    </row>
    <row r="11" customFormat="false" ht="12.75" hidden="false" customHeight="false" outlineLevel="0" collapsed="false">
      <c r="B11" s="476" t="s">
        <v>404</v>
      </c>
      <c r="D11" s="477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5"/>
      <c r="BL11" s="475"/>
      <c r="BM11" s="475"/>
      <c r="BN11" s="475"/>
      <c r="BO11" s="475"/>
      <c r="BP11" s="475"/>
      <c r="BQ11" s="475"/>
      <c r="BR11" s="475"/>
      <c r="BS11" s="475"/>
      <c r="BT11" s="475"/>
      <c r="BU11" s="475"/>
      <c r="BV11" s="475"/>
      <c r="BW11" s="475"/>
      <c r="BX11" s="475"/>
      <c r="BY11" s="475"/>
      <c r="BZ11" s="475"/>
      <c r="CA11" s="475"/>
      <c r="CB11" s="475"/>
      <c r="CC11" s="475"/>
      <c r="CD11" s="475"/>
      <c r="CE11" s="475"/>
      <c r="CF11" s="475"/>
      <c r="CG11" s="475"/>
      <c r="CH11" s="475"/>
      <c r="CI11" s="475"/>
      <c r="CJ11" s="475"/>
      <c r="CK11" s="475"/>
      <c r="CL11" s="475"/>
      <c r="CM11" s="475"/>
      <c r="CN11" s="475"/>
      <c r="CO11" s="475"/>
      <c r="CP11" s="475"/>
      <c r="CQ11" s="475"/>
      <c r="CR11" s="475"/>
      <c r="CS11" s="475"/>
      <c r="CT11" s="475"/>
      <c r="CU11" s="475"/>
      <c r="CV11" s="475"/>
      <c r="CW11" s="475"/>
      <c r="CX11" s="475"/>
      <c r="CY11" s="475"/>
      <c r="CZ11" s="475"/>
      <c r="DA11" s="475"/>
      <c r="DB11" s="475"/>
      <c r="DC11" s="475"/>
      <c r="DD11" s="475"/>
      <c r="DE11" s="475"/>
      <c r="DF11" s="475"/>
      <c r="DG11" s="475"/>
      <c r="DH11" s="475"/>
      <c r="DI11" s="475"/>
      <c r="DJ11" s="475"/>
      <c r="DK11" s="475"/>
      <c r="DL11" s="475"/>
      <c r="DM11" s="475"/>
      <c r="DN11" s="475"/>
      <c r="DO11" s="475"/>
      <c r="DP11" s="475"/>
      <c r="DQ11" s="475"/>
      <c r="DR11" s="475"/>
      <c r="DS11" s="475"/>
      <c r="DT11" s="475"/>
      <c r="DU11" s="475"/>
      <c r="DV11" s="475"/>
      <c r="DW11" s="475"/>
      <c r="DX11" s="475"/>
      <c r="DY11" s="475"/>
      <c r="DZ11" s="475"/>
      <c r="EA11" s="475"/>
      <c r="EB11" s="475"/>
      <c r="EC11" s="475"/>
      <c r="ED11" s="475"/>
      <c r="EE11" s="475"/>
      <c r="EF11" s="475"/>
      <c r="EG11" s="475"/>
      <c r="EH11" s="475"/>
      <c r="EI11" s="475"/>
      <c r="EJ11" s="475"/>
      <c r="EK11" s="475"/>
      <c r="EL11" s="475"/>
      <c r="EM11" s="475"/>
      <c r="EN11" s="475"/>
      <c r="EO11" s="475"/>
      <c r="EP11" s="475"/>
      <c r="EQ11" s="475"/>
      <c r="ER11" s="475"/>
      <c r="ES11" s="475"/>
      <c r="ET11" s="475"/>
      <c r="EU11" s="475"/>
      <c r="EV11" s="475"/>
      <c r="EW11" s="475"/>
      <c r="EX11" s="475"/>
      <c r="EY11" s="475"/>
      <c r="EZ11" s="475"/>
      <c r="FA11" s="475"/>
      <c r="FB11" s="475"/>
      <c r="FC11" s="475"/>
      <c r="FD11" s="475"/>
      <c r="FE11" s="475"/>
      <c r="FF11" s="475"/>
      <c r="FG11" s="475"/>
      <c r="FH11" s="475"/>
      <c r="FI11" s="475"/>
      <c r="FJ11" s="475"/>
      <c r="FK11" s="475"/>
      <c r="FL11" s="475"/>
      <c r="FM11" s="475"/>
      <c r="FN11" s="475"/>
      <c r="FO11" s="475"/>
      <c r="FP11" s="475"/>
      <c r="FQ11" s="475"/>
      <c r="FR11" s="475"/>
      <c r="FS11" s="475"/>
      <c r="FT11" s="475"/>
      <c r="FU11" s="475"/>
      <c r="FV11" s="475"/>
      <c r="FW11" s="475"/>
      <c r="FX11" s="475"/>
      <c r="FY11" s="475"/>
      <c r="FZ11" s="475"/>
      <c r="GA11" s="475"/>
      <c r="GB11" s="475"/>
      <c r="GC11" s="475"/>
      <c r="GD11" s="475"/>
      <c r="GE11" s="475"/>
      <c r="GF11" s="475"/>
      <c r="GG11" s="475"/>
      <c r="GH11" s="475"/>
      <c r="GI11" s="475"/>
      <c r="GJ11" s="475"/>
      <c r="GK11" s="475"/>
      <c r="GL11" s="475"/>
      <c r="GM11" s="475"/>
      <c r="GN11" s="475"/>
      <c r="GO11" s="475"/>
      <c r="GP11" s="475"/>
      <c r="GQ11" s="475"/>
      <c r="GR11" s="475"/>
      <c r="GS11" s="475"/>
      <c r="GT11" s="475"/>
      <c r="GU11" s="475"/>
      <c r="GV11" s="475"/>
      <c r="GW11" s="475"/>
      <c r="GX11" s="475"/>
      <c r="GY11" s="475"/>
      <c r="GZ11" s="475"/>
      <c r="HA11" s="475"/>
      <c r="HB11" s="475"/>
      <c r="HC11" s="475"/>
      <c r="HD11" s="475"/>
      <c r="HE11" s="475"/>
      <c r="HF11" s="475"/>
      <c r="HG11" s="475"/>
      <c r="HH11" s="475"/>
      <c r="HI11" s="475"/>
      <c r="HJ11" s="475"/>
      <c r="HK11" s="475"/>
      <c r="HL11" s="475"/>
      <c r="HM11" s="475"/>
      <c r="HN11" s="475"/>
      <c r="HO11" s="475"/>
      <c r="HP11" s="475"/>
      <c r="HQ11" s="475"/>
      <c r="HR11" s="475"/>
      <c r="HS11" s="475"/>
      <c r="HT11" s="475"/>
      <c r="HU11" s="475"/>
      <c r="HV11" s="475"/>
      <c r="HW11" s="475"/>
      <c r="HX11" s="475"/>
      <c r="HY11" s="475"/>
      <c r="HZ11" s="475"/>
      <c r="IA11" s="475"/>
      <c r="IB11" s="475"/>
      <c r="IC11" s="475"/>
      <c r="ID11" s="475"/>
      <c r="IE11" s="475"/>
      <c r="IF11" s="475"/>
      <c r="IG11" s="475"/>
      <c r="IH11" s="475"/>
      <c r="II11" s="475"/>
      <c r="IJ11" s="475"/>
      <c r="IK11" s="475"/>
      <c r="IL11" s="475"/>
      <c r="IM11" s="475"/>
      <c r="IN11" s="475"/>
      <c r="IO11" s="475"/>
      <c r="IP11" s="475"/>
      <c r="IQ11" s="475"/>
      <c r="IR11" s="475"/>
      <c r="IS11" s="475"/>
      <c r="IT11" s="475"/>
      <c r="IU11" s="475"/>
      <c r="IV11" s="475"/>
      <c r="IW11" s="475"/>
    </row>
    <row r="12" customFormat="false" ht="12.75" hidden="false" customHeight="false" outlineLevel="0" collapsed="false">
      <c r="A12" s="479" t="s">
        <v>405</v>
      </c>
      <c r="B12" s="480" t="n">
        <f aca="false">Assumptions!$N$39</f>
        <v>15</v>
      </c>
      <c r="C12" s="481"/>
      <c r="D12" s="477" t="n">
        <v>0.05</v>
      </c>
      <c r="E12" s="477" t="n">
        <v>0.095</v>
      </c>
      <c r="F12" s="477" t="n">
        <v>0.0855</v>
      </c>
      <c r="G12" s="477" t="n">
        <v>0.077</v>
      </c>
      <c r="H12" s="477" t="n">
        <v>0.0693</v>
      </c>
      <c r="I12" s="477" t="n">
        <v>0.0623</v>
      </c>
      <c r="J12" s="477" t="n">
        <v>0.059</v>
      </c>
      <c r="K12" s="477" t="n">
        <v>0.0591</v>
      </c>
      <c r="L12" s="477" t="n">
        <v>0.059</v>
      </c>
      <c r="M12" s="477" t="n">
        <v>0.0591</v>
      </c>
      <c r="N12" s="477" t="n">
        <v>0.059</v>
      </c>
      <c r="O12" s="477" t="n">
        <v>0.0591</v>
      </c>
      <c r="P12" s="477" t="n">
        <v>0.059</v>
      </c>
      <c r="Q12" s="477" t="n">
        <v>0.0591</v>
      </c>
      <c r="R12" s="477" t="n">
        <v>0.059</v>
      </c>
      <c r="S12" s="477" t="n">
        <v>0.0295</v>
      </c>
      <c r="T12" s="477" t="n">
        <v>0</v>
      </c>
      <c r="U12" s="477" t="n">
        <v>0</v>
      </c>
      <c r="V12" s="477" t="n">
        <v>0</v>
      </c>
      <c r="W12" s="477" t="n">
        <v>0</v>
      </c>
      <c r="X12" s="477" t="n">
        <v>0</v>
      </c>
      <c r="Y12" s="477" t="n">
        <v>0</v>
      </c>
      <c r="Z12" s="477" t="n">
        <v>0</v>
      </c>
      <c r="AA12" s="477" t="n">
        <v>0</v>
      </c>
      <c r="AB12" s="477" t="n">
        <v>0</v>
      </c>
      <c r="AC12" s="477" t="n">
        <v>0</v>
      </c>
      <c r="AD12" s="477" t="n">
        <v>0</v>
      </c>
      <c r="AE12" s="477" t="n">
        <v>0</v>
      </c>
      <c r="AF12" s="477" t="n">
        <v>0</v>
      </c>
      <c r="AG12" s="477" t="n">
        <v>0</v>
      </c>
      <c r="AH12" s="477" t="n">
        <v>0</v>
      </c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  <c r="DJ12" s="475"/>
      <c r="DK12" s="475"/>
      <c r="DL12" s="475"/>
      <c r="DM12" s="475"/>
      <c r="DN12" s="475"/>
      <c r="DO12" s="475"/>
      <c r="DP12" s="475"/>
      <c r="DQ12" s="475"/>
      <c r="DR12" s="475"/>
      <c r="DS12" s="475"/>
      <c r="DT12" s="475"/>
      <c r="DU12" s="475"/>
      <c r="DV12" s="475"/>
      <c r="DW12" s="475"/>
      <c r="DX12" s="475"/>
      <c r="DY12" s="475"/>
      <c r="DZ12" s="475"/>
      <c r="EA12" s="475"/>
      <c r="EB12" s="475"/>
      <c r="EC12" s="475"/>
      <c r="ED12" s="475"/>
      <c r="EE12" s="475"/>
      <c r="EF12" s="475"/>
      <c r="EG12" s="475"/>
      <c r="EH12" s="475"/>
      <c r="EI12" s="475"/>
      <c r="EJ12" s="475"/>
      <c r="EK12" s="475"/>
      <c r="EL12" s="475"/>
      <c r="EM12" s="475"/>
      <c r="EN12" s="475"/>
      <c r="EO12" s="475"/>
      <c r="EP12" s="475"/>
      <c r="EQ12" s="475"/>
      <c r="ER12" s="475"/>
      <c r="ES12" s="475"/>
      <c r="ET12" s="475"/>
      <c r="EU12" s="475"/>
      <c r="EV12" s="475"/>
      <c r="EW12" s="475"/>
      <c r="EX12" s="475"/>
      <c r="EY12" s="475"/>
      <c r="EZ12" s="475"/>
      <c r="FA12" s="475"/>
      <c r="FB12" s="475"/>
      <c r="FC12" s="475"/>
      <c r="FD12" s="475"/>
      <c r="FE12" s="475"/>
      <c r="FF12" s="475"/>
      <c r="FG12" s="475"/>
      <c r="FH12" s="475"/>
      <c r="FI12" s="475"/>
      <c r="FJ12" s="475"/>
      <c r="FK12" s="475"/>
      <c r="FL12" s="475"/>
      <c r="FM12" s="475"/>
      <c r="FN12" s="475"/>
      <c r="FO12" s="475"/>
      <c r="FP12" s="475"/>
      <c r="FQ12" s="475"/>
      <c r="FR12" s="475"/>
      <c r="FS12" s="475"/>
      <c r="FT12" s="475"/>
      <c r="FU12" s="475"/>
      <c r="FV12" s="475"/>
      <c r="FW12" s="475"/>
      <c r="FX12" s="475"/>
      <c r="FY12" s="475"/>
      <c r="FZ12" s="475"/>
      <c r="GA12" s="475"/>
      <c r="GB12" s="475"/>
      <c r="GC12" s="475"/>
      <c r="GD12" s="475"/>
      <c r="GE12" s="475"/>
      <c r="GF12" s="475"/>
      <c r="GG12" s="475"/>
      <c r="GH12" s="475"/>
      <c r="GI12" s="475"/>
      <c r="GJ12" s="475"/>
      <c r="GK12" s="475"/>
      <c r="GL12" s="475"/>
      <c r="GM12" s="475"/>
      <c r="GN12" s="475"/>
      <c r="GO12" s="475"/>
      <c r="GP12" s="475"/>
      <c r="GQ12" s="475"/>
      <c r="GR12" s="475"/>
      <c r="GS12" s="475"/>
      <c r="GT12" s="475"/>
      <c r="GU12" s="475"/>
      <c r="GV12" s="475"/>
      <c r="GW12" s="475"/>
      <c r="GX12" s="475"/>
      <c r="GY12" s="475"/>
      <c r="GZ12" s="475"/>
      <c r="HA12" s="475"/>
      <c r="HB12" s="475"/>
      <c r="HC12" s="475"/>
      <c r="HD12" s="475"/>
      <c r="HE12" s="475"/>
      <c r="HF12" s="475"/>
      <c r="HG12" s="475"/>
      <c r="HH12" s="475"/>
      <c r="HI12" s="475"/>
      <c r="HJ12" s="475"/>
      <c r="HK12" s="475"/>
      <c r="HL12" s="475"/>
      <c r="HM12" s="475"/>
      <c r="HN12" s="475"/>
      <c r="HO12" s="475"/>
      <c r="HP12" s="475"/>
      <c r="HQ12" s="475"/>
      <c r="HR12" s="475"/>
      <c r="HS12" s="475"/>
      <c r="HT12" s="475"/>
      <c r="HU12" s="475"/>
      <c r="HV12" s="475"/>
      <c r="HW12" s="475"/>
      <c r="HX12" s="475"/>
      <c r="HY12" s="475"/>
      <c r="HZ12" s="475"/>
      <c r="IA12" s="475"/>
      <c r="IB12" s="475"/>
      <c r="IC12" s="475"/>
      <c r="ID12" s="475"/>
      <c r="IE12" s="475"/>
      <c r="IF12" s="475"/>
      <c r="IG12" s="475"/>
      <c r="IH12" s="475"/>
      <c r="II12" s="475"/>
      <c r="IJ12" s="475"/>
      <c r="IK12" s="475"/>
      <c r="IL12" s="475"/>
      <c r="IM12" s="475"/>
      <c r="IN12" s="475"/>
      <c r="IO12" s="475"/>
      <c r="IP12" s="475"/>
      <c r="IQ12" s="475"/>
      <c r="IR12" s="475"/>
      <c r="IS12" s="475"/>
      <c r="IT12" s="475"/>
      <c r="IU12" s="475"/>
      <c r="IV12" s="475"/>
      <c r="IW12" s="475"/>
    </row>
    <row r="13" customFormat="false" ht="12.75" hidden="false" customHeight="false" outlineLevel="0" collapsed="false">
      <c r="A13" s="479" t="s">
        <v>406</v>
      </c>
      <c r="B13" s="480" t="n">
        <f aca="false">Assumptions!$N$40</f>
        <v>5</v>
      </c>
      <c r="C13" s="481"/>
      <c r="D13" s="477" t="n">
        <f aca="false">1/$B$13*D6</f>
        <v>0.133333333333333</v>
      </c>
      <c r="E13" s="477" t="n">
        <f aca="false">1/$B$13</f>
        <v>0.2</v>
      </c>
      <c r="F13" s="477" t="n">
        <f aca="false">1/$B$13</f>
        <v>0.2</v>
      </c>
      <c r="G13" s="477" t="n">
        <f aca="false">1/$B$13</f>
        <v>0.2</v>
      </c>
      <c r="H13" s="477" t="n">
        <f aca="false">1/$B$13</f>
        <v>0.2</v>
      </c>
      <c r="I13" s="477" t="n">
        <f aca="false">1/B13-D13</f>
        <v>0.0666666666666667</v>
      </c>
      <c r="J13" s="477" t="n">
        <v>0</v>
      </c>
      <c r="K13" s="477" t="n">
        <v>0</v>
      </c>
      <c r="L13" s="477" t="n">
        <v>0</v>
      </c>
      <c r="M13" s="477" t="n">
        <v>0</v>
      </c>
      <c r="N13" s="477" t="n">
        <v>0</v>
      </c>
      <c r="O13" s="477" t="n">
        <v>0</v>
      </c>
      <c r="P13" s="477" t="n">
        <v>0</v>
      </c>
      <c r="Q13" s="477" t="n">
        <v>0</v>
      </c>
      <c r="R13" s="477" t="n">
        <v>0</v>
      </c>
      <c r="S13" s="477" t="n">
        <v>0</v>
      </c>
      <c r="T13" s="477" t="n">
        <v>0</v>
      </c>
      <c r="U13" s="477" t="n">
        <v>0</v>
      </c>
      <c r="V13" s="477" t="n">
        <v>0</v>
      </c>
      <c r="W13" s="477" t="n">
        <v>0</v>
      </c>
      <c r="X13" s="477" t="n">
        <v>0</v>
      </c>
      <c r="Y13" s="477" t="n">
        <v>0</v>
      </c>
      <c r="Z13" s="477" t="n">
        <v>0</v>
      </c>
      <c r="AA13" s="477" t="n">
        <v>0</v>
      </c>
      <c r="AB13" s="477" t="n">
        <v>0</v>
      </c>
      <c r="AC13" s="477" t="n">
        <v>0</v>
      </c>
      <c r="AD13" s="477" t="n">
        <v>0</v>
      </c>
      <c r="AE13" s="477" t="n">
        <v>0</v>
      </c>
      <c r="AF13" s="477" t="n">
        <v>0</v>
      </c>
      <c r="AG13" s="477" t="n">
        <v>0</v>
      </c>
      <c r="AH13" s="477" t="n">
        <v>0</v>
      </c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  <c r="DJ13" s="475"/>
      <c r="DK13" s="475"/>
      <c r="DL13" s="475"/>
      <c r="DM13" s="475"/>
      <c r="DN13" s="475"/>
      <c r="DO13" s="475"/>
      <c r="DP13" s="475"/>
      <c r="DQ13" s="475"/>
      <c r="DR13" s="475"/>
      <c r="DS13" s="475"/>
      <c r="DT13" s="475"/>
      <c r="DU13" s="475"/>
      <c r="DV13" s="475"/>
      <c r="DW13" s="475"/>
      <c r="DX13" s="475"/>
      <c r="DY13" s="475"/>
      <c r="DZ13" s="475"/>
      <c r="EA13" s="475"/>
      <c r="EB13" s="475"/>
      <c r="EC13" s="475"/>
      <c r="ED13" s="475"/>
      <c r="EE13" s="475"/>
      <c r="EF13" s="475"/>
      <c r="EG13" s="475"/>
      <c r="EH13" s="475"/>
      <c r="EI13" s="475"/>
      <c r="EJ13" s="475"/>
      <c r="EK13" s="475"/>
      <c r="EL13" s="475"/>
      <c r="EM13" s="475"/>
      <c r="EN13" s="475"/>
      <c r="EO13" s="475"/>
      <c r="EP13" s="475"/>
      <c r="EQ13" s="475"/>
      <c r="ER13" s="475"/>
      <c r="ES13" s="475"/>
      <c r="ET13" s="475"/>
      <c r="EU13" s="475"/>
      <c r="EV13" s="475"/>
      <c r="EW13" s="475"/>
      <c r="EX13" s="475"/>
      <c r="EY13" s="475"/>
      <c r="EZ13" s="475"/>
      <c r="FA13" s="475"/>
      <c r="FB13" s="475"/>
      <c r="FC13" s="475"/>
      <c r="FD13" s="475"/>
      <c r="FE13" s="475"/>
      <c r="FF13" s="475"/>
      <c r="FG13" s="475"/>
      <c r="FH13" s="475"/>
      <c r="FI13" s="475"/>
      <c r="FJ13" s="475"/>
      <c r="FK13" s="475"/>
      <c r="FL13" s="475"/>
      <c r="FM13" s="475"/>
      <c r="FN13" s="475"/>
      <c r="FO13" s="475"/>
      <c r="FP13" s="475"/>
      <c r="FQ13" s="475"/>
      <c r="FR13" s="475"/>
      <c r="FS13" s="475"/>
      <c r="FT13" s="475"/>
      <c r="FU13" s="475"/>
      <c r="FV13" s="475"/>
      <c r="FW13" s="475"/>
      <c r="FX13" s="475"/>
      <c r="FY13" s="475"/>
      <c r="FZ13" s="475"/>
      <c r="GA13" s="475"/>
      <c r="GB13" s="475"/>
      <c r="GC13" s="475"/>
      <c r="GD13" s="475"/>
      <c r="GE13" s="475"/>
      <c r="GF13" s="475"/>
      <c r="GG13" s="475"/>
      <c r="GH13" s="475"/>
      <c r="GI13" s="475"/>
      <c r="GJ13" s="475"/>
      <c r="GK13" s="475"/>
      <c r="GL13" s="475"/>
      <c r="GM13" s="475"/>
      <c r="GN13" s="475"/>
      <c r="GO13" s="475"/>
      <c r="GP13" s="475"/>
      <c r="GQ13" s="475"/>
      <c r="GR13" s="475"/>
      <c r="GS13" s="475"/>
      <c r="GT13" s="475"/>
      <c r="GU13" s="475"/>
      <c r="GV13" s="475"/>
      <c r="GW13" s="475"/>
      <c r="GX13" s="475"/>
      <c r="GY13" s="475"/>
      <c r="GZ13" s="475"/>
      <c r="HA13" s="475"/>
      <c r="HB13" s="475"/>
      <c r="HC13" s="475"/>
      <c r="HD13" s="475"/>
      <c r="HE13" s="475"/>
      <c r="HF13" s="475"/>
      <c r="HG13" s="475"/>
      <c r="HH13" s="475"/>
      <c r="HI13" s="475"/>
      <c r="HJ13" s="475"/>
      <c r="HK13" s="475"/>
      <c r="HL13" s="475"/>
      <c r="HM13" s="475"/>
      <c r="HN13" s="475"/>
      <c r="HO13" s="475"/>
      <c r="HP13" s="475"/>
      <c r="HQ13" s="475"/>
      <c r="HR13" s="475"/>
      <c r="HS13" s="475"/>
      <c r="HT13" s="475"/>
      <c r="HU13" s="475"/>
      <c r="HV13" s="475"/>
      <c r="HW13" s="475"/>
      <c r="HX13" s="475"/>
      <c r="HY13" s="475"/>
      <c r="HZ13" s="475"/>
      <c r="IA13" s="475"/>
      <c r="IB13" s="475"/>
      <c r="IC13" s="475"/>
      <c r="ID13" s="475"/>
      <c r="IE13" s="475"/>
      <c r="IF13" s="475"/>
      <c r="IG13" s="475"/>
      <c r="IH13" s="475"/>
      <c r="II13" s="475"/>
      <c r="IJ13" s="475"/>
      <c r="IK13" s="475"/>
      <c r="IL13" s="475"/>
      <c r="IM13" s="475"/>
      <c r="IN13" s="475"/>
      <c r="IO13" s="475"/>
      <c r="IP13" s="475"/>
      <c r="IQ13" s="475"/>
      <c r="IR13" s="475"/>
      <c r="IS13" s="475"/>
      <c r="IT13" s="475"/>
      <c r="IU13" s="475"/>
      <c r="IV13" s="475"/>
      <c r="IW13" s="475"/>
    </row>
    <row r="14" customFormat="false" ht="12.75" hidden="false" customHeight="false" outlineLevel="0" collapsed="false">
      <c r="A14" s="482" t="s">
        <v>407</v>
      </c>
      <c r="B14" s="483" t="n">
        <f aca="false">Assumptions!$N$41</f>
        <v>20</v>
      </c>
      <c r="C14" s="484"/>
      <c r="D14" s="477" t="n">
        <f aca="false">1/Assumptions!$N$41*D6</f>
        <v>0.0333333333333333</v>
      </c>
      <c r="E14" s="477" t="n">
        <f aca="false">IF(AND(E6&gt;=Assumptions!$N$41,D6&lt;Assumptions!$N$41),1/Assumptions!$N$41-Depreciation!$D$14,IF(E6&lt;Assumptions!$N$41,1/Assumptions!$N$41,0))</f>
        <v>0.05</v>
      </c>
      <c r="F14" s="477" t="n">
        <f aca="false">IF(AND(F6&gt;=Assumptions!$N$41,E6&lt;Assumptions!$N$41),1/Assumptions!$N$41-Depreciation!$D$14,IF(F6&lt;Assumptions!$N$41,1/Assumptions!$N$41,0))</f>
        <v>0.05</v>
      </c>
      <c r="G14" s="477" t="n">
        <f aca="false">IF(AND(G6&gt;=Assumptions!$N$41,F6&lt;Assumptions!$N$41),1/Assumptions!$N$41-Depreciation!$D$14,IF(G6&lt;Assumptions!$N$41,1/Assumptions!$N$41,0))</f>
        <v>0.05</v>
      </c>
      <c r="H14" s="477" t="n">
        <f aca="false">IF(AND(H6&gt;=Assumptions!$N$41,G6&lt;Assumptions!$N$41),1/Assumptions!$N$41-Depreciation!$D$14,IF(H6&lt;Assumptions!$N$41,1/Assumptions!$N$41,0))</f>
        <v>0.05</v>
      </c>
      <c r="I14" s="477" t="n">
        <f aca="false">IF(AND(I6&gt;=Assumptions!$N$41,H6&lt;Assumptions!$N$41),1/Assumptions!$N$41-Depreciation!$D$14,IF(I6&lt;Assumptions!$N$41,1/Assumptions!$N$41,0))</f>
        <v>0.05</v>
      </c>
      <c r="J14" s="477" t="n">
        <f aca="false">IF(AND(J6&gt;=Assumptions!$N$41,I6&lt;Assumptions!$N$41),1/Assumptions!$N$41-Depreciation!$D$14,IF(J6&lt;Assumptions!$N$41,1/Assumptions!$N$41,0))</f>
        <v>0.05</v>
      </c>
      <c r="K14" s="477" t="n">
        <f aca="false">IF(AND(K6&gt;=Assumptions!$N$41,J6&lt;Assumptions!$N$41),1/Assumptions!$N$41-Depreciation!$D$14,IF(K6&lt;Assumptions!$N$41,1/Assumptions!$N$41,0))</f>
        <v>0.05</v>
      </c>
      <c r="L14" s="477" t="n">
        <f aca="false">IF(AND(L6&gt;=Assumptions!$N$41,K6&lt;Assumptions!$N$41),1/Assumptions!$N$41-Depreciation!$D$14,IF(L6&lt;Assumptions!$N$41,1/Assumptions!$N$41,0))</f>
        <v>0.05</v>
      </c>
      <c r="M14" s="477" t="n">
        <f aca="false">IF(AND(M6&gt;=Assumptions!$N$41,L6&lt;Assumptions!$N$41),1/Assumptions!$N$41-Depreciation!$D$14,IF(M6&lt;Assumptions!$N$41,1/Assumptions!$N$41,0))</f>
        <v>0.05</v>
      </c>
      <c r="N14" s="477" t="n">
        <f aca="false">IF(AND(N6&gt;=Assumptions!$N$41,M6&lt;Assumptions!$N$41),1/Assumptions!$N$41-Depreciation!$D$14,IF(N6&lt;Assumptions!$N$41,1/Assumptions!$N$41,0))</f>
        <v>0.05</v>
      </c>
      <c r="O14" s="477" t="n">
        <f aca="false">IF(AND(O6&gt;=Assumptions!$N$41,N6&lt;Assumptions!$N$41),1/Assumptions!$N$41-Depreciation!$D$14,IF(O6&lt;Assumptions!$N$41,1/Assumptions!$N$41,0))</f>
        <v>0.05</v>
      </c>
      <c r="P14" s="477" t="n">
        <f aca="false">IF(AND(P6&gt;=Assumptions!$N$41,O6&lt;Assumptions!$N$41),1/Assumptions!$N$41-Depreciation!$D$14,IF(P6&lt;Assumptions!$N$41,1/Assumptions!$N$41,0))</f>
        <v>0.05</v>
      </c>
      <c r="Q14" s="477" t="n">
        <f aca="false">IF(AND(Q6&gt;=Assumptions!$N$41,P6&lt;Assumptions!$N$41),1/Assumptions!$N$41-Depreciation!$D$14,IF(Q6&lt;Assumptions!$N$41,1/Assumptions!$N$41,0))</f>
        <v>0.05</v>
      </c>
      <c r="R14" s="477" t="n">
        <f aca="false">IF(AND(R6&gt;=Assumptions!$N$41,Q6&lt;Assumptions!$N$41),1/Assumptions!$N$41-Depreciation!$D$14,IF(R6&lt;Assumptions!$N$41,1/Assumptions!$N$41,0))</f>
        <v>0.05</v>
      </c>
      <c r="S14" s="477" t="n">
        <f aca="false">IF(AND(S6&gt;=Assumptions!$N$41,R6&lt;Assumptions!$N$41),1/Assumptions!$N$41-Depreciation!$D$14,IF(S6&lt;Assumptions!$N$41,1/Assumptions!$N$41,0))</f>
        <v>0.05</v>
      </c>
      <c r="T14" s="477" t="n">
        <f aca="false">IF(AND(T6&gt;=Assumptions!$N$41,S6&lt;Assumptions!$N$41),1/Assumptions!$N$41-Depreciation!$D$14,IF(T6&lt;Assumptions!$N$41,1/Assumptions!$N$41,0))</f>
        <v>0.05</v>
      </c>
      <c r="U14" s="477" t="n">
        <f aca="false">IF(AND(U6&gt;=Assumptions!$N$41,T6&lt;Assumptions!$N$41),1/Assumptions!$N$41-Depreciation!$D$14,IF(U6&lt;Assumptions!$N$41,1/Assumptions!$N$41,0))</f>
        <v>0.05</v>
      </c>
      <c r="V14" s="477" t="n">
        <f aca="false">IF(AND(V6&gt;=Assumptions!$N$41,U6&lt;Assumptions!$N$41),1/Assumptions!$N$41-Depreciation!$D$14,IF(V6&lt;Assumptions!$N$41,1/Assumptions!$N$41,0))</f>
        <v>0.05</v>
      </c>
      <c r="W14" s="477" t="n">
        <f aca="false">IF(AND(W6&gt;=Assumptions!$N$41,V6&lt;Assumptions!$N$41),1/Assumptions!$N$41-Depreciation!$D$14,IF(W6&lt;Assumptions!$N$41,1/Assumptions!$N$41,0))</f>
        <v>0.05</v>
      </c>
      <c r="X14" s="477" t="n">
        <f aca="false">IF(AND(X6&gt;=Assumptions!$N$41,W6&lt;Assumptions!$N$41),1/Assumptions!$N$41-Depreciation!$D$14,IF(X6&lt;Assumptions!$N$41,1/Assumptions!$N$41,0))</f>
        <v>0.0166666666666667</v>
      </c>
      <c r="Y14" s="477" t="n">
        <f aca="false">IF(AND(Y6&gt;=Assumptions!$N$41,X6&lt;Assumptions!$N$41),1/Assumptions!$N$41-Depreciation!$D$14,IF(Y6&lt;Assumptions!$N$41,1/Assumptions!$N$41,0))</f>
        <v>0</v>
      </c>
      <c r="Z14" s="477" t="n">
        <f aca="false">IF(AND(Z6&gt;=Assumptions!$N$41,Y6&lt;Assumptions!$N$41),1/Assumptions!$N$41-Depreciation!$D$14,IF(Z6&lt;Assumptions!$N$41,1/Assumptions!$N$41,0))</f>
        <v>0</v>
      </c>
      <c r="AA14" s="477" t="n">
        <f aca="false">IF(AND(AA6&gt;=Assumptions!$N$41,Z6&lt;Assumptions!$N$41),1/Assumptions!$N$41-Depreciation!$D$14,IF(AA6&lt;Assumptions!$N$41,1/Assumptions!$N$41,0))</f>
        <v>0</v>
      </c>
      <c r="AB14" s="477" t="n">
        <f aca="false">IF(AND(AB6&gt;=Assumptions!$N$41,AA6&lt;Assumptions!$N$41),1/Assumptions!$N$41-Depreciation!$D$14,IF(AB6&lt;Assumptions!$N$41,1/Assumptions!$N$41,0))</f>
        <v>0</v>
      </c>
      <c r="AC14" s="477" t="n">
        <f aca="false">IF(AND(AC6&gt;=Assumptions!$N$41,AB6&lt;Assumptions!$N$41),1/Assumptions!$N$41-Depreciation!$D$14,IF(AC6&lt;Assumptions!$N$41,1/Assumptions!$N$41,0))</f>
        <v>0</v>
      </c>
      <c r="AD14" s="477" t="n">
        <f aca="false">IF(AND(AD6&gt;=Assumptions!$N$41,AC6&lt;Assumptions!$N$41),1/Assumptions!$N$41-Depreciation!$D$14,IF(AD6&lt;Assumptions!$N$41,1/Assumptions!$N$41,0))</f>
        <v>0</v>
      </c>
      <c r="AE14" s="477" t="n">
        <f aca="false">IF(AND(AE6&gt;=Assumptions!$N$41,AD6&lt;Assumptions!$N$41),1/Assumptions!$N$41-Depreciation!$D$14,IF(AE6&lt;Assumptions!$N$41,1/Assumptions!$N$41,0))</f>
        <v>0</v>
      </c>
      <c r="AF14" s="477" t="n">
        <f aca="false">IF(AND(AF6&gt;=Assumptions!$N$41,AE6&lt;Assumptions!$N$41),1/Assumptions!$N$41-Depreciation!$D$14,IF(AF6&lt;Assumptions!$N$41,1/Assumptions!$N$41,0))</f>
        <v>0</v>
      </c>
      <c r="AG14" s="477" t="n">
        <f aca="false">IF(AND(AG6&gt;=Assumptions!$N$41,AF6&lt;Assumptions!$N$41),1/Assumptions!$N$41-Depreciation!$D$14,IF(AG6&lt;Assumptions!$N$41,1/Assumptions!$N$41,0))</f>
        <v>0</v>
      </c>
      <c r="AH14" s="477" t="n">
        <f aca="false">IF(AND(AH6&gt;=Assumptions!$N$41,AG6&lt;Assumptions!$N$41),1/Assumptions!$N$41-Depreciation!$D$14,IF(AH6&lt;Assumptions!$N$41,1/Assumptions!$N$41,0))</f>
        <v>0</v>
      </c>
      <c r="AI14" s="485"/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  <c r="AU14" s="485"/>
      <c r="AV14" s="485"/>
      <c r="AW14" s="485"/>
      <c r="AX14" s="485"/>
      <c r="AY14" s="485"/>
      <c r="AZ14" s="485"/>
      <c r="BA14" s="485"/>
      <c r="BB14" s="485"/>
      <c r="BC14" s="485"/>
      <c r="BD14" s="485"/>
      <c r="BE14" s="485"/>
      <c r="BF14" s="485"/>
      <c r="BG14" s="485"/>
      <c r="BH14" s="485"/>
      <c r="BI14" s="485"/>
      <c r="BJ14" s="485"/>
      <c r="BK14" s="485"/>
      <c r="BL14" s="485"/>
      <c r="BM14" s="485"/>
      <c r="BN14" s="485"/>
      <c r="BO14" s="485"/>
      <c r="BP14" s="485"/>
      <c r="BQ14" s="485"/>
      <c r="BR14" s="485"/>
      <c r="BS14" s="485"/>
      <c r="BT14" s="485"/>
      <c r="BU14" s="485"/>
      <c r="BV14" s="485"/>
      <c r="BW14" s="485"/>
      <c r="BX14" s="485"/>
      <c r="BY14" s="485"/>
      <c r="BZ14" s="485"/>
      <c r="CA14" s="485"/>
      <c r="CB14" s="485"/>
      <c r="CC14" s="485"/>
      <c r="CD14" s="485"/>
      <c r="CE14" s="485"/>
      <c r="CF14" s="485"/>
      <c r="CG14" s="485"/>
      <c r="CH14" s="485"/>
      <c r="CI14" s="485"/>
      <c r="CJ14" s="485"/>
      <c r="CK14" s="485"/>
      <c r="CL14" s="485"/>
      <c r="CM14" s="485"/>
      <c r="CN14" s="485"/>
      <c r="CO14" s="485"/>
      <c r="CP14" s="485"/>
      <c r="CQ14" s="485"/>
      <c r="CR14" s="485"/>
      <c r="CS14" s="485"/>
      <c r="CT14" s="485"/>
      <c r="CU14" s="485"/>
      <c r="CV14" s="485"/>
      <c r="CW14" s="485"/>
      <c r="CX14" s="485"/>
      <c r="CY14" s="485"/>
      <c r="CZ14" s="485"/>
      <c r="DA14" s="485"/>
      <c r="DB14" s="485"/>
      <c r="DC14" s="485"/>
      <c r="DD14" s="485"/>
      <c r="DE14" s="485"/>
      <c r="DF14" s="485"/>
      <c r="DG14" s="485"/>
      <c r="DH14" s="485"/>
      <c r="DI14" s="485"/>
      <c r="DJ14" s="485"/>
      <c r="DK14" s="485"/>
      <c r="DL14" s="485"/>
      <c r="DM14" s="485"/>
      <c r="DN14" s="485"/>
      <c r="DO14" s="485"/>
      <c r="DP14" s="485"/>
      <c r="DQ14" s="485"/>
      <c r="DR14" s="485"/>
      <c r="DS14" s="485"/>
      <c r="DT14" s="485"/>
      <c r="DU14" s="485"/>
      <c r="DV14" s="485"/>
      <c r="DW14" s="485"/>
      <c r="DX14" s="485"/>
      <c r="DY14" s="485"/>
      <c r="DZ14" s="485"/>
      <c r="EA14" s="485"/>
      <c r="EB14" s="485"/>
      <c r="EC14" s="485"/>
      <c r="ED14" s="485"/>
      <c r="EE14" s="485"/>
      <c r="EF14" s="485"/>
      <c r="EG14" s="485"/>
      <c r="EH14" s="485"/>
      <c r="EI14" s="485"/>
      <c r="EJ14" s="485"/>
      <c r="EK14" s="485"/>
      <c r="EL14" s="485"/>
      <c r="EM14" s="485"/>
      <c r="EN14" s="485"/>
      <c r="EO14" s="485"/>
      <c r="EP14" s="485"/>
      <c r="EQ14" s="485"/>
      <c r="ER14" s="485"/>
      <c r="ES14" s="485"/>
      <c r="ET14" s="485"/>
      <c r="EU14" s="485"/>
      <c r="EV14" s="485"/>
      <c r="EW14" s="485"/>
      <c r="EX14" s="485"/>
      <c r="EY14" s="485"/>
      <c r="EZ14" s="485"/>
      <c r="FA14" s="485"/>
      <c r="FB14" s="485"/>
      <c r="FC14" s="485"/>
      <c r="FD14" s="485"/>
      <c r="FE14" s="485"/>
      <c r="FF14" s="485"/>
      <c r="FG14" s="485"/>
      <c r="FH14" s="485"/>
      <c r="FI14" s="485"/>
      <c r="FJ14" s="485"/>
      <c r="FK14" s="485"/>
      <c r="FL14" s="485"/>
      <c r="FM14" s="485"/>
      <c r="FN14" s="485"/>
      <c r="FO14" s="485"/>
      <c r="FP14" s="485"/>
      <c r="FQ14" s="485"/>
      <c r="FR14" s="485"/>
      <c r="FS14" s="485"/>
      <c r="FT14" s="485"/>
      <c r="FU14" s="485"/>
      <c r="FV14" s="485"/>
      <c r="FW14" s="485"/>
      <c r="FX14" s="485"/>
      <c r="FY14" s="485"/>
      <c r="FZ14" s="485"/>
      <c r="GA14" s="485"/>
      <c r="GB14" s="485"/>
      <c r="GC14" s="485"/>
      <c r="GD14" s="485"/>
      <c r="GE14" s="485"/>
      <c r="GF14" s="485"/>
      <c r="GG14" s="485"/>
      <c r="GH14" s="485"/>
      <c r="GI14" s="485"/>
      <c r="GJ14" s="485"/>
      <c r="GK14" s="485"/>
      <c r="GL14" s="485"/>
      <c r="GM14" s="485"/>
      <c r="GN14" s="485"/>
      <c r="GO14" s="485"/>
      <c r="GP14" s="485"/>
      <c r="GQ14" s="485"/>
      <c r="GR14" s="485"/>
      <c r="GS14" s="485"/>
      <c r="GT14" s="485"/>
      <c r="GU14" s="485"/>
      <c r="GV14" s="485"/>
      <c r="GW14" s="485"/>
      <c r="GX14" s="485"/>
      <c r="GY14" s="485"/>
      <c r="GZ14" s="485"/>
      <c r="HA14" s="485"/>
      <c r="HB14" s="485"/>
      <c r="HC14" s="485"/>
      <c r="HD14" s="485"/>
      <c r="HE14" s="485"/>
      <c r="HF14" s="485"/>
      <c r="HG14" s="485"/>
      <c r="HH14" s="485"/>
      <c r="HI14" s="485"/>
      <c r="HJ14" s="485"/>
      <c r="HK14" s="485"/>
      <c r="HL14" s="485"/>
      <c r="HM14" s="485"/>
      <c r="HN14" s="485"/>
      <c r="HO14" s="485"/>
      <c r="HP14" s="485"/>
      <c r="HQ14" s="485"/>
      <c r="HR14" s="485"/>
      <c r="HS14" s="485"/>
      <c r="HT14" s="485"/>
      <c r="HU14" s="485"/>
      <c r="HV14" s="485"/>
      <c r="HW14" s="485"/>
      <c r="HX14" s="485"/>
      <c r="HY14" s="485"/>
      <c r="HZ14" s="485"/>
      <c r="IA14" s="485"/>
      <c r="IB14" s="485"/>
      <c r="IC14" s="485"/>
      <c r="ID14" s="485"/>
      <c r="IE14" s="485"/>
      <c r="IF14" s="485"/>
      <c r="IG14" s="485"/>
      <c r="IH14" s="485"/>
      <c r="II14" s="485"/>
      <c r="IJ14" s="485"/>
      <c r="IK14" s="485"/>
      <c r="IL14" s="485"/>
      <c r="IM14" s="485"/>
      <c r="IN14" s="485"/>
      <c r="IO14" s="485"/>
      <c r="IP14" s="485"/>
      <c r="IQ14" s="485"/>
      <c r="IR14" s="485"/>
      <c r="IS14" s="485"/>
      <c r="IT14" s="485"/>
      <c r="IU14" s="485"/>
      <c r="IV14" s="485"/>
      <c r="IW14" s="485"/>
    </row>
    <row r="15" customFormat="false" ht="12.75" hidden="false" customHeight="false" outlineLevel="0" collapsed="false">
      <c r="B15" s="486"/>
      <c r="D15" s="478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  <c r="DJ15" s="475"/>
      <c r="DK15" s="475"/>
      <c r="DL15" s="475"/>
      <c r="DM15" s="475"/>
      <c r="DN15" s="475"/>
      <c r="DO15" s="475"/>
      <c r="DP15" s="475"/>
      <c r="DQ15" s="475"/>
      <c r="DR15" s="475"/>
      <c r="DS15" s="475"/>
      <c r="DT15" s="475"/>
      <c r="DU15" s="475"/>
      <c r="DV15" s="475"/>
      <c r="DW15" s="475"/>
      <c r="DX15" s="475"/>
      <c r="DY15" s="475"/>
      <c r="DZ15" s="475"/>
      <c r="EA15" s="475"/>
      <c r="EB15" s="475"/>
      <c r="EC15" s="475"/>
      <c r="ED15" s="475"/>
      <c r="EE15" s="475"/>
      <c r="EF15" s="475"/>
      <c r="EG15" s="475"/>
      <c r="EH15" s="475"/>
      <c r="EI15" s="475"/>
      <c r="EJ15" s="475"/>
      <c r="EK15" s="475"/>
      <c r="EL15" s="475"/>
      <c r="EM15" s="475"/>
      <c r="EN15" s="475"/>
      <c r="EO15" s="475"/>
      <c r="EP15" s="475"/>
      <c r="EQ15" s="475"/>
      <c r="ER15" s="475"/>
      <c r="ES15" s="475"/>
      <c r="ET15" s="475"/>
      <c r="EU15" s="475"/>
      <c r="EV15" s="475"/>
      <c r="EW15" s="475"/>
      <c r="EX15" s="475"/>
      <c r="EY15" s="475"/>
      <c r="EZ15" s="475"/>
      <c r="FA15" s="475"/>
      <c r="FB15" s="475"/>
      <c r="FC15" s="475"/>
      <c r="FD15" s="475"/>
      <c r="FE15" s="475"/>
      <c r="FF15" s="475"/>
      <c r="FG15" s="475"/>
      <c r="FH15" s="475"/>
      <c r="FI15" s="475"/>
      <c r="FJ15" s="475"/>
      <c r="FK15" s="475"/>
      <c r="FL15" s="475"/>
      <c r="FM15" s="475"/>
      <c r="FN15" s="475"/>
      <c r="FO15" s="475"/>
      <c r="FP15" s="475"/>
      <c r="FQ15" s="475"/>
      <c r="FR15" s="475"/>
      <c r="FS15" s="475"/>
      <c r="FT15" s="475"/>
      <c r="FU15" s="475"/>
      <c r="FV15" s="475"/>
      <c r="FW15" s="475"/>
      <c r="FX15" s="475"/>
      <c r="FY15" s="475"/>
      <c r="FZ15" s="475"/>
      <c r="GA15" s="475"/>
      <c r="GB15" s="475"/>
      <c r="GC15" s="475"/>
      <c r="GD15" s="475"/>
      <c r="GE15" s="475"/>
      <c r="GF15" s="475"/>
      <c r="GG15" s="475"/>
      <c r="GH15" s="475"/>
      <c r="GI15" s="475"/>
      <c r="GJ15" s="475"/>
      <c r="GK15" s="475"/>
      <c r="GL15" s="475"/>
      <c r="GM15" s="475"/>
      <c r="GN15" s="475"/>
      <c r="GO15" s="475"/>
      <c r="GP15" s="475"/>
      <c r="GQ15" s="475"/>
      <c r="GR15" s="475"/>
      <c r="GS15" s="475"/>
      <c r="GT15" s="475"/>
      <c r="GU15" s="475"/>
      <c r="GV15" s="475"/>
      <c r="GW15" s="475"/>
      <c r="GX15" s="475"/>
      <c r="GY15" s="475"/>
      <c r="GZ15" s="475"/>
      <c r="HA15" s="475"/>
      <c r="HB15" s="475"/>
      <c r="HC15" s="475"/>
      <c r="HD15" s="475"/>
      <c r="HE15" s="475"/>
      <c r="HF15" s="475"/>
      <c r="HG15" s="475"/>
      <c r="HH15" s="475"/>
      <c r="HI15" s="475"/>
      <c r="HJ15" s="475"/>
      <c r="HK15" s="475"/>
      <c r="HL15" s="475"/>
      <c r="HM15" s="475"/>
      <c r="HN15" s="475"/>
      <c r="HO15" s="475"/>
      <c r="HP15" s="475"/>
      <c r="HQ15" s="475"/>
      <c r="HR15" s="475"/>
      <c r="HS15" s="475"/>
      <c r="HT15" s="475"/>
      <c r="HU15" s="475"/>
      <c r="HV15" s="475"/>
      <c r="HW15" s="475"/>
      <c r="HX15" s="475"/>
      <c r="HY15" s="475"/>
      <c r="HZ15" s="475"/>
      <c r="IA15" s="475"/>
      <c r="IB15" s="475"/>
      <c r="IC15" s="475"/>
      <c r="ID15" s="475"/>
      <c r="IE15" s="475"/>
      <c r="IF15" s="475"/>
      <c r="IG15" s="475"/>
      <c r="IH15" s="475"/>
      <c r="II15" s="475"/>
      <c r="IJ15" s="475"/>
      <c r="IK15" s="475"/>
      <c r="IL15" s="475"/>
      <c r="IM15" s="475"/>
      <c r="IN15" s="475"/>
      <c r="IO15" s="475"/>
      <c r="IP15" s="475"/>
      <c r="IQ15" s="475"/>
      <c r="IR15" s="475"/>
      <c r="IS15" s="475"/>
      <c r="IT15" s="475"/>
      <c r="IU15" s="475"/>
      <c r="IV15" s="475"/>
      <c r="IW15" s="475"/>
    </row>
    <row r="16" customFormat="false" ht="12.75" hidden="false" customHeight="false" outlineLevel="0" collapsed="false">
      <c r="A16" s="479" t="s">
        <v>405</v>
      </c>
      <c r="B16" s="180" t="n">
        <f aca="false">Assumptions!C34+Assumptions!C46+Assumptions!C38</f>
        <v>100089.50002246</v>
      </c>
      <c r="C16" s="487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  <c r="DJ16" s="475"/>
      <c r="DK16" s="475"/>
      <c r="DL16" s="475"/>
      <c r="DM16" s="475"/>
      <c r="DN16" s="475"/>
      <c r="DO16" s="475"/>
      <c r="DP16" s="475"/>
      <c r="DQ16" s="475"/>
      <c r="DR16" s="475"/>
      <c r="DS16" s="475"/>
      <c r="DT16" s="475"/>
      <c r="DU16" s="475"/>
      <c r="DV16" s="475"/>
      <c r="DW16" s="475"/>
      <c r="DX16" s="475"/>
      <c r="DY16" s="475"/>
      <c r="DZ16" s="475"/>
      <c r="EA16" s="475"/>
      <c r="EB16" s="475"/>
      <c r="EC16" s="475"/>
      <c r="ED16" s="475"/>
      <c r="EE16" s="475"/>
      <c r="EF16" s="475"/>
      <c r="EG16" s="475"/>
      <c r="EH16" s="475"/>
      <c r="EI16" s="475"/>
      <c r="EJ16" s="475"/>
      <c r="EK16" s="475"/>
      <c r="EL16" s="475"/>
      <c r="EM16" s="475"/>
      <c r="EN16" s="475"/>
      <c r="EO16" s="475"/>
      <c r="EP16" s="475"/>
      <c r="EQ16" s="475"/>
      <c r="ER16" s="475"/>
      <c r="ES16" s="475"/>
      <c r="ET16" s="475"/>
      <c r="EU16" s="475"/>
      <c r="EV16" s="475"/>
      <c r="EW16" s="475"/>
      <c r="EX16" s="475"/>
      <c r="EY16" s="475"/>
      <c r="EZ16" s="475"/>
      <c r="FA16" s="475"/>
      <c r="FB16" s="475"/>
      <c r="FC16" s="475"/>
      <c r="FD16" s="475"/>
      <c r="FE16" s="475"/>
      <c r="FF16" s="475"/>
      <c r="FG16" s="475"/>
      <c r="FH16" s="475"/>
      <c r="FI16" s="475"/>
      <c r="FJ16" s="475"/>
      <c r="FK16" s="475"/>
      <c r="FL16" s="475"/>
      <c r="FM16" s="475"/>
      <c r="FN16" s="475"/>
      <c r="FO16" s="475"/>
      <c r="FP16" s="475"/>
      <c r="FQ16" s="475"/>
      <c r="FR16" s="475"/>
      <c r="FS16" s="475"/>
      <c r="FT16" s="475"/>
      <c r="FU16" s="475"/>
      <c r="FV16" s="475"/>
      <c r="FW16" s="475"/>
      <c r="FX16" s="475"/>
      <c r="FY16" s="475"/>
      <c r="FZ16" s="475"/>
      <c r="GA16" s="475"/>
      <c r="GB16" s="475"/>
      <c r="GC16" s="475"/>
      <c r="GD16" s="475"/>
      <c r="GE16" s="475"/>
      <c r="GF16" s="475"/>
      <c r="GG16" s="475"/>
      <c r="GH16" s="475"/>
      <c r="GI16" s="475"/>
      <c r="GJ16" s="475"/>
      <c r="GK16" s="475"/>
      <c r="GL16" s="475"/>
      <c r="GM16" s="475"/>
      <c r="GN16" s="475"/>
      <c r="GO16" s="475"/>
      <c r="GP16" s="475"/>
      <c r="GQ16" s="475"/>
      <c r="GR16" s="475"/>
      <c r="GS16" s="475"/>
      <c r="GT16" s="475"/>
      <c r="GU16" s="475"/>
      <c r="GV16" s="475"/>
      <c r="GW16" s="475"/>
      <c r="GX16" s="475"/>
      <c r="GY16" s="475"/>
      <c r="GZ16" s="475"/>
      <c r="HA16" s="475"/>
      <c r="HB16" s="475"/>
      <c r="HC16" s="475"/>
      <c r="HD16" s="475"/>
      <c r="HE16" s="475"/>
      <c r="HF16" s="475"/>
      <c r="HG16" s="475"/>
      <c r="HH16" s="475"/>
      <c r="HI16" s="475"/>
      <c r="HJ16" s="475"/>
      <c r="HK16" s="475"/>
      <c r="HL16" s="475"/>
      <c r="HM16" s="475"/>
      <c r="HN16" s="475"/>
      <c r="HO16" s="475"/>
      <c r="HP16" s="475"/>
      <c r="HQ16" s="475"/>
      <c r="HR16" s="475"/>
      <c r="HS16" s="475"/>
      <c r="HT16" s="475"/>
      <c r="HU16" s="475"/>
      <c r="HV16" s="475"/>
      <c r="HW16" s="475"/>
      <c r="HX16" s="475"/>
      <c r="HY16" s="475"/>
      <c r="HZ16" s="475"/>
      <c r="IA16" s="475"/>
      <c r="IB16" s="475"/>
      <c r="IC16" s="475"/>
      <c r="ID16" s="475"/>
      <c r="IE16" s="475"/>
      <c r="IF16" s="475"/>
      <c r="IG16" s="475"/>
      <c r="IH16" s="475"/>
      <c r="II16" s="475"/>
      <c r="IJ16" s="475"/>
      <c r="IK16" s="475"/>
      <c r="IL16" s="475"/>
      <c r="IM16" s="475"/>
      <c r="IN16" s="475"/>
      <c r="IO16" s="475"/>
      <c r="IP16" s="475"/>
      <c r="IQ16" s="475"/>
      <c r="IR16" s="475"/>
      <c r="IS16" s="475"/>
      <c r="IT16" s="475"/>
      <c r="IU16" s="475"/>
      <c r="IV16" s="475"/>
      <c r="IW16" s="475"/>
    </row>
    <row r="17" customFormat="false" ht="12.75" hidden="false" customHeight="false" outlineLevel="0" collapsed="false">
      <c r="A17" s="479" t="s">
        <v>406</v>
      </c>
      <c r="B17" s="488" t="n">
        <f aca="false">Assumptions!C50-Assumptions!C46-Assumptions!C47</f>
        <v>3906.665</v>
      </c>
      <c r="C17" s="487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  <c r="DJ17" s="475"/>
      <c r="DK17" s="475"/>
      <c r="DL17" s="475"/>
      <c r="DM17" s="475"/>
      <c r="DN17" s="475"/>
      <c r="DO17" s="475"/>
      <c r="DP17" s="475"/>
      <c r="DQ17" s="475"/>
      <c r="DR17" s="475"/>
      <c r="DS17" s="475"/>
      <c r="DT17" s="475"/>
      <c r="DU17" s="475"/>
      <c r="DV17" s="475"/>
      <c r="DW17" s="475"/>
      <c r="DX17" s="475"/>
      <c r="DY17" s="475"/>
      <c r="DZ17" s="475"/>
      <c r="EA17" s="475"/>
      <c r="EB17" s="475"/>
      <c r="EC17" s="475"/>
      <c r="ED17" s="475"/>
      <c r="EE17" s="475"/>
      <c r="EF17" s="475"/>
      <c r="EG17" s="475"/>
      <c r="EH17" s="475"/>
      <c r="EI17" s="475"/>
      <c r="EJ17" s="475"/>
      <c r="EK17" s="475"/>
      <c r="EL17" s="475"/>
      <c r="EM17" s="475"/>
      <c r="EN17" s="475"/>
      <c r="EO17" s="475"/>
      <c r="EP17" s="475"/>
      <c r="EQ17" s="475"/>
      <c r="ER17" s="475"/>
      <c r="ES17" s="475"/>
      <c r="ET17" s="475"/>
      <c r="EU17" s="475"/>
      <c r="EV17" s="475"/>
      <c r="EW17" s="475"/>
      <c r="EX17" s="475"/>
      <c r="EY17" s="475"/>
      <c r="EZ17" s="475"/>
      <c r="FA17" s="475"/>
      <c r="FB17" s="475"/>
      <c r="FC17" s="475"/>
      <c r="FD17" s="475"/>
      <c r="FE17" s="475"/>
      <c r="FF17" s="475"/>
      <c r="FG17" s="475"/>
      <c r="FH17" s="475"/>
      <c r="FI17" s="475"/>
      <c r="FJ17" s="475"/>
      <c r="FK17" s="475"/>
      <c r="FL17" s="475"/>
      <c r="FM17" s="475"/>
      <c r="FN17" s="475"/>
      <c r="FO17" s="475"/>
      <c r="FP17" s="475"/>
      <c r="FQ17" s="475"/>
      <c r="FR17" s="475"/>
      <c r="FS17" s="475"/>
      <c r="FT17" s="475"/>
      <c r="FU17" s="475"/>
      <c r="FV17" s="475"/>
      <c r="FW17" s="475"/>
      <c r="FX17" s="475"/>
      <c r="FY17" s="475"/>
      <c r="FZ17" s="475"/>
      <c r="GA17" s="475"/>
      <c r="GB17" s="475"/>
      <c r="GC17" s="475"/>
      <c r="GD17" s="475"/>
      <c r="GE17" s="475"/>
      <c r="GF17" s="475"/>
      <c r="GG17" s="475"/>
      <c r="GH17" s="475"/>
      <c r="GI17" s="475"/>
      <c r="GJ17" s="475"/>
      <c r="GK17" s="475"/>
      <c r="GL17" s="475"/>
      <c r="GM17" s="475"/>
      <c r="GN17" s="475"/>
      <c r="GO17" s="475"/>
      <c r="GP17" s="475"/>
      <c r="GQ17" s="475"/>
      <c r="GR17" s="475"/>
      <c r="GS17" s="475"/>
      <c r="GT17" s="475"/>
      <c r="GU17" s="475"/>
      <c r="GV17" s="475"/>
      <c r="GW17" s="475"/>
      <c r="GX17" s="475"/>
      <c r="GY17" s="475"/>
      <c r="GZ17" s="475"/>
      <c r="HA17" s="475"/>
      <c r="HB17" s="475"/>
      <c r="HC17" s="475"/>
      <c r="HD17" s="475"/>
      <c r="HE17" s="475"/>
      <c r="HF17" s="475"/>
      <c r="HG17" s="475"/>
      <c r="HH17" s="475"/>
      <c r="HI17" s="475"/>
      <c r="HJ17" s="475"/>
      <c r="HK17" s="475"/>
      <c r="HL17" s="475"/>
      <c r="HM17" s="475"/>
      <c r="HN17" s="475"/>
      <c r="HO17" s="475"/>
      <c r="HP17" s="475"/>
      <c r="HQ17" s="475"/>
      <c r="HR17" s="475"/>
      <c r="HS17" s="475"/>
      <c r="HT17" s="475"/>
      <c r="HU17" s="475"/>
      <c r="HV17" s="475"/>
      <c r="HW17" s="475"/>
      <c r="HX17" s="475"/>
      <c r="HY17" s="475"/>
      <c r="HZ17" s="475"/>
      <c r="IA17" s="475"/>
      <c r="IB17" s="475"/>
      <c r="IC17" s="475"/>
      <c r="ID17" s="475"/>
      <c r="IE17" s="475"/>
      <c r="IF17" s="475"/>
      <c r="IG17" s="475"/>
      <c r="IH17" s="475"/>
      <c r="II17" s="475"/>
      <c r="IJ17" s="475"/>
      <c r="IK17" s="475"/>
      <c r="IL17" s="475"/>
      <c r="IM17" s="475"/>
      <c r="IN17" s="475"/>
      <c r="IO17" s="475"/>
      <c r="IP17" s="475"/>
      <c r="IQ17" s="475"/>
      <c r="IR17" s="475"/>
      <c r="IS17" s="475"/>
      <c r="IT17" s="475"/>
      <c r="IU17" s="475"/>
      <c r="IV17" s="475"/>
      <c r="IW17" s="475"/>
    </row>
    <row r="18" customFormat="false" ht="15" hidden="false" customHeight="false" outlineLevel="0" collapsed="false">
      <c r="A18" s="482" t="s">
        <v>407</v>
      </c>
      <c r="B18" s="385" t="n">
        <f aca="false">Assumptions!$C$56</f>
        <v>1000</v>
      </c>
      <c r="C18" s="487"/>
      <c r="D18" s="385" t="n">
        <f aca="false">$B$18*D14</f>
        <v>33.3333333333333</v>
      </c>
      <c r="E18" s="385" t="n">
        <f aca="false">$B$18*E14</f>
        <v>50</v>
      </c>
      <c r="F18" s="385" t="n">
        <f aca="false">$B$18*F14</f>
        <v>50</v>
      </c>
      <c r="G18" s="385" t="n">
        <f aca="false">$B$18*G14</f>
        <v>50</v>
      </c>
      <c r="H18" s="385" t="n">
        <f aca="false">$B$18*H14</f>
        <v>50</v>
      </c>
      <c r="I18" s="385" t="n">
        <f aca="false">$B$18*I14</f>
        <v>50</v>
      </c>
      <c r="J18" s="385" t="n">
        <f aca="false">$B$18*J14</f>
        <v>50</v>
      </c>
      <c r="K18" s="385" t="n">
        <f aca="false">$B$18*K14</f>
        <v>50</v>
      </c>
      <c r="L18" s="385" t="n">
        <f aca="false">$B$18*L14</f>
        <v>50</v>
      </c>
      <c r="M18" s="385" t="n">
        <f aca="false">$B$18*M14</f>
        <v>50</v>
      </c>
      <c r="N18" s="385" t="n">
        <f aca="false">$B$18*N14</f>
        <v>50</v>
      </c>
      <c r="O18" s="385" t="n">
        <f aca="false">$B$18*O14</f>
        <v>50</v>
      </c>
      <c r="P18" s="385" t="n">
        <f aca="false">$B$18*P14</f>
        <v>50</v>
      </c>
      <c r="Q18" s="385" t="n">
        <f aca="false">$B$18*Q14</f>
        <v>50</v>
      </c>
      <c r="R18" s="385" t="n">
        <f aca="false">$B$18*R14</f>
        <v>50</v>
      </c>
      <c r="S18" s="385" t="n">
        <f aca="false">$B$18*S14</f>
        <v>50</v>
      </c>
      <c r="T18" s="385" t="n">
        <f aca="false">$B$18*T14</f>
        <v>50</v>
      </c>
      <c r="U18" s="385" t="n">
        <f aca="false">$B$18*U14</f>
        <v>50</v>
      </c>
      <c r="V18" s="385" t="n">
        <f aca="false">$B$18*V14</f>
        <v>50</v>
      </c>
      <c r="W18" s="385" t="n">
        <f aca="false">$B$18*W14</f>
        <v>50</v>
      </c>
      <c r="X18" s="385" t="n">
        <f aca="false">$B$18*X14</f>
        <v>16.6666666666667</v>
      </c>
      <c r="Y18" s="385" t="n">
        <f aca="false">$B$18*Y14</f>
        <v>0</v>
      </c>
      <c r="Z18" s="385" t="n">
        <f aca="false">$B$18*Z14</f>
        <v>0</v>
      </c>
      <c r="AA18" s="385" t="n">
        <f aca="false">$B$18*AA14</f>
        <v>0</v>
      </c>
      <c r="AB18" s="385" t="n">
        <f aca="false">$B$18*AB14</f>
        <v>0</v>
      </c>
      <c r="AC18" s="385" t="n">
        <f aca="false">$B$18*AC14</f>
        <v>0</v>
      </c>
      <c r="AD18" s="385" t="n">
        <f aca="false">$B$18*AD14</f>
        <v>0</v>
      </c>
      <c r="AE18" s="385" t="n">
        <f aca="false">$B$18*AE14</f>
        <v>0</v>
      </c>
      <c r="AF18" s="385" t="n">
        <f aca="false">$B$18*AF14</f>
        <v>0</v>
      </c>
      <c r="AG18" s="385" t="n">
        <f aca="false">$B$18*AG14</f>
        <v>0</v>
      </c>
      <c r="AH18" s="385" t="n">
        <f aca="false">$B$18*AH14</f>
        <v>0</v>
      </c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  <c r="DJ18" s="475"/>
      <c r="DK18" s="475"/>
      <c r="DL18" s="475"/>
      <c r="DM18" s="475"/>
      <c r="DN18" s="475"/>
      <c r="DO18" s="475"/>
      <c r="DP18" s="475"/>
      <c r="DQ18" s="475"/>
      <c r="DR18" s="475"/>
      <c r="DS18" s="475"/>
      <c r="DT18" s="475"/>
      <c r="DU18" s="475"/>
      <c r="DV18" s="475"/>
      <c r="DW18" s="475"/>
      <c r="DX18" s="475"/>
      <c r="DY18" s="475"/>
      <c r="DZ18" s="475"/>
      <c r="EA18" s="475"/>
      <c r="EB18" s="475"/>
      <c r="EC18" s="475"/>
      <c r="ED18" s="475"/>
      <c r="EE18" s="475"/>
      <c r="EF18" s="475"/>
      <c r="EG18" s="475"/>
      <c r="EH18" s="475"/>
      <c r="EI18" s="475"/>
      <c r="EJ18" s="475"/>
      <c r="EK18" s="475"/>
      <c r="EL18" s="475"/>
      <c r="EM18" s="475"/>
      <c r="EN18" s="475"/>
      <c r="EO18" s="475"/>
      <c r="EP18" s="475"/>
      <c r="EQ18" s="475"/>
      <c r="ER18" s="475"/>
      <c r="ES18" s="475"/>
      <c r="ET18" s="475"/>
      <c r="EU18" s="475"/>
      <c r="EV18" s="475"/>
      <c r="EW18" s="475"/>
      <c r="EX18" s="475"/>
      <c r="EY18" s="475"/>
      <c r="EZ18" s="475"/>
      <c r="FA18" s="475"/>
      <c r="FB18" s="475"/>
      <c r="FC18" s="475"/>
      <c r="FD18" s="475"/>
      <c r="FE18" s="475"/>
      <c r="FF18" s="475"/>
      <c r="FG18" s="475"/>
      <c r="FH18" s="475"/>
      <c r="FI18" s="475"/>
      <c r="FJ18" s="475"/>
      <c r="FK18" s="475"/>
      <c r="FL18" s="475"/>
      <c r="FM18" s="475"/>
      <c r="FN18" s="475"/>
      <c r="FO18" s="475"/>
      <c r="FP18" s="475"/>
      <c r="FQ18" s="475"/>
      <c r="FR18" s="475"/>
      <c r="FS18" s="475"/>
      <c r="FT18" s="475"/>
      <c r="FU18" s="475"/>
      <c r="FV18" s="475"/>
      <c r="FW18" s="475"/>
      <c r="FX18" s="475"/>
      <c r="FY18" s="475"/>
      <c r="FZ18" s="475"/>
      <c r="GA18" s="475"/>
      <c r="GB18" s="475"/>
      <c r="GC18" s="475"/>
      <c r="GD18" s="475"/>
      <c r="GE18" s="475"/>
      <c r="GF18" s="475"/>
      <c r="GG18" s="475"/>
      <c r="GH18" s="475"/>
      <c r="GI18" s="475"/>
      <c r="GJ18" s="475"/>
      <c r="GK18" s="475"/>
      <c r="GL18" s="475"/>
      <c r="GM18" s="475"/>
      <c r="GN18" s="475"/>
      <c r="GO18" s="475"/>
      <c r="GP18" s="475"/>
      <c r="GQ18" s="475"/>
      <c r="GR18" s="475"/>
      <c r="GS18" s="475"/>
      <c r="GT18" s="475"/>
      <c r="GU18" s="475"/>
      <c r="GV18" s="475"/>
      <c r="GW18" s="475"/>
      <c r="GX18" s="475"/>
      <c r="GY18" s="475"/>
      <c r="GZ18" s="475"/>
      <c r="HA18" s="475"/>
      <c r="HB18" s="475"/>
      <c r="HC18" s="475"/>
      <c r="HD18" s="475"/>
      <c r="HE18" s="475"/>
      <c r="HF18" s="475"/>
      <c r="HG18" s="475"/>
      <c r="HH18" s="475"/>
      <c r="HI18" s="475"/>
      <c r="HJ18" s="475"/>
      <c r="HK18" s="475"/>
      <c r="HL18" s="475"/>
      <c r="HM18" s="475"/>
      <c r="HN18" s="475"/>
      <c r="HO18" s="475"/>
      <c r="HP18" s="475"/>
      <c r="HQ18" s="475"/>
      <c r="HR18" s="475"/>
      <c r="HS18" s="475"/>
      <c r="HT18" s="475"/>
      <c r="HU18" s="475"/>
      <c r="HV18" s="475"/>
      <c r="HW18" s="475"/>
      <c r="HX18" s="475"/>
      <c r="HY18" s="475"/>
      <c r="HZ18" s="475"/>
      <c r="IA18" s="475"/>
      <c r="IB18" s="475"/>
      <c r="IC18" s="475"/>
      <c r="ID18" s="475"/>
      <c r="IE18" s="475"/>
      <c r="IF18" s="475"/>
      <c r="IG18" s="475"/>
      <c r="IH18" s="475"/>
      <c r="II18" s="475"/>
      <c r="IJ18" s="475"/>
      <c r="IK18" s="475"/>
      <c r="IL18" s="475"/>
      <c r="IM18" s="475"/>
      <c r="IN18" s="475"/>
      <c r="IO18" s="475"/>
      <c r="IP18" s="475"/>
      <c r="IQ18" s="475"/>
      <c r="IR18" s="475"/>
      <c r="IS18" s="475"/>
      <c r="IT18" s="475"/>
      <c r="IU18" s="475"/>
      <c r="IV18" s="475"/>
      <c r="IW18" s="475"/>
    </row>
    <row r="19" customFormat="false" ht="12.75" hidden="false" customHeight="false" outlineLevel="0" collapsed="false">
      <c r="A19" s="482" t="s">
        <v>408</v>
      </c>
      <c r="B19" s="180" t="n">
        <f aca="false">SUM(B16:B18)</f>
        <v>104996.16502246</v>
      </c>
      <c r="C19" s="487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  <c r="DJ19" s="475"/>
      <c r="DK19" s="475"/>
      <c r="DL19" s="475"/>
      <c r="DM19" s="475"/>
      <c r="DN19" s="475"/>
      <c r="DO19" s="475"/>
      <c r="DP19" s="475"/>
      <c r="DQ19" s="475"/>
      <c r="DR19" s="475"/>
      <c r="DS19" s="475"/>
      <c r="DT19" s="475"/>
      <c r="DU19" s="475"/>
      <c r="DV19" s="475"/>
      <c r="DW19" s="475"/>
      <c r="DX19" s="475"/>
      <c r="DY19" s="475"/>
      <c r="DZ19" s="475"/>
      <c r="EA19" s="475"/>
      <c r="EB19" s="475"/>
      <c r="EC19" s="475"/>
      <c r="ED19" s="475"/>
      <c r="EE19" s="475"/>
      <c r="EF19" s="475"/>
      <c r="EG19" s="475"/>
      <c r="EH19" s="475"/>
      <c r="EI19" s="475"/>
      <c r="EJ19" s="475"/>
      <c r="EK19" s="475"/>
      <c r="EL19" s="475"/>
      <c r="EM19" s="475"/>
      <c r="EN19" s="475"/>
      <c r="EO19" s="475"/>
      <c r="EP19" s="475"/>
      <c r="EQ19" s="475"/>
      <c r="ER19" s="475"/>
      <c r="ES19" s="475"/>
      <c r="ET19" s="475"/>
      <c r="EU19" s="475"/>
      <c r="EV19" s="475"/>
      <c r="EW19" s="475"/>
      <c r="EX19" s="475"/>
      <c r="EY19" s="475"/>
      <c r="EZ19" s="475"/>
      <c r="FA19" s="475"/>
      <c r="FB19" s="475"/>
      <c r="FC19" s="475"/>
      <c r="FD19" s="475"/>
      <c r="FE19" s="475"/>
      <c r="FF19" s="475"/>
      <c r="FG19" s="475"/>
      <c r="FH19" s="475"/>
      <c r="FI19" s="475"/>
      <c r="FJ19" s="475"/>
      <c r="FK19" s="475"/>
      <c r="FL19" s="475"/>
      <c r="FM19" s="475"/>
      <c r="FN19" s="475"/>
      <c r="FO19" s="475"/>
      <c r="FP19" s="475"/>
      <c r="FQ19" s="475"/>
      <c r="FR19" s="475"/>
      <c r="FS19" s="475"/>
      <c r="FT19" s="475"/>
      <c r="FU19" s="475"/>
      <c r="FV19" s="475"/>
      <c r="FW19" s="475"/>
      <c r="FX19" s="475"/>
      <c r="FY19" s="475"/>
      <c r="FZ19" s="475"/>
      <c r="GA19" s="475"/>
      <c r="GB19" s="475"/>
      <c r="GC19" s="475"/>
      <c r="GD19" s="475"/>
      <c r="GE19" s="475"/>
      <c r="GF19" s="475"/>
      <c r="GG19" s="475"/>
      <c r="GH19" s="475"/>
      <c r="GI19" s="475"/>
      <c r="GJ19" s="475"/>
      <c r="GK19" s="475"/>
      <c r="GL19" s="475"/>
      <c r="GM19" s="475"/>
      <c r="GN19" s="475"/>
      <c r="GO19" s="475"/>
      <c r="GP19" s="475"/>
      <c r="GQ19" s="475"/>
      <c r="GR19" s="475"/>
      <c r="GS19" s="475"/>
      <c r="GT19" s="475"/>
      <c r="GU19" s="475"/>
      <c r="GV19" s="475"/>
      <c r="GW19" s="475"/>
      <c r="GX19" s="475"/>
      <c r="GY19" s="475"/>
      <c r="GZ19" s="475"/>
      <c r="HA19" s="475"/>
      <c r="HB19" s="475"/>
      <c r="HC19" s="475"/>
      <c r="HD19" s="475"/>
      <c r="HE19" s="475"/>
      <c r="HF19" s="475"/>
      <c r="HG19" s="475"/>
      <c r="HH19" s="475"/>
      <c r="HI19" s="475"/>
      <c r="HJ19" s="475"/>
      <c r="HK19" s="475"/>
      <c r="HL19" s="475"/>
      <c r="HM19" s="475"/>
      <c r="HN19" s="475"/>
      <c r="HO19" s="475"/>
      <c r="HP19" s="475"/>
      <c r="HQ19" s="475"/>
      <c r="HR19" s="475"/>
      <c r="HS19" s="475"/>
      <c r="HT19" s="475"/>
      <c r="HU19" s="475"/>
      <c r="HV19" s="475"/>
      <c r="HW19" s="475"/>
      <c r="HX19" s="475"/>
      <c r="HY19" s="475"/>
      <c r="HZ19" s="475"/>
      <c r="IA19" s="475"/>
      <c r="IB19" s="475"/>
      <c r="IC19" s="475"/>
      <c r="ID19" s="475"/>
      <c r="IE19" s="475"/>
      <c r="IF19" s="475"/>
      <c r="IG19" s="475"/>
      <c r="IH19" s="475"/>
      <c r="II19" s="475"/>
      <c r="IJ19" s="475"/>
      <c r="IK19" s="475"/>
      <c r="IL19" s="475"/>
      <c r="IM19" s="475"/>
      <c r="IN19" s="475"/>
      <c r="IO19" s="475"/>
      <c r="IP19" s="475"/>
      <c r="IQ19" s="475"/>
      <c r="IR19" s="475"/>
      <c r="IS19" s="475"/>
      <c r="IT19" s="475"/>
      <c r="IU19" s="475"/>
      <c r="IV19" s="475"/>
      <c r="IW19" s="475"/>
    </row>
    <row r="20" customFormat="false" ht="12.75" hidden="false" customHeight="false" outlineLevel="0" collapsed="false">
      <c r="A20" s="475"/>
      <c r="B20" s="180"/>
      <c r="C20" s="487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  <c r="DJ20" s="475"/>
      <c r="DK20" s="475"/>
      <c r="DL20" s="475"/>
      <c r="DM20" s="475"/>
      <c r="DN20" s="475"/>
      <c r="DO20" s="475"/>
      <c r="DP20" s="475"/>
      <c r="DQ20" s="475"/>
      <c r="DR20" s="475"/>
      <c r="DS20" s="475"/>
      <c r="DT20" s="475"/>
      <c r="DU20" s="475"/>
      <c r="DV20" s="475"/>
      <c r="DW20" s="475"/>
      <c r="DX20" s="475"/>
      <c r="DY20" s="475"/>
      <c r="DZ20" s="475"/>
      <c r="EA20" s="475"/>
      <c r="EB20" s="475"/>
      <c r="EC20" s="475"/>
      <c r="ED20" s="475"/>
      <c r="EE20" s="475"/>
      <c r="EF20" s="475"/>
      <c r="EG20" s="475"/>
      <c r="EH20" s="475"/>
      <c r="EI20" s="475"/>
      <c r="EJ20" s="475"/>
      <c r="EK20" s="475"/>
      <c r="EL20" s="475"/>
      <c r="EM20" s="475"/>
      <c r="EN20" s="475"/>
      <c r="EO20" s="475"/>
      <c r="EP20" s="475"/>
      <c r="EQ20" s="475"/>
      <c r="ER20" s="475"/>
      <c r="ES20" s="475"/>
      <c r="ET20" s="475"/>
      <c r="EU20" s="475"/>
      <c r="EV20" s="475"/>
      <c r="EW20" s="475"/>
      <c r="EX20" s="475"/>
      <c r="EY20" s="475"/>
      <c r="EZ20" s="475"/>
      <c r="FA20" s="475"/>
      <c r="FB20" s="475"/>
      <c r="FC20" s="475"/>
      <c r="FD20" s="475"/>
      <c r="FE20" s="475"/>
      <c r="FF20" s="475"/>
      <c r="FG20" s="475"/>
      <c r="FH20" s="475"/>
      <c r="FI20" s="475"/>
      <c r="FJ20" s="475"/>
      <c r="FK20" s="475"/>
      <c r="FL20" s="475"/>
      <c r="FM20" s="475"/>
      <c r="FN20" s="475"/>
      <c r="FO20" s="475"/>
      <c r="FP20" s="475"/>
      <c r="FQ20" s="475"/>
      <c r="FR20" s="475"/>
      <c r="FS20" s="475"/>
      <c r="FT20" s="475"/>
      <c r="FU20" s="475"/>
      <c r="FV20" s="475"/>
      <c r="FW20" s="475"/>
      <c r="FX20" s="475"/>
      <c r="FY20" s="475"/>
      <c r="FZ20" s="475"/>
      <c r="GA20" s="475"/>
      <c r="GB20" s="475"/>
      <c r="GC20" s="475"/>
      <c r="GD20" s="475"/>
      <c r="GE20" s="475"/>
      <c r="GF20" s="475"/>
      <c r="GG20" s="475"/>
      <c r="GH20" s="475"/>
      <c r="GI20" s="475"/>
      <c r="GJ20" s="475"/>
      <c r="GK20" s="475"/>
      <c r="GL20" s="475"/>
      <c r="GM20" s="475"/>
      <c r="GN20" s="475"/>
      <c r="GO20" s="475"/>
      <c r="GP20" s="475"/>
      <c r="GQ20" s="475"/>
      <c r="GR20" s="475"/>
      <c r="GS20" s="475"/>
      <c r="GT20" s="475"/>
      <c r="GU20" s="475"/>
      <c r="GV20" s="475"/>
      <c r="GW20" s="475"/>
      <c r="GX20" s="475"/>
      <c r="GY20" s="475"/>
      <c r="GZ20" s="475"/>
      <c r="HA20" s="475"/>
      <c r="HB20" s="475"/>
      <c r="HC20" s="475"/>
      <c r="HD20" s="475"/>
      <c r="HE20" s="475"/>
      <c r="HF20" s="475"/>
      <c r="HG20" s="475"/>
      <c r="HH20" s="475"/>
      <c r="HI20" s="475"/>
      <c r="HJ20" s="475"/>
      <c r="HK20" s="475"/>
      <c r="HL20" s="475"/>
      <c r="HM20" s="475"/>
      <c r="HN20" s="475"/>
      <c r="HO20" s="475"/>
      <c r="HP20" s="475"/>
      <c r="HQ20" s="475"/>
      <c r="HR20" s="475"/>
      <c r="HS20" s="475"/>
      <c r="HT20" s="475"/>
      <c r="HU20" s="475"/>
      <c r="HV20" s="475"/>
      <c r="HW20" s="475"/>
      <c r="HX20" s="475"/>
      <c r="HY20" s="475"/>
      <c r="HZ20" s="475"/>
      <c r="IA20" s="475"/>
      <c r="IB20" s="475"/>
      <c r="IC20" s="475"/>
      <c r="ID20" s="475"/>
      <c r="IE20" s="475"/>
      <c r="IF20" s="475"/>
      <c r="IG20" s="475"/>
      <c r="IH20" s="475"/>
      <c r="II20" s="475"/>
      <c r="IJ20" s="475"/>
      <c r="IK20" s="475"/>
      <c r="IL20" s="475"/>
      <c r="IM20" s="475"/>
      <c r="IN20" s="475"/>
      <c r="IO20" s="475"/>
      <c r="IP20" s="475"/>
      <c r="IQ20" s="475"/>
      <c r="IR20" s="475"/>
      <c r="IS20" s="475"/>
      <c r="IT20" s="475"/>
      <c r="IU20" s="475"/>
      <c r="IV20" s="475"/>
      <c r="IW20" s="475"/>
    </row>
    <row r="21" customFormat="false" ht="12.75" hidden="false" customHeight="false" outlineLevel="0" collapsed="false">
      <c r="A21" s="253" t="s">
        <v>409</v>
      </c>
      <c r="B21" s="386" t="n">
        <f aca="false">B19</f>
        <v>104996.16502246</v>
      </c>
      <c r="C21" s="489"/>
      <c r="D21" s="386" t="n">
        <f aca="false">B19-D19</f>
        <v>99437.4680213368</v>
      </c>
      <c r="E21" s="386" t="n">
        <f aca="false">D21-E19</f>
        <v>89097.6325192031</v>
      </c>
      <c r="F21" s="386" t="n">
        <f aca="false">E21-F19</f>
        <v>79708.6472672828</v>
      </c>
      <c r="G21" s="386" t="n">
        <f aca="false">F21-G19</f>
        <v>71170.4227655534</v>
      </c>
      <c r="H21" s="386" t="n">
        <f aca="false">G21-H19</f>
        <v>63402.8874139969</v>
      </c>
      <c r="I21" s="386" t="n">
        <f aca="false">H21-I19</f>
        <v>56856.8672292644</v>
      </c>
      <c r="J21" s="386" t="n">
        <f aca="false">I21-J19</f>
        <v>50901.5867279392</v>
      </c>
      <c r="K21" s="386" t="n">
        <f aca="false">J21-K19</f>
        <v>44936.2972766119</v>
      </c>
      <c r="L21" s="386" t="n">
        <f aca="false">K21-L19</f>
        <v>38981.0167752867</v>
      </c>
      <c r="M21" s="386" t="n">
        <f aca="false">L21-M19</f>
        <v>33015.7273239594</v>
      </c>
      <c r="N21" s="386" t="n">
        <f aca="false">M21-N19</f>
        <v>27060.4468226342</v>
      </c>
      <c r="O21" s="386" t="n">
        <f aca="false">N21-O19</f>
        <v>21095.1573713069</v>
      </c>
      <c r="P21" s="386" t="n">
        <f aca="false">O21-P19</f>
        <v>15139.8768699817</v>
      </c>
      <c r="Q21" s="386" t="n">
        <f aca="false">P21-Q19</f>
        <v>9174.58741865436</v>
      </c>
      <c r="R21" s="386" t="n">
        <f aca="false">Q21-R19</f>
        <v>3219.30691732924</v>
      </c>
      <c r="S21" s="386" t="n">
        <f aca="false">R21-S19</f>
        <v>216.666666666673</v>
      </c>
      <c r="T21" s="386" t="n">
        <f aca="false">S21-T19</f>
        <v>166.666666666673</v>
      </c>
      <c r="U21" s="386" t="n">
        <f aca="false">T21-U19</f>
        <v>116.666666666673</v>
      </c>
      <c r="V21" s="386" t="n">
        <f aca="false">U21-V19</f>
        <v>66.6666666666733</v>
      </c>
      <c r="W21" s="386" t="n">
        <f aca="false">V21-W19</f>
        <v>16.6666666666733</v>
      </c>
      <c r="X21" s="386" t="n">
        <f aca="false">W21-X19</f>
        <v>6.66489086142974E-012</v>
      </c>
      <c r="Y21" s="386" t="n">
        <f aca="false">X21-Y19</f>
        <v>6.66489086142974E-012</v>
      </c>
      <c r="Z21" s="386" t="n">
        <f aca="false">Y21-Z19</f>
        <v>6.66489086142974E-012</v>
      </c>
      <c r="AA21" s="386" t="n">
        <f aca="false">Z21-AA19</f>
        <v>6.66489086142974E-012</v>
      </c>
      <c r="AB21" s="386" t="n">
        <f aca="false">AA21-AB19</f>
        <v>6.66489086142974E-012</v>
      </c>
      <c r="AC21" s="386" t="n">
        <f aca="false">AB21-AC19</f>
        <v>6.66489086142974E-012</v>
      </c>
      <c r="AD21" s="386" t="n">
        <f aca="false">AC21-AD19</f>
        <v>6.66489086142974E-012</v>
      </c>
      <c r="AE21" s="386" t="n">
        <f aca="false">AD21-AE19</f>
        <v>6.66489086142974E-012</v>
      </c>
      <c r="AF21" s="386" t="n">
        <f aca="false">AE21-AF19</f>
        <v>6.66489086142974E-012</v>
      </c>
      <c r="AG21" s="386" t="n">
        <f aca="false">AF21-AG19</f>
        <v>6.66489086142974E-012</v>
      </c>
      <c r="AH21" s="386" t="n">
        <f aca="false">AG21-AH19</f>
        <v>6.66489086142974E-012</v>
      </c>
      <c r="AI21" s="490"/>
      <c r="AJ21" s="490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U21" s="475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  <c r="DJ21" s="475"/>
      <c r="DK21" s="475"/>
      <c r="DL21" s="475"/>
      <c r="DM21" s="475"/>
      <c r="DN21" s="475"/>
      <c r="DO21" s="475"/>
      <c r="DP21" s="475"/>
      <c r="DQ21" s="475"/>
      <c r="DR21" s="475"/>
      <c r="DS21" s="475"/>
      <c r="DT21" s="475"/>
      <c r="DU21" s="475"/>
      <c r="DV21" s="475"/>
      <c r="DW21" s="475"/>
      <c r="DX21" s="475"/>
      <c r="DY21" s="475"/>
      <c r="DZ21" s="475"/>
      <c r="EA21" s="475"/>
      <c r="EB21" s="475"/>
      <c r="EC21" s="475"/>
      <c r="ED21" s="475"/>
      <c r="EE21" s="475"/>
      <c r="EF21" s="475"/>
      <c r="EG21" s="475"/>
      <c r="EH21" s="475"/>
      <c r="EI21" s="475"/>
      <c r="EJ21" s="475"/>
      <c r="EK21" s="475"/>
      <c r="EL21" s="475"/>
      <c r="EM21" s="475"/>
      <c r="EN21" s="475"/>
      <c r="EO21" s="475"/>
      <c r="EP21" s="475"/>
      <c r="EQ21" s="475"/>
      <c r="ER21" s="475"/>
      <c r="ES21" s="475"/>
      <c r="ET21" s="475"/>
      <c r="EU21" s="475"/>
      <c r="EV21" s="475"/>
      <c r="EW21" s="475"/>
      <c r="EX21" s="475"/>
      <c r="EY21" s="475"/>
      <c r="EZ21" s="475"/>
      <c r="FA21" s="475"/>
      <c r="FB21" s="475"/>
      <c r="FC21" s="475"/>
      <c r="FD21" s="475"/>
      <c r="FE21" s="475"/>
      <c r="FF21" s="475"/>
      <c r="FG21" s="475"/>
      <c r="FH21" s="475"/>
      <c r="FI21" s="475"/>
      <c r="FJ21" s="475"/>
      <c r="FK21" s="475"/>
      <c r="FL21" s="475"/>
      <c r="FM21" s="475"/>
      <c r="FN21" s="475"/>
      <c r="FO21" s="475"/>
      <c r="FP21" s="475"/>
      <c r="FQ21" s="475"/>
      <c r="FR21" s="475"/>
      <c r="FS21" s="475"/>
      <c r="FT21" s="475"/>
      <c r="FU21" s="475"/>
      <c r="FV21" s="475"/>
      <c r="FW21" s="475"/>
      <c r="FX21" s="475"/>
      <c r="FY21" s="475"/>
      <c r="FZ21" s="475"/>
      <c r="GA21" s="475"/>
      <c r="GB21" s="475"/>
      <c r="GC21" s="475"/>
      <c r="GD21" s="475"/>
      <c r="GE21" s="475"/>
      <c r="GF21" s="475"/>
      <c r="GG21" s="475"/>
      <c r="GH21" s="475"/>
      <c r="GI21" s="475"/>
      <c r="GJ21" s="475"/>
      <c r="GK21" s="475"/>
      <c r="GL21" s="475"/>
      <c r="GM21" s="475"/>
      <c r="GN21" s="475"/>
      <c r="GO21" s="475"/>
      <c r="GP21" s="475"/>
      <c r="GQ21" s="475"/>
      <c r="GR21" s="475"/>
      <c r="GS21" s="475"/>
      <c r="GT21" s="475"/>
      <c r="GU21" s="475"/>
      <c r="GV21" s="475"/>
      <c r="GW21" s="475"/>
      <c r="GX21" s="475"/>
      <c r="GY21" s="475"/>
      <c r="GZ21" s="475"/>
      <c r="HA21" s="475"/>
      <c r="HB21" s="475"/>
      <c r="HC21" s="475"/>
      <c r="HD21" s="475"/>
      <c r="HE21" s="475"/>
      <c r="HF21" s="475"/>
      <c r="HG21" s="475"/>
      <c r="HH21" s="475"/>
      <c r="HI21" s="475"/>
      <c r="HJ21" s="475"/>
      <c r="HK21" s="475"/>
      <c r="HL21" s="475"/>
      <c r="HM21" s="475"/>
      <c r="HN21" s="475"/>
      <c r="HO21" s="475"/>
      <c r="HP21" s="475"/>
      <c r="HQ21" s="475"/>
      <c r="HR21" s="475"/>
      <c r="HS21" s="475"/>
      <c r="HT21" s="475"/>
      <c r="HU21" s="475"/>
      <c r="HV21" s="475"/>
      <c r="HW21" s="475"/>
      <c r="HX21" s="475"/>
      <c r="HY21" s="475"/>
      <c r="HZ21" s="475"/>
      <c r="IA21" s="475"/>
      <c r="IB21" s="475"/>
      <c r="IC21" s="475"/>
      <c r="ID21" s="475"/>
      <c r="IE21" s="475"/>
      <c r="IF21" s="475"/>
      <c r="IG21" s="475"/>
      <c r="IH21" s="475"/>
      <c r="II21" s="475"/>
      <c r="IJ21" s="475"/>
      <c r="IK21" s="475"/>
      <c r="IL21" s="475"/>
      <c r="IM21" s="475"/>
      <c r="IN21" s="475"/>
      <c r="IO21" s="475"/>
      <c r="IP21" s="475"/>
      <c r="IQ21" s="475"/>
      <c r="IR21" s="475"/>
      <c r="IS21" s="475"/>
      <c r="IT21" s="475"/>
      <c r="IU21" s="475"/>
      <c r="IV21" s="475"/>
      <c r="IW21" s="475"/>
    </row>
    <row r="22" customFormat="false" ht="12.75" hidden="false" customHeight="false" outlineLevel="0" collapsed="false">
      <c r="B22" s="491"/>
      <c r="C22" s="492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  <c r="DJ22" s="475"/>
      <c r="DK22" s="475"/>
      <c r="DL22" s="475"/>
      <c r="DM22" s="475"/>
      <c r="DN22" s="475"/>
      <c r="DO22" s="475"/>
      <c r="DP22" s="475"/>
      <c r="DQ22" s="475"/>
      <c r="DR22" s="475"/>
      <c r="DS22" s="475"/>
      <c r="DT22" s="475"/>
      <c r="DU22" s="475"/>
      <c r="DV22" s="475"/>
      <c r="DW22" s="475"/>
      <c r="DX22" s="475"/>
      <c r="DY22" s="475"/>
      <c r="DZ22" s="475"/>
      <c r="EA22" s="475"/>
      <c r="EB22" s="475"/>
      <c r="EC22" s="475"/>
      <c r="ED22" s="475"/>
      <c r="EE22" s="475"/>
      <c r="EF22" s="475"/>
      <c r="EG22" s="475"/>
      <c r="EH22" s="475"/>
      <c r="EI22" s="475"/>
      <c r="EJ22" s="475"/>
      <c r="EK22" s="475"/>
      <c r="EL22" s="475"/>
      <c r="EM22" s="475"/>
      <c r="EN22" s="475"/>
      <c r="EO22" s="475"/>
      <c r="EP22" s="475"/>
      <c r="EQ22" s="475"/>
      <c r="ER22" s="475"/>
      <c r="ES22" s="475"/>
      <c r="ET22" s="475"/>
      <c r="EU22" s="475"/>
      <c r="EV22" s="475"/>
      <c r="EW22" s="475"/>
      <c r="EX22" s="475"/>
      <c r="EY22" s="475"/>
      <c r="EZ22" s="475"/>
      <c r="FA22" s="475"/>
      <c r="FB22" s="475"/>
      <c r="FC22" s="475"/>
      <c r="FD22" s="475"/>
      <c r="FE22" s="475"/>
      <c r="FF22" s="475"/>
      <c r="FG22" s="475"/>
      <c r="FH22" s="475"/>
      <c r="FI22" s="475"/>
      <c r="FJ22" s="475"/>
      <c r="FK22" s="475"/>
      <c r="FL22" s="475"/>
      <c r="FM22" s="475"/>
      <c r="FN22" s="475"/>
      <c r="FO22" s="475"/>
      <c r="FP22" s="475"/>
      <c r="FQ22" s="475"/>
      <c r="FR22" s="475"/>
      <c r="FS22" s="475"/>
      <c r="FT22" s="475"/>
      <c r="FU22" s="475"/>
      <c r="FV22" s="475"/>
      <c r="FW22" s="475"/>
      <c r="FX22" s="475"/>
      <c r="FY22" s="475"/>
      <c r="FZ22" s="475"/>
      <c r="GA22" s="475"/>
      <c r="GB22" s="475"/>
      <c r="GC22" s="475"/>
      <c r="GD22" s="475"/>
      <c r="GE22" s="475"/>
      <c r="GF22" s="475"/>
      <c r="GG22" s="475"/>
      <c r="GH22" s="475"/>
      <c r="GI22" s="475"/>
      <c r="GJ22" s="475"/>
      <c r="GK22" s="475"/>
      <c r="GL22" s="475"/>
      <c r="GM22" s="475"/>
      <c r="GN22" s="475"/>
      <c r="GO22" s="475"/>
      <c r="GP22" s="475"/>
      <c r="GQ22" s="475"/>
      <c r="GR22" s="475"/>
      <c r="GS22" s="475"/>
      <c r="GT22" s="475"/>
      <c r="GU22" s="475"/>
      <c r="GV22" s="475"/>
      <c r="GW22" s="475"/>
      <c r="GX22" s="475"/>
      <c r="GY22" s="475"/>
      <c r="GZ22" s="475"/>
      <c r="HA22" s="475"/>
      <c r="HB22" s="475"/>
      <c r="HC22" s="475"/>
      <c r="HD22" s="475"/>
      <c r="HE22" s="475"/>
      <c r="HF22" s="475"/>
      <c r="HG22" s="475"/>
      <c r="HH22" s="475"/>
      <c r="HI22" s="475"/>
      <c r="HJ22" s="475"/>
      <c r="HK22" s="475"/>
      <c r="HL22" s="475"/>
      <c r="HM22" s="475"/>
      <c r="HN22" s="475"/>
      <c r="HO22" s="475"/>
      <c r="HP22" s="475"/>
      <c r="HQ22" s="475"/>
      <c r="HR22" s="475"/>
      <c r="HS22" s="475"/>
      <c r="HT22" s="475"/>
      <c r="HU22" s="475"/>
      <c r="HV22" s="475"/>
      <c r="HW22" s="475"/>
      <c r="HX22" s="475"/>
      <c r="HY22" s="475"/>
      <c r="HZ22" s="475"/>
      <c r="IA22" s="475"/>
      <c r="IB22" s="475"/>
      <c r="IC22" s="475"/>
      <c r="ID22" s="475"/>
      <c r="IE22" s="475"/>
      <c r="IF22" s="475"/>
      <c r="IG22" s="475"/>
      <c r="IH22" s="475"/>
      <c r="II22" s="475"/>
      <c r="IJ22" s="475"/>
      <c r="IK22" s="475"/>
      <c r="IL22" s="475"/>
      <c r="IM22" s="475"/>
      <c r="IN22" s="475"/>
      <c r="IO22" s="475"/>
      <c r="IP22" s="475"/>
      <c r="IQ22" s="475"/>
      <c r="IR22" s="475"/>
      <c r="IS22" s="475"/>
      <c r="IT22" s="475"/>
      <c r="IU22" s="475"/>
      <c r="IV22" s="475"/>
      <c r="IW22" s="475"/>
    </row>
    <row r="23" customFormat="false" ht="12.75" hidden="false" customHeight="false" outlineLevel="0" collapsed="false">
      <c r="A23" s="493"/>
      <c r="B23" s="280"/>
      <c r="C23" s="494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  <c r="DJ23" s="475"/>
      <c r="DK23" s="475"/>
      <c r="DL23" s="475"/>
      <c r="DM23" s="475"/>
      <c r="DN23" s="475"/>
      <c r="DO23" s="475"/>
      <c r="DP23" s="475"/>
      <c r="DQ23" s="475"/>
      <c r="DR23" s="475"/>
      <c r="DS23" s="475"/>
      <c r="DT23" s="475"/>
      <c r="DU23" s="475"/>
      <c r="DV23" s="475"/>
      <c r="DW23" s="475"/>
      <c r="DX23" s="475"/>
      <c r="DY23" s="475"/>
      <c r="DZ23" s="475"/>
      <c r="EA23" s="475"/>
      <c r="EB23" s="475"/>
      <c r="EC23" s="475"/>
      <c r="ED23" s="475"/>
      <c r="EE23" s="475"/>
      <c r="EF23" s="475"/>
      <c r="EG23" s="475"/>
      <c r="EH23" s="475"/>
      <c r="EI23" s="475"/>
      <c r="EJ23" s="475"/>
      <c r="EK23" s="475"/>
      <c r="EL23" s="475"/>
      <c r="EM23" s="475"/>
      <c r="EN23" s="475"/>
      <c r="EO23" s="475"/>
      <c r="EP23" s="475"/>
      <c r="EQ23" s="475"/>
      <c r="ER23" s="475"/>
      <c r="ES23" s="475"/>
      <c r="ET23" s="475"/>
      <c r="EU23" s="475"/>
      <c r="EV23" s="475"/>
      <c r="EW23" s="475"/>
      <c r="EX23" s="475"/>
      <c r="EY23" s="475"/>
      <c r="EZ23" s="475"/>
      <c r="FA23" s="475"/>
      <c r="FB23" s="475"/>
      <c r="FC23" s="475"/>
      <c r="FD23" s="475"/>
      <c r="FE23" s="475"/>
      <c r="FF23" s="475"/>
      <c r="FG23" s="475"/>
      <c r="FH23" s="475"/>
      <c r="FI23" s="475"/>
      <c r="FJ23" s="475"/>
      <c r="FK23" s="475"/>
      <c r="FL23" s="475"/>
      <c r="FM23" s="475"/>
      <c r="FN23" s="475"/>
      <c r="FO23" s="475"/>
      <c r="FP23" s="475"/>
      <c r="FQ23" s="475"/>
      <c r="FR23" s="475"/>
      <c r="FS23" s="475"/>
      <c r="FT23" s="475"/>
      <c r="FU23" s="475"/>
      <c r="FV23" s="475"/>
      <c r="FW23" s="475"/>
      <c r="FX23" s="475"/>
      <c r="FY23" s="475"/>
      <c r="FZ23" s="475"/>
      <c r="GA23" s="475"/>
      <c r="GB23" s="475"/>
      <c r="GC23" s="475"/>
      <c r="GD23" s="475"/>
      <c r="GE23" s="475"/>
      <c r="GF23" s="475"/>
      <c r="GG23" s="475"/>
      <c r="GH23" s="475"/>
      <c r="GI23" s="475"/>
      <c r="GJ23" s="475"/>
      <c r="GK23" s="475"/>
      <c r="GL23" s="475"/>
      <c r="GM23" s="475"/>
      <c r="GN23" s="475"/>
      <c r="GO23" s="475"/>
      <c r="GP23" s="475"/>
      <c r="GQ23" s="475"/>
      <c r="GR23" s="475"/>
      <c r="GS23" s="475"/>
      <c r="GT23" s="475"/>
      <c r="GU23" s="475"/>
      <c r="GV23" s="475"/>
      <c r="GW23" s="475"/>
      <c r="GX23" s="475"/>
      <c r="GY23" s="475"/>
      <c r="GZ23" s="475"/>
      <c r="HA23" s="475"/>
      <c r="HB23" s="475"/>
      <c r="HC23" s="475"/>
      <c r="HD23" s="475"/>
      <c r="HE23" s="475"/>
      <c r="HF23" s="475"/>
      <c r="HG23" s="475"/>
      <c r="HH23" s="475"/>
      <c r="HI23" s="475"/>
      <c r="HJ23" s="475"/>
      <c r="HK23" s="475"/>
      <c r="HL23" s="475"/>
      <c r="HM23" s="475"/>
      <c r="HN23" s="475"/>
      <c r="HO23" s="475"/>
      <c r="HP23" s="475"/>
      <c r="HQ23" s="475"/>
      <c r="HR23" s="475"/>
      <c r="HS23" s="475"/>
      <c r="HT23" s="475"/>
      <c r="HU23" s="475"/>
      <c r="HV23" s="475"/>
      <c r="HW23" s="475"/>
      <c r="HX23" s="475"/>
      <c r="HY23" s="475"/>
      <c r="HZ23" s="475"/>
      <c r="IA23" s="475"/>
      <c r="IB23" s="475"/>
      <c r="IC23" s="475"/>
      <c r="ID23" s="475"/>
      <c r="IE23" s="475"/>
      <c r="IF23" s="475"/>
      <c r="IG23" s="475"/>
      <c r="IH23" s="475"/>
      <c r="II23" s="475"/>
      <c r="IJ23" s="475"/>
      <c r="IK23" s="475"/>
      <c r="IL23" s="475"/>
      <c r="IM23" s="475"/>
      <c r="IN23" s="475"/>
      <c r="IO23" s="475"/>
      <c r="IP23" s="475"/>
      <c r="IQ23" s="475"/>
      <c r="IR23" s="475"/>
      <c r="IS23" s="475"/>
      <c r="IT23" s="475"/>
      <c r="IU23" s="475"/>
      <c r="IV23" s="475"/>
      <c r="IW23" s="475"/>
    </row>
    <row r="24" customFormat="false" ht="12.75" hidden="false" customHeight="false" outlineLevel="0" collapsed="false">
      <c r="A24" s="472" t="s">
        <v>410</v>
      </c>
      <c r="B24" s="359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  <c r="DJ24" s="475"/>
      <c r="DK24" s="475"/>
      <c r="DL24" s="475"/>
      <c r="DM24" s="475"/>
      <c r="DN24" s="475"/>
      <c r="DO24" s="475"/>
      <c r="DP24" s="475"/>
      <c r="DQ24" s="475"/>
      <c r="DR24" s="475"/>
      <c r="DS24" s="475"/>
      <c r="DT24" s="475"/>
      <c r="DU24" s="475"/>
      <c r="DV24" s="475"/>
      <c r="DW24" s="475"/>
      <c r="DX24" s="475"/>
      <c r="DY24" s="475"/>
      <c r="DZ24" s="475"/>
      <c r="EA24" s="475"/>
      <c r="EB24" s="475"/>
      <c r="EC24" s="475"/>
      <c r="ED24" s="475"/>
      <c r="EE24" s="475"/>
      <c r="EF24" s="475"/>
      <c r="EG24" s="475"/>
      <c r="EH24" s="475"/>
      <c r="EI24" s="475"/>
      <c r="EJ24" s="475"/>
      <c r="EK24" s="475"/>
      <c r="EL24" s="475"/>
      <c r="EM24" s="475"/>
      <c r="EN24" s="475"/>
      <c r="EO24" s="475"/>
      <c r="EP24" s="475"/>
      <c r="EQ24" s="475"/>
      <c r="ER24" s="475"/>
      <c r="ES24" s="475"/>
      <c r="ET24" s="475"/>
      <c r="EU24" s="475"/>
      <c r="EV24" s="475"/>
      <c r="EW24" s="475"/>
      <c r="EX24" s="475"/>
      <c r="EY24" s="475"/>
      <c r="EZ24" s="475"/>
      <c r="FA24" s="475"/>
      <c r="FB24" s="475"/>
      <c r="FC24" s="475"/>
      <c r="FD24" s="475"/>
      <c r="FE24" s="475"/>
      <c r="FF24" s="475"/>
      <c r="FG24" s="475"/>
      <c r="FH24" s="475"/>
      <c r="FI24" s="475"/>
      <c r="FJ24" s="475"/>
      <c r="FK24" s="475"/>
      <c r="FL24" s="475"/>
      <c r="FM24" s="475"/>
      <c r="FN24" s="475"/>
      <c r="FO24" s="475"/>
      <c r="FP24" s="475"/>
      <c r="FQ24" s="475"/>
      <c r="FR24" s="475"/>
      <c r="FS24" s="475"/>
      <c r="FT24" s="475"/>
      <c r="FU24" s="475"/>
      <c r="FV24" s="475"/>
      <c r="FW24" s="475"/>
      <c r="FX24" s="475"/>
      <c r="FY24" s="475"/>
      <c r="FZ24" s="475"/>
      <c r="GA24" s="475"/>
      <c r="GB24" s="475"/>
      <c r="GC24" s="475"/>
      <c r="GD24" s="475"/>
      <c r="GE24" s="475"/>
      <c r="GF24" s="475"/>
      <c r="GG24" s="475"/>
      <c r="GH24" s="475"/>
      <c r="GI24" s="475"/>
      <c r="GJ24" s="475"/>
      <c r="GK24" s="475"/>
      <c r="GL24" s="475"/>
      <c r="GM24" s="475"/>
      <c r="GN24" s="475"/>
      <c r="GO24" s="475"/>
      <c r="GP24" s="475"/>
      <c r="GQ24" s="475"/>
      <c r="GR24" s="475"/>
      <c r="GS24" s="475"/>
      <c r="GT24" s="475"/>
      <c r="GU24" s="475"/>
      <c r="GV24" s="475"/>
      <c r="GW24" s="475"/>
      <c r="GX24" s="475"/>
      <c r="GY24" s="475"/>
      <c r="GZ24" s="475"/>
      <c r="HA24" s="475"/>
      <c r="HB24" s="475"/>
      <c r="HC24" s="475"/>
      <c r="HD24" s="475"/>
      <c r="HE24" s="475"/>
      <c r="HF24" s="475"/>
      <c r="HG24" s="475"/>
      <c r="HH24" s="475"/>
      <c r="HI24" s="475"/>
      <c r="HJ24" s="475"/>
      <c r="HK24" s="475"/>
      <c r="HL24" s="475"/>
      <c r="HM24" s="475"/>
      <c r="HN24" s="475"/>
      <c r="HO24" s="475"/>
      <c r="HP24" s="475"/>
      <c r="HQ24" s="475"/>
      <c r="HR24" s="475"/>
      <c r="HS24" s="475"/>
      <c r="HT24" s="475"/>
      <c r="HU24" s="475"/>
      <c r="HV24" s="475"/>
      <c r="HW24" s="475"/>
      <c r="HX24" s="475"/>
      <c r="HY24" s="475"/>
      <c r="HZ24" s="475"/>
      <c r="IA24" s="475"/>
      <c r="IB24" s="475"/>
      <c r="IC24" s="475"/>
      <c r="ID24" s="475"/>
      <c r="IE24" s="475"/>
      <c r="IF24" s="475"/>
      <c r="IG24" s="475"/>
      <c r="IH24" s="475"/>
      <c r="II24" s="475"/>
      <c r="IJ24" s="475"/>
      <c r="IK24" s="475"/>
      <c r="IL24" s="475"/>
      <c r="IM24" s="475"/>
      <c r="IN24" s="475"/>
      <c r="IO24" s="475"/>
      <c r="IP24" s="475"/>
      <c r="IQ24" s="475"/>
      <c r="IR24" s="475"/>
      <c r="IS24" s="475"/>
      <c r="IT24" s="475"/>
      <c r="IU24" s="475"/>
      <c r="IV24" s="475"/>
      <c r="IW24" s="475"/>
    </row>
    <row r="25" customFormat="false" ht="12.75" hidden="false" customHeight="false" outlineLevel="0" collapsed="false">
      <c r="A25" s="472"/>
      <c r="B25" s="476" t="s">
        <v>404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  <c r="DJ25" s="475"/>
      <c r="DK25" s="475"/>
      <c r="DL25" s="475"/>
      <c r="DM25" s="475"/>
      <c r="DN25" s="475"/>
      <c r="DO25" s="475"/>
      <c r="DP25" s="475"/>
      <c r="DQ25" s="475"/>
      <c r="DR25" s="475"/>
      <c r="DS25" s="475"/>
      <c r="DT25" s="475"/>
      <c r="DU25" s="475"/>
      <c r="DV25" s="475"/>
      <c r="DW25" s="475"/>
      <c r="DX25" s="475"/>
      <c r="DY25" s="475"/>
      <c r="DZ25" s="475"/>
      <c r="EA25" s="475"/>
      <c r="EB25" s="475"/>
      <c r="EC25" s="475"/>
      <c r="ED25" s="475"/>
      <c r="EE25" s="475"/>
      <c r="EF25" s="475"/>
      <c r="EG25" s="475"/>
      <c r="EH25" s="475"/>
      <c r="EI25" s="475"/>
      <c r="EJ25" s="475"/>
      <c r="EK25" s="475"/>
      <c r="EL25" s="475"/>
      <c r="EM25" s="475"/>
      <c r="EN25" s="475"/>
      <c r="EO25" s="475"/>
      <c r="EP25" s="475"/>
      <c r="EQ25" s="475"/>
      <c r="ER25" s="475"/>
      <c r="ES25" s="475"/>
      <c r="ET25" s="475"/>
      <c r="EU25" s="475"/>
      <c r="EV25" s="475"/>
      <c r="EW25" s="475"/>
      <c r="EX25" s="475"/>
      <c r="EY25" s="475"/>
      <c r="EZ25" s="475"/>
      <c r="FA25" s="475"/>
      <c r="FB25" s="475"/>
      <c r="FC25" s="475"/>
      <c r="FD25" s="475"/>
      <c r="FE25" s="475"/>
      <c r="FF25" s="475"/>
      <c r="FG25" s="475"/>
      <c r="FH25" s="475"/>
      <c r="FI25" s="475"/>
      <c r="FJ25" s="475"/>
      <c r="FK25" s="475"/>
      <c r="FL25" s="475"/>
      <c r="FM25" s="475"/>
      <c r="FN25" s="475"/>
      <c r="FO25" s="475"/>
      <c r="FP25" s="475"/>
      <c r="FQ25" s="475"/>
      <c r="FR25" s="475"/>
      <c r="FS25" s="475"/>
      <c r="FT25" s="475"/>
      <c r="FU25" s="475"/>
      <c r="FV25" s="475"/>
      <c r="FW25" s="475"/>
      <c r="FX25" s="475"/>
      <c r="FY25" s="475"/>
      <c r="FZ25" s="475"/>
      <c r="GA25" s="475"/>
      <c r="GB25" s="475"/>
      <c r="GC25" s="475"/>
      <c r="GD25" s="475"/>
      <c r="GE25" s="475"/>
      <c r="GF25" s="475"/>
      <c r="GG25" s="475"/>
      <c r="GH25" s="475"/>
      <c r="GI25" s="475"/>
      <c r="GJ25" s="475"/>
      <c r="GK25" s="475"/>
      <c r="GL25" s="475"/>
      <c r="GM25" s="475"/>
      <c r="GN25" s="475"/>
      <c r="GO25" s="475"/>
      <c r="GP25" s="475"/>
      <c r="GQ25" s="475"/>
      <c r="GR25" s="475"/>
      <c r="GS25" s="475"/>
      <c r="GT25" s="475"/>
      <c r="GU25" s="475"/>
      <c r="GV25" s="475"/>
      <c r="GW25" s="475"/>
      <c r="GX25" s="475"/>
      <c r="GY25" s="475"/>
      <c r="GZ25" s="475"/>
      <c r="HA25" s="475"/>
      <c r="HB25" s="475"/>
      <c r="HC25" s="475"/>
      <c r="HD25" s="475"/>
      <c r="HE25" s="475"/>
      <c r="HF25" s="475"/>
      <c r="HG25" s="475"/>
      <c r="HH25" s="475"/>
      <c r="HI25" s="475"/>
      <c r="HJ25" s="475"/>
      <c r="HK25" s="475"/>
      <c r="HL25" s="475"/>
      <c r="HM25" s="475"/>
      <c r="HN25" s="475"/>
      <c r="HO25" s="475"/>
      <c r="HP25" s="475"/>
      <c r="HQ25" s="475"/>
      <c r="HR25" s="475"/>
      <c r="HS25" s="475"/>
      <c r="HT25" s="475"/>
      <c r="HU25" s="475"/>
      <c r="HV25" s="475"/>
      <c r="HW25" s="475"/>
      <c r="HX25" s="475"/>
      <c r="HY25" s="475"/>
      <c r="HZ25" s="475"/>
      <c r="IA25" s="475"/>
      <c r="IB25" s="475"/>
      <c r="IC25" s="475"/>
      <c r="ID25" s="475"/>
      <c r="IE25" s="475"/>
      <c r="IF25" s="475"/>
      <c r="IG25" s="475"/>
      <c r="IH25" s="475"/>
      <c r="II25" s="475"/>
      <c r="IJ25" s="475"/>
      <c r="IK25" s="475"/>
      <c r="IL25" s="475"/>
      <c r="IM25" s="475"/>
      <c r="IN25" s="475"/>
      <c r="IO25" s="475"/>
      <c r="IP25" s="475"/>
      <c r="IQ25" s="475"/>
      <c r="IR25" s="475"/>
      <c r="IS25" s="475"/>
      <c r="IT25" s="475"/>
      <c r="IU25" s="475"/>
      <c r="IV25" s="475"/>
      <c r="IW25" s="475"/>
    </row>
    <row r="26" customFormat="false" ht="12.75" hidden="false" customHeight="false" outlineLevel="0" collapsed="false">
      <c r="A26" s="479" t="s">
        <v>405</v>
      </c>
      <c r="B26" s="480" t="n">
        <f aca="false">Assumptions!$N$39</f>
        <v>15</v>
      </c>
      <c r="C26" s="481"/>
      <c r="D26" s="477" t="n">
        <f aca="false">D12</f>
        <v>0.05</v>
      </c>
      <c r="E26" s="477" t="n">
        <f aca="false">E12</f>
        <v>0.095</v>
      </c>
      <c r="F26" s="477" t="n">
        <f aca="false">F12</f>
        <v>0.0855</v>
      </c>
      <c r="G26" s="477" t="n">
        <f aca="false">G12</f>
        <v>0.077</v>
      </c>
      <c r="H26" s="477" t="n">
        <f aca="false">H12</f>
        <v>0.0693</v>
      </c>
      <c r="I26" s="477" t="n">
        <f aca="false">I12</f>
        <v>0.0623</v>
      </c>
      <c r="J26" s="477" t="n">
        <f aca="false">J12</f>
        <v>0.059</v>
      </c>
      <c r="K26" s="477" t="n">
        <f aca="false">K12</f>
        <v>0.0591</v>
      </c>
      <c r="L26" s="477" t="n">
        <f aca="false">L12</f>
        <v>0.059</v>
      </c>
      <c r="M26" s="477" t="n">
        <f aca="false">M12</f>
        <v>0.0591</v>
      </c>
      <c r="N26" s="477" t="n">
        <f aca="false">N12</f>
        <v>0.059</v>
      </c>
      <c r="O26" s="477" t="n">
        <f aca="false">O12</f>
        <v>0.0591</v>
      </c>
      <c r="P26" s="477" t="n">
        <f aca="false">P12</f>
        <v>0.059</v>
      </c>
      <c r="Q26" s="477" t="n">
        <f aca="false">Q12</f>
        <v>0.0591</v>
      </c>
      <c r="R26" s="477" t="n">
        <f aca="false">R12</f>
        <v>0.059</v>
      </c>
      <c r="S26" s="477" t="n">
        <f aca="false">S12</f>
        <v>0.0295</v>
      </c>
      <c r="T26" s="477" t="n">
        <f aca="false">T12</f>
        <v>0</v>
      </c>
      <c r="U26" s="477" t="n">
        <f aca="false">U12</f>
        <v>0</v>
      </c>
      <c r="V26" s="477" t="n">
        <f aca="false">V12</f>
        <v>0</v>
      </c>
      <c r="W26" s="477" t="n">
        <f aca="false">W12</f>
        <v>0</v>
      </c>
      <c r="X26" s="477" t="n">
        <f aca="false">X12</f>
        <v>0</v>
      </c>
      <c r="Y26" s="477" t="n">
        <f aca="false">Y12</f>
        <v>0</v>
      </c>
      <c r="Z26" s="477" t="n">
        <f aca="false">Z12</f>
        <v>0</v>
      </c>
      <c r="AA26" s="477" t="n">
        <f aca="false">AA12</f>
        <v>0</v>
      </c>
      <c r="AB26" s="477" t="n">
        <f aca="false">AB12</f>
        <v>0</v>
      </c>
      <c r="AC26" s="477" t="n">
        <f aca="false">AC12</f>
        <v>0</v>
      </c>
      <c r="AD26" s="477" t="n">
        <f aca="false">AD12</f>
        <v>0</v>
      </c>
      <c r="AE26" s="477" t="n">
        <f aca="false">AE12</f>
        <v>0</v>
      </c>
      <c r="AF26" s="477" t="n">
        <f aca="false">AF12</f>
        <v>0</v>
      </c>
      <c r="AG26" s="477" t="n">
        <f aca="false">AG12</f>
        <v>0</v>
      </c>
      <c r="AH26" s="477" t="n">
        <f aca="false">AH12</f>
        <v>0</v>
      </c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  <c r="DJ26" s="475"/>
      <c r="DK26" s="475"/>
      <c r="DL26" s="475"/>
      <c r="DM26" s="475"/>
      <c r="DN26" s="475"/>
      <c r="DO26" s="475"/>
      <c r="DP26" s="475"/>
      <c r="DQ26" s="475"/>
      <c r="DR26" s="475"/>
      <c r="DS26" s="475"/>
      <c r="DT26" s="475"/>
      <c r="DU26" s="475"/>
      <c r="DV26" s="475"/>
      <c r="DW26" s="475"/>
      <c r="DX26" s="475"/>
      <c r="DY26" s="475"/>
      <c r="DZ26" s="475"/>
      <c r="EA26" s="475"/>
      <c r="EB26" s="475"/>
      <c r="EC26" s="475"/>
      <c r="ED26" s="475"/>
      <c r="EE26" s="475"/>
      <c r="EF26" s="475"/>
      <c r="EG26" s="475"/>
      <c r="EH26" s="475"/>
      <c r="EI26" s="475"/>
      <c r="EJ26" s="475"/>
      <c r="EK26" s="475"/>
      <c r="EL26" s="475"/>
      <c r="EM26" s="475"/>
      <c r="EN26" s="475"/>
      <c r="EO26" s="475"/>
      <c r="EP26" s="475"/>
      <c r="EQ26" s="475"/>
      <c r="ER26" s="475"/>
      <c r="ES26" s="475"/>
      <c r="ET26" s="475"/>
      <c r="EU26" s="475"/>
      <c r="EV26" s="475"/>
      <c r="EW26" s="475"/>
      <c r="EX26" s="475"/>
      <c r="EY26" s="475"/>
      <c r="EZ26" s="475"/>
      <c r="FA26" s="475"/>
      <c r="FB26" s="475"/>
      <c r="FC26" s="475"/>
      <c r="FD26" s="475"/>
      <c r="FE26" s="475"/>
      <c r="FF26" s="475"/>
      <c r="FG26" s="475"/>
      <c r="FH26" s="475"/>
      <c r="FI26" s="475"/>
      <c r="FJ26" s="475"/>
      <c r="FK26" s="475"/>
      <c r="FL26" s="475"/>
      <c r="FM26" s="475"/>
      <c r="FN26" s="475"/>
      <c r="FO26" s="475"/>
      <c r="FP26" s="475"/>
      <c r="FQ26" s="475"/>
      <c r="FR26" s="475"/>
      <c r="FS26" s="475"/>
      <c r="FT26" s="475"/>
      <c r="FU26" s="475"/>
      <c r="FV26" s="475"/>
      <c r="FW26" s="475"/>
      <c r="FX26" s="475"/>
      <c r="FY26" s="475"/>
      <c r="FZ26" s="475"/>
      <c r="GA26" s="475"/>
      <c r="GB26" s="475"/>
      <c r="GC26" s="475"/>
      <c r="GD26" s="475"/>
      <c r="GE26" s="475"/>
      <c r="GF26" s="475"/>
      <c r="GG26" s="475"/>
      <c r="GH26" s="475"/>
      <c r="GI26" s="475"/>
      <c r="GJ26" s="475"/>
      <c r="GK26" s="475"/>
      <c r="GL26" s="475"/>
      <c r="GM26" s="475"/>
      <c r="GN26" s="475"/>
      <c r="GO26" s="475"/>
      <c r="GP26" s="475"/>
      <c r="GQ26" s="475"/>
      <c r="GR26" s="475"/>
      <c r="GS26" s="475"/>
      <c r="GT26" s="475"/>
      <c r="GU26" s="475"/>
      <c r="GV26" s="475"/>
      <c r="GW26" s="475"/>
      <c r="GX26" s="475"/>
      <c r="GY26" s="475"/>
      <c r="GZ26" s="475"/>
      <c r="HA26" s="475"/>
      <c r="HB26" s="475"/>
      <c r="HC26" s="475"/>
      <c r="HD26" s="475"/>
      <c r="HE26" s="475"/>
      <c r="HF26" s="475"/>
      <c r="HG26" s="475"/>
      <c r="HH26" s="475"/>
      <c r="HI26" s="475"/>
      <c r="HJ26" s="475"/>
      <c r="HK26" s="475"/>
      <c r="HL26" s="475"/>
      <c r="HM26" s="475"/>
      <c r="HN26" s="475"/>
      <c r="HO26" s="475"/>
      <c r="HP26" s="475"/>
      <c r="HQ26" s="475"/>
      <c r="HR26" s="475"/>
      <c r="HS26" s="475"/>
      <c r="HT26" s="475"/>
      <c r="HU26" s="475"/>
      <c r="HV26" s="475"/>
      <c r="HW26" s="475"/>
      <c r="HX26" s="475"/>
      <c r="HY26" s="475"/>
      <c r="HZ26" s="475"/>
      <c r="IA26" s="475"/>
      <c r="IB26" s="475"/>
      <c r="IC26" s="475"/>
      <c r="ID26" s="475"/>
      <c r="IE26" s="475"/>
      <c r="IF26" s="475"/>
      <c r="IG26" s="475"/>
      <c r="IH26" s="475"/>
      <c r="II26" s="475"/>
      <c r="IJ26" s="475"/>
      <c r="IK26" s="475"/>
      <c r="IL26" s="475"/>
      <c r="IM26" s="475"/>
      <c r="IN26" s="475"/>
      <c r="IO26" s="475"/>
      <c r="IP26" s="475"/>
      <c r="IQ26" s="475"/>
      <c r="IR26" s="475"/>
      <c r="IS26" s="475"/>
      <c r="IT26" s="475"/>
      <c r="IU26" s="475"/>
      <c r="IV26" s="475"/>
      <c r="IW26" s="475"/>
    </row>
    <row r="27" customFormat="false" ht="12.75" hidden="false" customHeight="false" outlineLevel="0" collapsed="false">
      <c r="A27" s="479" t="s">
        <v>406</v>
      </c>
      <c r="B27" s="480" t="n">
        <f aca="false">Assumptions!$N$40</f>
        <v>5</v>
      </c>
      <c r="C27" s="481"/>
      <c r="D27" s="477" t="n">
        <f aca="false">D13</f>
        <v>0.133333333333333</v>
      </c>
      <c r="E27" s="477" t="n">
        <f aca="false">E13</f>
        <v>0.2</v>
      </c>
      <c r="F27" s="477" t="n">
        <f aca="false">F13</f>
        <v>0.2</v>
      </c>
      <c r="G27" s="477" t="n">
        <f aca="false">G13</f>
        <v>0.2</v>
      </c>
      <c r="H27" s="477" t="n">
        <f aca="false">H13</f>
        <v>0.2</v>
      </c>
      <c r="I27" s="477" t="n">
        <f aca="false">I13</f>
        <v>0.0666666666666667</v>
      </c>
      <c r="J27" s="477" t="n">
        <f aca="false">J13</f>
        <v>0</v>
      </c>
      <c r="K27" s="477" t="n">
        <f aca="false">K13</f>
        <v>0</v>
      </c>
      <c r="L27" s="477" t="n">
        <f aca="false">L13</f>
        <v>0</v>
      </c>
      <c r="M27" s="477" t="n">
        <f aca="false">M13</f>
        <v>0</v>
      </c>
      <c r="N27" s="477" t="n">
        <f aca="false">N13</f>
        <v>0</v>
      </c>
      <c r="O27" s="477" t="n">
        <f aca="false">O13</f>
        <v>0</v>
      </c>
      <c r="P27" s="477" t="n">
        <f aca="false">P13</f>
        <v>0</v>
      </c>
      <c r="Q27" s="477" t="n">
        <f aca="false">Q13</f>
        <v>0</v>
      </c>
      <c r="R27" s="477" t="n">
        <f aca="false">R13</f>
        <v>0</v>
      </c>
      <c r="S27" s="477" t="n">
        <f aca="false">S13</f>
        <v>0</v>
      </c>
      <c r="T27" s="477" t="n">
        <f aca="false">T13</f>
        <v>0</v>
      </c>
      <c r="U27" s="477" t="n">
        <f aca="false">U13</f>
        <v>0</v>
      </c>
      <c r="V27" s="477" t="n">
        <f aca="false">V13</f>
        <v>0</v>
      </c>
      <c r="W27" s="477" t="n">
        <f aca="false">W13</f>
        <v>0</v>
      </c>
      <c r="X27" s="477" t="n">
        <f aca="false">X13</f>
        <v>0</v>
      </c>
      <c r="Y27" s="477" t="n">
        <f aca="false">Y13</f>
        <v>0</v>
      </c>
      <c r="Z27" s="477" t="n">
        <f aca="false">Z13</f>
        <v>0</v>
      </c>
      <c r="AA27" s="477" t="n">
        <f aca="false">AA13</f>
        <v>0</v>
      </c>
      <c r="AB27" s="477" t="n">
        <f aca="false">AB13</f>
        <v>0</v>
      </c>
      <c r="AC27" s="477" t="n">
        <f aca="false">AC13</f>
        <v>0</v>
      </c>
      <c r="AD27" s="477" t="n">
        <f aca="false">AD13</f>
        <v>0</v>
      </c>
      <c r="AE27" s="477" t="n">
        <f aca="false">AE13</f>
        <v>0</v>
      </c>
      <c r="AF27" s="477" t="n">
        <f aca="false">AF13</f>
        <v>0</v>
      </c>
      <c r="AG27" s="477" t="n">
        <f aca="false">AG13</f>
        <v>0</v>
      </c>
      <c r="AH27" s="477" t="n">
        <f aca="false">AH13</f>
        <v>0</v>
      </c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  <c r="DJ27" s="475"/>
      <c r="DK27" s="475"/>
      <c r="DL27" s="475"/>
      <c r="DM27" s="475"/>
      <c r="DN27" s="475"/>
      <c r="DO27" s="475"/>
      <c r="DP27" s="475"/>
      <c r="DQ27" s="475"/>
      <c r="DR27" s="475"/>
      <c r="DS27" s="475"/>
      <c r="DT27" s="475"/>
      <c r="DU27" s="475"/>
      <c r="DV27" s="475"/>
      <c r="DW27" s="475"/>
      <c r="DX27" s="475"/>
      <c r="DY27" s="475"/>
      <c r="DZ27" s="475"/>
      <c r="EA27" s="475"/>
      <c r="EB27" s="475"/>
      <c r="EC27" s="475"/>
      <c r="ED27" s="475"/>
      <c r="EE27" s="475"/>
      <c r="EF27" s="475"/>
      <c r="EG27" s="475"/>
      <c r="EH27" s="475"/>
      <c r="EI27" s="475"/>
      <c r="EJ27" s="475"/>
      <c r="EK27" s="475"/>
      <c r="EL27" s="475"/>
      <c r="EM27" s="475"/>
      <c r="EN27" s="475"/>
      <c r="EO27" s="475"/>
      <c r="EP27" s="475"/>
      <c r="EQ27" s="475"/>
      <c r="ER27" s="475"/>
      <c r="ES27" s="475"/>
      <c r="ET27" s="475"/>
      <c r="EU27" s="475"/>
      <c r="EV27" s="475"/>
      <c r="EW27" s="475"/>
      <c r="EX27" s="475"/>
      <c r="EY27" s="475"/>
      <c r="EZ27" s="475"/>
      <c r="FA27" s="475"/>
      <c r="FB27" s="475"/>
      <c r="FC27" s="475"/>
      <c r="FD27" s="475"/>
      <c r="FE27" s="475"/>
      <c r="FF27" s="475"/>
      <c r="FG27" s="475"/>
      <c r="FH27" s="475"/>
      <c r="FI27" s="475"/>
      <c r="FJ27" s="475"/>
      <c r="FK27" s="475"/>
      <c r="FL27" s="475"/>
      <c r="FM27" s="475"/>
      <c r="FN27" s="475"/>
      <c r="FO27" s="475"/>
      <c r="FP27" s="475"/>
      <c r="FQ27" s="475"/>
      <c r="FR27" s="475"/>
      <c r="FS27" s="475"/>
      <c r="FT27" s="475"/>
      <c r="FU27" s="475"/>
      <c r="FV27" s="475"/>
      <c r="FW27" s="475"/>
      <c r="FX27" s="475"/>
      <c r="FY27" s="475"/>
      <c r="FZ27" s="475"/>
      <c r="GA27" s="475"/>
      <c r="GB27" s="475"/>
      <c r="GC27" s="475"/>
      <c r="GD27" s="475"/>
      <c r="GE27" s="475"/>
      <c r="GF27" s="475"/>
      <c r="GG27" s="475"/>
      <c r="GH27" s="475"/>
      <c r="GI27" s="475"/>
      <c r="GJ27" s="475"/>
      <c r="GK27" s="475"/>
      <c r="GL27" s="475"/>
      <c r="GM27" s="475"/>
      <c r="GN27" s="475"/>
      <c r="GO27" s="475"/>
      <c r="GP27" s="475"/>
      <c r="GQ27" s="475"/>
      <c r="GR27" s="475"/>
      <c r="GS27" s="475"/>
      <c r="GT27" s="475"/>
      <c r="GU27" s="475"/>
      <c r="GV27" s="475"/>
      <c r="GW27" s="475"/>
      <c r="GX27" s="475"/>
      <c r="GY27" s="475"/>
      <c r="GZ27" s="475"/>
      <c r="HA27" s="475"/>
      <c r="HB27" s="475"/>
      <c r="HC27" s="475"/>
      <c r="HD27" s="475"/>
      <c r="HE27" s="475"/>
      <c r="HF27" s="475"/>
      <c r="HG27" s="475"/>
      <c r="HH27" s="475"/>
      <c r="HI27" s="475"/>
      <c r="HJ27" s="475"/>
      <c r="HK27" s="475"/>
      <c r="HL27" s="475"/>
      <c r="HM27" s="475"/>
      <c r="HN27" s="475"/>
      <c r="HO27" s="475"/>
      <c r="HP27" s="475"/>
      <c r="HQ27" s="475"/>
      <c r="HR27" s="475"/>
      <c r="HS27" s="475"/>
      <c r="HT27" s="475"/>
      <c r="HU27" s="475"/>
      <c r="HV27" s="475"/>
      <c r="HW27" s="475"/>
      <c r="HX27" s="475"/>
      <c r="HY27" s="475"/>
      <c r="HZ27" s="475"/>
      <c r="IA27" s="475"/>
      <c r="IB27" s="475"/>
      <c r="IC27" s="475"/>
      <c r="ID27" s="475"/>
      <c r="IE27" s="475"/>
      <c r="IF27" s="475"/>
      <c r="IG27" s="475"/>
      <c r="IH27" s="475"/>
      <c r="II27" s="475"/>
      <c r="IJ27" s="475"/>
      <c r="IK27" s="475"/>
      <c r="IL27" s="475"/>
      <c r="IM27" s="475"/>
      <c r="IN27" s="475"/>
      <c r="IO27" s="475"/>
      <c r="IP27" s="475"/>
      <c r="IQ27" s="475"/>
      <c r="IR27" s="475"/>
      <c r="IS27" s="475"/>
      <c r="IT27" s="475"/>
      <c r="IU27" s="475"/>
      <c r="IV27" s="475"/>
      <c r="IW27" s="475"/>
    </row>
    <row r="28" customFormat="false" ht="12.75" hidden="false" customHeight="false" outlineLevel="0" collapsed="false">
      <c r="A28" s="482" t="s">
        <v>407</v>
      </c>
      <c r="B28" s="483" t="n">
        <f aca="false">Assumptions!$N$41</f>
        <v>20</v>
      </c>
      <c r="C28" s="481"/>
      <c r="D28" s="477" t="n">
        <f aca="false">D14</f>
        <v>0.0333333333333333</v>
      </c>
      <c r="E28" s="477" t="n">
        <f aca="false">E14</f>
        <v>0.05</v>
      </c>
      <c r="F28" s="477" t="n">
        <f aca="false">F14</f>
        <v>0.05</v>
      </c>
      <c r="G28" s="477" t="n">
        <f aca="false">G14</f>
        <v>0.05</v>
      </c>
      <c r="H28" s="477" t="n">
        <f aca="false">H14</f>
        <v>0.05</v>
      </c>
      <c r="I28" s="477" t="n">
        <f aca="false">I14</f>
        <v>0.05</v>
      </c>
      <c r="J28" s="477" t="n">
        <f aca="false">J14</f>
        <v>0.05</v>
      </c>
      <c r="K28" s="477" t="n">
        <f aca="false">K14</f>
        <v>0.05</v>
      </c>
      <c r="L28" s="477" t="n">
        <f aca="false">L14</f>
        <v>0.05</v>
      </c>
      <c r="M28" s="477" t="n">
        <f aca="false">M14</f>
        <v>0.05</v>
      </c>
      <c r="N28" s="477" t="n">
        <f aca="false">N14</f>
        <v>0.05</v>
      </c>
      <c r="O28" s="477" t="n">
        <f aca="false">O14</f>
        <v>0.05</v>
      </c>
      <c r="P28" s="477" t="n">
        <f aca="false">P14</f>
        <v>0.05</v>
      </c>
      <c r="Q28" s="477" t="n">
        <f aca="false">Q14</f>
        <v>0.05</v>
      </c>
      <c r="R28" s="477" t="n">
        <f aca="false">R14</f>
        <v>0.05</v>
      </c>
      <c r="S28" s="477" t="n">
        <f aca="false">S14</f>
        <v>0.05</v>
      </c>
      <c r="T28" s="477" t="n">
        <f aca="false">T14</f>
        <v>0.05</v>
      </c>
      <c r="U28" s="477" t="n">
        <f aca="false">U14</f>
        <v>0.05</v>
      </c>
      <c r="V28" s="477" t="n">
        <f aca="false">V14</f>
        <v>0.05</v>
      </c>
      <c r="W28" s="477" t="n">
        <f aca="false">W14</f>
        <v>0.05</v>
      </c>
      <c r="X28" s="477" t="n">
        <f aca="false">X14</f>
        <v>0.0166666666666667</v>
      </c>
      <c r="Y28" s="477" t="n">
        <f aca="false">Y14</f>
        <v>0</v>
      </c>
      <c r="Z28" s="477" t="n">
        <f aca="false">Z14</f>
        <v>0</v>
      </c>
      <c r="AA28" s="477" t="n">
        <f aca="false">AA14</f>
        <v>0</v>
      </c>
      <c r="AB28" s="477" t="n">
        <f aca="false">AB14</f>
        <v>0</v>
      </c>
      <c r="AC28" s="477" t="n">
        <f aca="false">AC14</f>
        <v>0</v>
      </c>
      <c r="AD28" s="477" t="n">
        <f aca="false">AD14</f>
        <v>0</v>
      </c>
      <c r="AE28" s="477" t="n">
        <f aca="false">AE14</f>
        <v>0</v>
      </c>
      <c r="AF28" s="477" t="n">
        <f aca="false">AF14</f>
        <v>0</v>
      </c>
      <c r="AG28" s="477" t="n">
        <f aca="false">AG14</f>
        <v>0</v>
      </c>
      <c r="AH28" s="477" t="n">
        <f aca="false">AH14</f>
        <v>0</v>
      </c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  <c r="DJ28" s="475"/>
      <c r="DK28" s="475"/>
      <c r="DL28" s="475"/>
      <c r="DM28" s="475"/>
      <c r="DN28" s="475"/>
      <c r="DO28" s="475"/>
      <c r="DP28" s="475"/>
      <c r="DQ28" s="475"/>
      <c r="DR28" s="475"/>
      <c r="DS28" s="475"/>
      <c r="DT28" s="475"/>
      <c r="DU28" s="475"/>
      <c r="DV28" s="475"/>
      <c r="DW28" s="475"/>
      <c r="DX28" s="475"/>
      <c r="DY28" s="475"/>
      <c r="DZ28" s="475"/>
      <c r="EA28" s="475"/>
      <c r="EB28" s="475"/>
      <c r="EC28" s="475"/>
      <c r="ED28" s="475"/>
      <c r="EE28" s="475"/>
      <c r="EF28" s="475"/>
      <c r="EG28" s="475"/>
      <c r="EH28" s="475"/>
      <c r="EI28" s="475"/>
      <c r="EJ28" s="475"/>
      <c r="EK28" s="475"/>
      <c r="EL28" s="475"/>
      <c r="EM28" s="475"/>
      <c r="EN28" s="475"/>
      <c r="EO28" s="475"/>
      <c r="EP28" s="475"/>
      <c r="EQ28" s="475"/>
      <c r="ER28" s="475"/>
      <c r="ES28" s="475"/>
      <c r="ET28" s="475"/>
      <c r="EU28" s="475"/>
      <c r="EV28" s="475"/>
      <c r="EW28" s="475"/>
      <c r="EX28" s="475"/>
      <c r="EY28" s="475"/>
      <c r="EZ28" s="475"/>
      <c r="FA28" s="475"/>
      <c r="FB28" s="475"/>
      <c r="FC28" s="475"/>
      <c r="FD28" s="475"/>
      <c r="FE28" s="475"/>
      <c r="FF28" s="475"/>
      <c r="FG28" s="475"/>
      <c r="FH28" s="475"/>
      <c r="FI28" s="475"/>
      <c r="FJ28" s="475"/>
      <c r="FK28" s="475"/>
      <c r="FL28" s="475"/>
      <c r="FM28" s="475"/>
      <c r="FN28" s="475"/>
      <c r="FO28" s="475"/>
      <c r="FP28" s="475"/>
      <c r="FQ28" s="475"/>
      <c r="FR28" s="475"/>
      <c r="FS28" s="475"/>
      <c r="FT28" s="475"/>
      <c r="FU28" s="475"/>
      <c r="FV28" s="475"/>
      <c r="FW28" s="475"/>
      <c r="FX28" s="475"/>
      <c r="FY28" s="475"/>
      <c r="FZ28" s="475"/>
      <c r="GA28" s="475"/>
      <c r="GB28" s="475"/>
      <c r="GC28" s="475"/>
      <c r="GD28" s="475"/>
      <c r="GE28" s="475"/>
      <c r="GF28" s="475"/>
      <c r="GG28" s="475"/>
      <c r="GH28" s="475"/>
      <c r="GI28" s="475"/>
      <c r="GJ28" s="475"/>
      <c r="GK28" s="475"/>
      <c r="GL28" s="475"/>
      <c r="GM28" s="475"/>
      <c r="GN28" s="475"/>
      <c r="GO28" s="475"/>
      <c r="GP28" s="475"/>
      <c r="GQ28" s="475"/>
      <c r="GR28" s="475"/>
      <c r="GS28" s="475"/>
      <c r="GT28" s="475"/>
      <c r="GU28" s="475"/>
      <c r="GV28" s="475"/>
      <c r="GW28" s="475"/>
      <c r="GX28" s="475"/>
      <c r="GY28" s="475"/>
      <c r="GZ28" s="475"/>
      <c r="HA28" s="475"/>
      <c r="HB28" s="475"/>
      <c r="HC28" s="475"/>
      <c r="HD28" s="475"/>
      <c r="HE28" s="475"/>
      <c r="HF28" s="475"/>
      <c r="HG28" s="475"/>
      <c r="HH28" s="475"/>
      <c r="HI28" s="475"/>
      <c r="HJ28" s="475"/>
      <c r="HK28" s="475"/>
      <c r="HL28" s="475"/>
      <c r="HM28" s="475"/>
      <c r="HN28" s="475"/>
      <c r="HO28" s="475"/>
      <c r="HP28" s="475"/>
      <c r="HQ28" s="475"/>
      <c r="HR28" s="475"/>
      <c r="HS28" s="475"/>
      <c r="HT28" s="475"/>
      <c r="HU28" s="475"/>
      <c r="HV28" s="475"/>
      <c r="HW28" s="475"/>
      <c r="HX28" s="475"/>
      <c r="HY28" s="475"/>
      <c r="HZ28" s="475"/>
      <c r="IA28" s="475"/>
      <c r="IB28" s="475"/>
      <c r="IC28" s="475"/>
      <c r="ID28" s="475"/>
      <c r="IE28" s="475"/>
      <c r="IF28" s="475"/>
      <c r="IG28" s="475"/>
      <c r="IH28" s="475"/>
      <c r="II28" s="475"/>
      <c r="IJ28" s="475"/>
      <c r="IK28" s="475"/>
      <c r="IL28" s="475"/>
      <c r="IM28" s="475"/>
      <c r="IN28" s="475"/>
      <c r="IO28" s="475"/>
      <c r="IP28" s="475"/>
      <c r="IQ28" s="475"/>
      <c r="IR28" s="475"/>
      <c r="IS28" s="475"/>
      <c r="IT28" s="475"/>
      <c r="IU28" s="475"/>
      <c r="IV28" s="475"/>
      <c r="IW28" s="475"/>
    </row>
    <row r="29" customFormat="false" ht="12.75" hidden="false" customHeight="false" outlineLevel="0" collapsed="false">
      <c r="A29" s="493"/>
      <c r="B29" s="480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  <c r="DJ29" s="475"/>
      <c r="DK29" s="475"/>
      <c r="DL29" s="475"/>
      <c r="DM29" s="475"/>
      <c r="DN29" s="475"/>
      <c r="DO29" s="475"/>
      <c r="DP29" s="475"/>
      <c r="DQ29" s="475"/>
      <c r="DR29" s="475"/>
      <c r="DS29" s="475"/>
      <c r="DT29" s="475"/>
      <c r="DU29" s="475"/>
      <c r="DV29" s="475"/>
      <c r="DW29" s="475"/>
      <c r="DX29" s="475"/>
      <c r="DY29" s="475"/>
      <c r="DZ29" s="475"/>
      <c r="EA29" s="475"/>
      <c r="EB29" s="475"/>
      <c r="EC29" s="475"/>
      <c r="ED29" s="475"/>
      <c r="EE29" s="475"/>
      <c r="EF29" s="475"/>
      <c r="EG29" s="475"/>
      <c r="EH29" s="475"/>
      <c r="EI29" s="475"/>
      <c r="EJ29" s="475"/>
      <c r="EK29" s="475"/>
      <c r="EL29" s="475"/>
      <c r="EM29" s="475"/>
      <c r="EN29" s="475"/>
      <c r="EO29" s="475"/>
      <c r="EP29" s="475"/>
      <c r="EQ29" s="475"/>
      <c r="ER29" s="475"/>
      <c r="ES29" s="475"/>
      <c r="ET29" s="475"/>
      <c r="EU29" s="475"/>
      <c r="EV29" s="475"/>
      <c r="EW29" s="475"/>
      <c r="EX29" s="475"/>
      <c r="EY29" s="475"/>
      <c r="EZ29" s="475"/>
      <c r="FA29" s="475"/>
      <c r="FB29" s="475"/>
      <c r="FC29" s="475"/>
      <c r="FD29" s="475"/>
      <c r="FE29" s="475"/>
      <c r="FF29" s="475"/>
      <c r="FG29" s="475"/>
      <c r="FH29" s="475"/>
      <c r="FI29" s="475"/>
      <c r="FJ29" s="475"/>
      <c r="FK29" s="475"/>
      <c r="FL29" s="475"/>
      <c r="FM29" s="475"/>
      <c r="FN29" s="475"/>
      <c r="FO29" s="475"/>
      <c r="FP29" s="475"/>
      <c r="FQ29" s="475"/>
      <c r="FR29" s="475"/>
      <c r="FS29" s="475"/>
      <c r="FT29" s="475"/>
      <c r="FU29" s="475"/>
      <c r="FV29" s="475"/>
      <c r="FW29" s="475"/>
      <c r="FX29" s="475"/>
      <c r="FY29" s="475"/>
      <c r="FZ29" s="475"/>
      <c r="GA29" s="475"/>
      <c r="GB29" s="475"/>
      <c r="GC29" s="475"/>
      <c r="GD29" s="475"/>
      <c r="GE29" s="475"/>
      <c r="GF29" s="475"/>
      <c r="GG29" s="475"/>
      <c r="GH29" s="475"/>
      <c r="GI29" s="475"/>
      <c r="GJ29" s="475"/>
      <c r="GK29" s="475"/>
      <c r="GL29" s="475"/>
      <c r="GM29" s="475"/>
      <c r="GN29" s="475"/>
      <c r="GO29" s="475"/>
      <c r="GP29" s="475"/>
      <c r="GQ29" s="475"/>
      <c r="GR29" s="475"/>
      <c r="GS29" s="475"/>
      <c r="GT29" s="475"/>
      <c r="GU29" s="475"/>
      <c r="GV29" s="475"/>
      <c r="GW29" s="475"/>
      <c r="GX29" s="475"/>
      <c r="GY29" s="475"/>
      <c r="GZ29" s="475"/>
      <c r="HA29" s="475"/>
      <c r="HB29" s="475"/>
      <c r="HC29" s="475"/>
      <c r="HD29" s="475"/>
      <c r="HE29" s="475"/>
      <c r="HF29" s="475"/>
      <c r="HG29" s="475"/>
      <c r="HH29" s="475"/>
      <c r="HI29" s="475"/>
      <c r="HJ29" s="475"/>
      <c r="HK29" s="475"/>
      <c r="HL29" s="475"/>
      <c r="HM29" s="475"/>
      <c r="HN29" s="475"/>
      <c r="HO29" s="475"/>
      <c r="HP29" s="475"/>
      <c r="HQ29" s="475"/>
      <c r="HR29" s="475"/>
      <c r="HS29" s="475"/>
      <c r="HT29" s="475"/>
      <c r="HU29" s="475"/>
      <c r="HV29" s="475"/>
      <c r="HW29" s="475"/>
      <c r="HX29" s="475"/>
      <c r="HY29" s="475"/>
      <c r="HZ29" s="475"/>
      <c r="IA29" s="475"/>
      <c r="IB29" s="475"/>
      <c r="IC29" s="475"/>
      <c r="ID29" s="475"/>
      <c r="IE29" s="475"/>
      <c r="IF29" s="475"/>
      <c r="IG29" s="475"/>
      <c r="IH29" s="475"/>
      <c r="II29" s="475"/>
      <c r="IJ29" s="475"/>
      <c r="IK29" s="475"/>
      <c r="IL29" s="475"/>
      <c r="IM29" s="475"/>
      <c r="IN29" s="475"/>
      <c r="IO29" s="475"/>
      <c r="IP29" s="475"/>
      <c r="IQ29" s="475"/>
      <c r="IR29" s="475"/>
      <c r="IS29" s="475"/>
      <c r="IT29" s="475"/>
      <c r="IU29" s="475"/>
      <c r="IV29" s="475"/>
      <c r="IW29" s="475"/>
    </row>
    <row r="30" customFormat="false" ht="12.75" hidden="false" customHeight="false" outlineLevel="0" collapsed="false">
      <c r="B30" s="476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  <c r="DJ30" s="475"/>
      <c r="DK30" s="475"/>
      <c r="DL30" s="475"/>
      <c r="DM30" s="475"/>
      <c r="DN30" s="475"/>
      <c r="DO30" s="475"/>
      <c r="DP30" s="475"/>
      <c r="DQ30" s="475"/>
      <c r="DR30" s="475"/>
      <c r="DS30" s="475"/>
      <c r="DT30" s="475"/>
      <c r="DU30" s="475"/>
      <c r="DV30" s="475"/>
      <c r="DW30" s="475"/>
      <c r="DX30" s="475"/>
      <c r="DY30" s="475"/>
      <c r="DZ30" s="475"/>
      <c r="EA30" s="475"/>
      <c r="EB30" s="475"/>
      <c r="EC30" s="475"/>
      <c r="ED30" s="475"/>
      <c r="EE30" s="475"/>
      <c r="EF30" s="475"/>
      <c r="EG30" s="475"/>
      <c r="EH30" s="475"/>
      <c r="EI30" s="475"/>
      <c r="EJ30" s="475"/>
      <c r="EK30" s="475"/>
      <c r="EL30" s="475"/>
      <c r="EM30" s="475"/>
      <c r="EN30" s="475"/>
      <c r="EO30" s="475"/>
      <c r="EP30" s="475"/>
      <c r="EQ30" s="475"/>
      <c r="ER30" s="475"/>
      <c r="ES30" s="475"/>
      <c r="ET30" s="475"/>
      <c r="EU30" s="475"/>
      <c r="EV30" s="475"/>
      <c r="EW30" s="475"/>
      <c r="EX30" s="475"/>
      <c r="EY30" s="475"/>
      <c r="EZ30" s="475"/>
      <c r="FA30" s="475"/>
      <c r="FB30" s="475"/>
      <c r="FC30" s="475"/>
      <c r="FD30" s="475"/>
      <c r="FE30" s="475"/>
      <c r="FF30" s="475"/>
      <c r="FG30" s="475"/>
      <c r="FH30" s="475"/>
      <c r="FI30" s="475"/>
      <c r="FJ30" s="475"/>
      <c r="FK30" s="475"/>
      <c r="FL30" s="475"/>
      <c r="FM30" s="475"/>
      <c r="FN30" s="475"/>
      <c r="FO30" s="475"/>
      <c r="FP30" s="475"/>
      <c r="FQ30" s="475"/>
      <c r="FR30" s="475"/>
      <c r="FS30" s="475"/>
      <c r="FT30" s="475"/>
      <c r="FU30" s="475"/>
      <c r="FV30" s="475"/>
      <c r="FW30" s="475"/>
      <c r="FX30" s="475"/>
      <c r="FY30" s="475"/>
      <c r="FZ30" s="475"/>
      <c r="GA30" s="475"/>
      <c r="GB30" s="475"/>
      <c r="GC30" s="475"/>
      <c r="GD30" s="475"/>
      <c r="GE30" s="475"/>
      <c r="GF30" s="475"/>
      <c r="GG30" s="475"/>
      <c r="GH30" s="475"/>
      <c r="GI30" s="475"/>
      <c r="GJ30" s="475"/>
      <c r="GK30" s="475"/>
      <c r="GL30" s="475"/>
      <c r="GM30" s="475"/>
      <c r="GN30" s="475"/>
      <c r="GO30" s="475"/>
      <c r="GP30" s="475"/>
      <c r="GQ30" s="475"/>
      <c r="GR30" s="475"/>
      <c r="GS30" s="475"/>
      <c r="GT30" s="475"/>
      <c r="GU30" s="475"/>
      <c r="GV30" s="475"/>
      <c r="GW30" s="475"/>
      <c r="GX30" s="475"/>
      <c r="GY30" s="475"/>
      <c r="GZ30" s="475"/>
      <c r="HA30" s="475"/>
      <c r="HB30" s="475"/>
      <c r="HC30" s="475"/>
      <c r="HD30" s="475"/>
      <c r="HE30" s="475"/>
      <c r="HF30" s="475"/>
      <c r="HG30" s="475"/>
      <c r="HH30" s="475"/>
      <c r="HI30" s="475"/>
      <c r="HJ30" s="475"/>
      <c r="HK30" s="475"/>
      <c r="HL30" s="475"/>
      <c r="HM30" s="475"/>
      <c r="HN30" s="475"/>
      <c r="HO30" s="475"/>
      <c r="HP30" s="475"/>
      <c r="HQ30" s="475"/>
      <c r="HR30" s="475"/>
      <c r="HS30" s="475"/>
      <c r="HT30" s="475"/>
      <c r="HU30" s="475"/>
      <c r="HV30" s="475"/>
      <c r="HW30" s="475"/>
      <c r="HX30" s="475"/>
      <c r="HY30" s="475"/>
      <c r="HZ30" s="475"/>
      <c r="IA30" s="475"/>
      <c r="IB30" s="475"/>
      <c r="IC30" s="475"/>
      <c r="ID30" s="475"/>
      <c r="IE30" s="475"/>
      <c r="IF30" s="475"/>
      <c r="IG30" s="475"/>
      <c r="IH30" s="475"/>
      <c r="II30" s="475"/>
      <c r="IJ30" s="475"/>
      <c r="IK30" s="475"/>
      <c r="IL30" s="475"/>
      <c r="IM30" s="475"/>
      <c r="IN30" s="475"/>
      <c r="IO30" s="475"/>
      <c r="IP30" s="475"/>
      <c r="IQ30" s="475"/>
      <c r="IR30" s="475"/>
      <c r="IS30" s="475"/>
      <c r="IT30" s="475"/>
      <c r="IU30" s="475"/>
      <c r="IV30" s="475"/>
      <c r="IW30" s="475"/>
    </row>
    <row r="31" customFormat="false" ht="12.75" hidden="false" customHeight="false" outlineLevel="0" collapsed="false">
      <c r="A31" s="479" t="s">
        <v>405</v>
      </c>
      <c r="B31" s="180" t="n">
        <f aca="false">B16</f>
        <v>100089.50002246</v>
      </c>
      <c r="C31" s="487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AZ31" s="495"/>
      <c r="BA31" s="495"/>
      <c r="BB31" s="495"/>
      <c r="BC31" s="495"/>
      <c r="BD31" s="495"/>
      <c r="BE31" s="495"/>
      <c r="BF31" s="495"/>
      <c r="BG31" s="495"/>
      <c r="BH31" s="495"/>
      <c r="BI31" s="495"/>
      <c r="BJ31" s="495"/>
      <c r="BK31" s="495"/>
      <c r="BL31" s="495"/>
      <c r="BM31" s="495"/>
      <c r="BN31" s="495"/>
      <c r="BO31" s="495"/>
      <c r="BP31" s="495"/>
      <c r="BQ31" s="495"/>
      <c r="BR31" s="495"/>
      <c r="BS31" s="495"/>
      <c r="BT31" s="495"/>
      <c r="BU31" s="495"/>
      <c r="BV31" s="495"/>
      <c r="BW31" s="495"/>
      <c r="BX31" s="495"/>
      <c r="BY31" s="495"/>
      <c r="BZ31" s="495"/>
      <c r="CA31" s="495"/>
      <c r="CB31" s="495"/>
      <c r="CC31" s="495"/>
      <c r="CD31" s="495"/>
      <c r="CE31" s="495"/>
      <c r="CF31" s="495"/>
      <c r="CG31" s="495"/>
      <c r="CH31" s="495"/>
      <c r="CI31" s="495"/>
      <c r="CJ31" s="495"/>
      <c r="CK31" s="495"/>
      <c r="CL31" s="495"/>
      <c r="CM31" s="495"/>
      <c r="CN31" s="495"/>
      <c r="CO31" s="495"/>
      <c r="CP31" s="495"/>
      <c r="CQ31" s="495"/>
      <c r="CR31" s="495"/>
      <c r="CS31" s="495"/>
      <c r="CT31" s="495"/>
      <c r="CU31" s="495"/>
      <c r="CV31" s="495"/>
      <c r="CW31" s="495"/>
      <c r="CX31" s="495"/>
      <c r="CY31" s="495"/>
      <c r="CZ31" s="495"/>
      <c r="DA31" s="495"/>
      <c r="DB31" s="495"/>
      <c r="DC31" s="495"/>
      <c r="DD31" s="495"/>
      <c r="DE31" s="495"/>
      <c r="DF31" s="495"/>
      <c r="DG31" s="495"/>
      <c r="DH31" s="495"/>
      <c r="DI31" s="495"/>
      <c r="DJ31" s="495"/>
      <c r="DK31" s="495"/>
      <c r="DL31" s="495"/>
      <c r="DM31" s="495"/>
      <c r="DN31" s="495"/>
      <c r="DO31" s="495"/>
      <c r="DP31" s="495"/>
      <c r="DQ31" s="495"/>
      <c r="DR31" s="495"/>
      <c r="DS31" s="495"/>
      <c r="DT31" s="495"/>
      <c r="DU31" s="495"/>
      <c r="DV31" s="495"/>
      <c r="DW31" s="495"/>
      <c r="DX31" s="495"/>
      <c r="DY31" s="495"/>
      <c r="DZ31" s="495"/>
      <c r="EA31" s="495"/>
      <c r="EB31" s="495"/>
      <c r="EC31" s="495"/>
      <c r="ED31" s="495"/>
      <c r="EE31" s="495"/>
      <c r="EF31" s="495"/>
      <c r="EG31" s="495"/>
      <c r="EH31" s="495"/>
      <c r="EI31" s="495"/>
      <c r="EJ31" s="495"/>
      <c r="EK31" s="495"/>
      <c r="EL31" s="495"/>
      <c r="EM31" s="495"/>
      <c r="EN31" s="495"/>
      <c r="EO31" s="495"/>
      <c r="EP31" s="495"/>
      <c r="EQ31" s="495"/>
      <c r="ER31" s="495"/>
      <c r="ES31" s="495"/>
      <c r="ET31" s="495"/>
      <c r="EU31" s="495"/>
      <c r="EV31" s="495"/>
      <c r="EW31" s="495"/>
      <c r="EX31" s="495"/>
      <c r="EY31" s="495"/>
      <c r="EZ31" s="495"/>
      <c r="FA31" s="495"/>
      <c r="FB31" s="495"/>
      <c r="FC31" s="495"/>
      <c r="FD31" s="495"/>
      <c r="FE31" s="495"/>
      <c r="FF31" s="495"/>
      <c r="FG31" s="495"/>
      <c r="FH31" s="495"/>
      <c r="FI31" s="495"/>
      <c r="FJ31" s="495"/>
      <c r="FK31" s="495"/>
      <c r="FL31" s="495"/>
      <c r="FM31" s="495"/>
      <c r="FN31" s="495"/>
      <c r="FO31" s="495"/>
      <c r="FP31" s="495"/>
      <c r="FQ31" s="495"/>
      <c r="FR31" s="495"/>
      <c r="FS31" s="495"/>
      <c r="FT31" s="495"/>
      <c r="FU31" s="495"/>
      <c r="FV31" s="495"/>
      <c r="FW31" s="495"/>
      <c r="FX31" s="495"/>
      <c r="FY31" s="495"/>
      <c r="FZ31" s="495"/>
      <c r="GA31" s="495"/>
      <c r="GB31" s="495"/>
      <c r="GC31" s="495"/>
      <c r="GD31" s="495"/>
      <c r="GE31" s="495"/>
      <c r="GF31" s="495"/>
      <c r="GG31" s="495"/>
      <c r="GH31" s="495"/>
      <c r="GI31" s="495"/>
      <c r="GJ31" s="495"/>
      <c r="GK31" s="495"/>
      <c r="GL31" s="495"/>
      <c r="GM31" s="495"/>
      <c r="GN31" s="495"/>
      <c r="GO31" s="495"/>
      <c r="GP31" s="495"/>
      <c r="GQ31" s="495"/>
      <c r="GR31" s="495"/>
      <c r="GS31" s="495"/>
      <c r="GT31" s="495"/>
      <c r="GU31" s="495"/>
      <c r="GV31" s="495"/>
      <c r="GW31" s="495"/>
      <c r="GX31" s="495"/>
      <c r="GY31" s="495"/>
      <c r="GZ31" s="495"/>
      <c r="HA31" s="495"/>
      <c r="HB31" s="495"/>
      <c r="HC31" s="495"/>
      <c r="HD31" s="495"/>
      <c r="HE31" s="495"/>
      <c r="HF31" s="495"/>
      <c r="HG31" s="495"/>
      <c r="HH31" s="495"/>
      <c r="HI31" s="495"/>
      <c r="HJ31" s="495"/>
      <c r="HK31" s="495"/>
      <c r="HL31" s="495"/>
      <c r="HM31" s="495"/>
      <c r="HN31" s="495"/>
      <c r="HO31" s="495"/>
      <c r="HP31" s="495"/>
      <c r="HQ31" s="495"/>
      <c r="HR31" s="495"/>
      <c r="HS31" s="495"/>
      <c r="HT31" s="495"/>
      <c r="HU31" s="495"/>
      <c r="HV31" s="495"/>
      <c r="HW31" s="495"/>
      <c r="HX31" s="495"/>
      <c r="HY31" s="495"/>
      <c r="HZ31" s="495"/>
      <c r="IA31" s="495"/>
      <c r="IB31" s="495"/>
      <c r="IC31" s="495"/>
      <c r="ID31" s="495"/>
      <c r="IE31" s="495"/>
      <c r="IF31" s="495"/>
      <c r="IG31" s="495"/>
      <c r="IH31" s="495"/>
      <c r="II31" s="495"/>
      <c r="IJ31" s="495"/>
      <c r="IK31" s="495"/>
      <c r="IL31" s="495"/>
      <c r="IM31" s="495"/>
      <c r="IN31" s="495"/>
      <c r="IO31" s="495"/>
      <c r="IP31" s="495"/>
      <c r="IQ31" s="495"/>
      <c r="IR31" s="495"/>
      <c r="IS31" s="495"/>
      <c r="IT31" s="495"/>
      <c r="IU31" s="495"/>
      <c r="IV31" s="495"/>
      <c r="IW31" s="495"/>
    </row>
    <row r="32" customFormat="false" ht="12.75" hidden="false" customHeight="false" outlineLevel="0" collapsed="false">
      <c r="A32" s="479" t="s">
        <v>406</v>
      </c>
      <c r="B32" s="488" t="n">
        <f aca="false">B17</f>
        <v>3906.665</v>
      </c>
      <c r="C32" s="487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  <c r="DJ32" s="475"/>
      <c r="DK32" s="475"/>
      <c r="DL32" s="475"/>
      <c r="DM32" s="475"/>
      <c r="DN32" s="475"/>
      <c r="DO32" s="475"/>
      <c r="DP32" s="475"/>
      <c r="DQ32" s="475"/>
      <c r="DR32" s="475"/>
      <c r="DS32" s="475"/>
      <c r="DT32" s="475"/>
      <c r="DU32" s="475"/>
      <c r="DV32" s="475"/>
      <c r="DW32" s="475"/>
      <c r="DX32" s="475"/>
      <c r="DY32" s="475"/>
      <c r="DZ32" s="475"/>
      <c r="EA32" s="475"/>
      <c r="EB32" s="475"/>
      <c r="EC32" s="475"/>
      <c r="ED32" s="475"/>
      <c r="EE32" s="475"/>
      <c r="EF32" s="475"/>
      <c r="EG32" s="475"/>
      <c r="EH32" s="475"/>
      <c r="EI32" s="475"/>
      <c r="EJ32" s="475"/>
      <c r="EK32" s="475"/>
      <c r="EL32" s="475"/>
      <c r="EM32" s="475"/>
      <c r="EN32" s="475"/>
      <c r="EO32" s="475"/>
      <c r="EP32" s="475"/>
      <c r="EQ32" s="475"/>
      <c r="ER32" s="475"/>
      <c r="ES32" s="475"/>
      <c r="ET32" s="475"/>
      <c r="EU32" s="475"/>
      <c r="EV32" s="475"/>
      <c r="EW32" s="475"/>
      <c r="EX32" s="475"/>
      <c r="EY32" s="475"/>
      <c r="EZ32" s="475"/>
      <c r="FA32" s="475"/>
      <c r="FB32" s="475"/>
      <c r="FC32" s="475"/>
      <c r="FD32" s="475"/>
      <c r="FE32" s="475"/>
      <c r="FF32" s="475"/>
      <c r="FG32" s="475"/>
      <c r="FH32" s="475"/>
      <c r="FI32" s="475"/>
      <c r="FJ32" s="475"/>
      <c r="FK32" s="475"/>
      <c r="FL32" s="475"/>
      <c r="FM32" s="475"/>
      <c r="FN32" s="475"/>
      <c r="FO32" s="475"/>
      <c r="FP32" s="475"/>
      <c r="FQ32" s="475"/>
      <c r="FR32" s="475"/>
      <c r="FS32" s="475"/>
      <c r="FT32" s="475"/>
      <c r="FU32" s="475"/>
      <c r="FV32" s="475"/>
      <c r="FW32" s="475"/>
      <c r="FX32" s="475"/>
      <c r="FY32" s="475"/>
      <c r="FZ32" s="475"/>
      <c r="GA32" s="475"/>
      <c r="GB32" s="475"/>
      <c r="GC32" s="475"/>
      <c r="GD32" s="475"/>
      <c r="GE32" s="475"/>
      <c r="GF32" s="475"/>
      <c r="GG32" s="475"/>
      <c r="GH32" s="475"/>
      <c r="GI32" s="475"/>
      <c r="GJ32" s="475"/>
      <c r="GK32" s="475"/>
      <c r="GL32" s="475"/>
      <c r="GM32" s="475"/>
      <c r="GN32" s="475"/>
      <c r="GO32" s="475"/>
      <c r="GP32" s="475"/>
      <c r="GQ32" s="475"/>
      <c r="GR32" s="475"/>
      <c r="GS32" s="475"/>
      <c r="GT32" s="475"/>
      <c r="GU32" s="475"/>
      <c r="GV32" s="475"/>
      <c r="GW32" s="475"/>
      <c r="GX32" s="475"/>
      <c r="GY32" s="475"/>
      <c r="GZ32" s="475"/>
      <c r="HA32" s="475"/>
      <c r="HB32" s="475"/>
      <c r="HC32" s="475"/>
      <c r="HD32" s="475"/>
      <c r="HE32" s="475"/>
      <c r="HF32" s="475"/>
      <c r="HG32" s="475"/>
      <c r="HH32" s="475"/>
      <c r="HI32" s="475"/>
      <c r="HJ32" s="475"/>
      <c r="HK32" s="475"/>
      <c r="HL32" s="475"/>
      <c r="HM32" s="475"/>
      <c r="HN32" s="475"/>
      <c r="HO32" s="475"/>
      <c r="HP32" s="475"/>
      <c r="HQ32" s="475"/>
      <c r="HR32" s="475"/>
      <c r="HS32" s="475"/>
      <c r="HT32" s="475"/>
      <c r="HU32" s="475"/>
      <c r="HV32" s="475"/>
      <c r="HW32" s="475"/>
      <c r="HX32" s="475"/>
      <c r="HY32" s="475"/>
      <c r="HZ32" s="475"/>
      <c r="IA32" s="475"/>
      <c r="IB32" s="475"/>
      <c r="IC32" s="475"/>
      <c r="ID32" s="475"/>
      <c r="IE32" s="475"/>
      <c r="IF32" s="475"/>
      <c r="IG32" s="475"/>
      <c r="IH32" s="475"/>
      <c r="II32" s="475"/>
      <c r="IJ32" s="475"/>
      <c r="IK32" s="475"/>
      <c r="IL32" s="475"/>
      <c r="IM32" s="475"/>
      <c r="IN32" s="475"/>
      <c r="IO32" s="475"/>
      <c r="IP32" s="475"/>
      <c r="IQ32" s="475"/>
      <c r="IR32" s="475"/>
      <c r="IS32" s="475"/>
      <c r="IT32" s="475"/>
      <c r="IU32" s="475"/>
      <c r="IV32" s="475"/>
      <c r="IW32" s="475"/>
    </row>
    <row r="33" customFormat="false" ht="15" hidden="false" customHeight="false" outlineLevel="0" collapsed="false">
      <c r="A33" s="482" t="s">
        <v>407</v>
      </c>
      <c r="B33" s="385" t="n">
        <f aca="false">B18</f>
        <v>1000</v>
      </c>
      <c r="C33" s="487"/>
      <c r="D33" s="385" t="n">
        <f aca="false">$B33*D28</f>
        <v>33.3333333333333</v>
      </c>
      <c r="E33" s="385" t="n">
        <f aca="false">$B33*E28</f>
        <v>50</v>
      </c>
      <c r="F33" s="385" t="n">
        <f aca="false">$B33*F28</f>
        <v>50</v>
      </c>
      <c r="G33" s="385" t="n">
        <f aca="false">$B33*G28</f>
        <v>50</v>
      </c>
      <c r="H33" s="385" t="n">
        <f aca="false">$B33*H28</f>
        <v>50</v>
      </c>
      <c r="I33" s="385" t="n">
        <f aca="false">$B33*I28</f>
        <v>50</v>
      </c>
      <c r="J33" s="385" t="n">
        <f aca="false">$B33*J28</f>
        <v>50</v>
      </c>
      <c r="K33" s="385" t="n">
        <f aca="false">$B33*K28</f>
        <v>50</v>
      </c>
      <c r="L33" s="385" t="n">
        <f aca="false">$B33*L28</f>
        <v>50</v>
      </c>
      <c r="M33" s="385" t="n">
        <f aca="false">$B33*M28</f>
        <v>50</v>
      </c>
      <c r="N33" s="385" t="n">
        <f aca="false">$B33*N28</f>
        <v>50</v>
      </c>
      <c r="O33" s="385" t="n">
        <f aca="false">$B33*O28</f>
        <v>50</v>
      </c>
      <c r="P33" s="385" t="n">
        <f aca="false">$B33*P28</f>
        <v>50</v>
      </c>
      <c r="Q33" s="385" t="n">
        <f aca="false">$B33*Q28</f>
        <v>50</v>
      </c>
      <c r="R33" s="385" t="n">
        <f aca="false">$B33*R28</f>
        <v>50</v>
      </c>
      <c r="S33" s="385" t="n">
        <f aca="false">$B33*S28</f>
        <v>50</v>
      </c>
      <c r="T33" s="385" t="n">
        <f aca="false">$B33*T28</f>
        <v>50</v>
      </c>
      <c r="U33" s="385" t="n">
        <f aca="false">$B33*U28</f>
        <v>50</v>
      </c>
      <c r="V33" s="385" t="n">
        <f aca="false">$B33*V28</f>
        <v>50</v>
      </c>
      <c r="W33" s="385" t="n">
        <f aca="false">$B33*W28</f>
        <v>50</v>
      </c>
      <c r="X33" s="385" t="n">
        <f aca="false">$B33*X28</f>
        <v>16.6666666666667</v>
      </c>
      <c r="Y33" s="385" t="n">
        <f aca="false">$B33*Y28</f>
        <v>0</v>
      </c>
      <c r="Z33" s="385" t="n">
        <f aca="false">$B33*Z28</f>
        <v>0</v>
      </c>
      <c r="AA33" s="385" t="n">
        <f aca="false">$B33*AA28</f>
        <v>0</v>
      </c>
      <c r="AB33" s="385" t="n">
        <f aca="false">$B33*AB28</f>
        <v>0</v>
      </c>
      <c r="AC33" s="385" t="n">
        <f aca="false">$B33*AC28</f>
        <v>0</v>
      </c>
      <c r="AD33" s="385" t="n">
        <f aca="false">$B33*AD28</f>
        <v>0</v>
      </c>
      <c r="AE33" s="385" t="n">
        <f aca="false">$B33*AE28</f>
        <v>0</v>
      </c>
      <c r="AF33" s="385" t="n">
        <f aca="false">$B33*AF28</f>
        <v>0</v>
      </c>
      <c r="AG33" s="385" t="n">
        <f aca="false">$B33*AG28</f>
        <v>0</v>
      </c>
      <c r="AH33" s="385" t="n">
        <f aca="false">$B33*AH28</f>
        <v>0</v>
      </c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  <c r="DJ33" s="475"/>
      <c r="DK33" s="475"/>
      <c r="DL33" s="475"/>
      <c r="DM33" s="475"/>
      <c r="DN33" s="475"/>
      <c r="DO33" s="475"/>
      <c r="DP33" s="475"/>
      <c r="DQ33" s="475"/>
      <c r="DR33" s="475"/>
      <c r="DS33" s="475"/>
      <c r="DT33" s="475"/>
      <c r="DU33" s="475"/>
      <c r="DV33" s="475"/>
      <c r="DW33" s="475"/>
      <c r="DX33" s="475"/>
      <c r="DY33" s="475"/>
      <c r="DZ33" s="475"/>
      <c r="EA33" s="475"/>
      <c r="EB33" s="475"/>
      <c r="EC33" s="475"/>
      <c r="ED33" s="475"/>
      <c r="EE33" s="475"/>
      <c r="EF33" s="475"/>
      <c r="EG33" s="475"/>
      <c r="EH33" s="475"/>
      <c r="EI33" s="475"/>
      <c r="EJ33" s="475"/>
      <c r="EK33" s="475"/>
      <c r="EL33" s="475"/>
      <c r="EM33" s="475"/>
      <c r="EN33" s="475"/>
      <c r="EO33" s="475"/>
      <c r="EP33" s="475"/>
      <c r="EQ33" s="475"/>
      <c r="ER33" s="475"/>
      <c r="ES33" s="475"/>
      <c r="ET33" s="475"/>
      <c r="EU33" s="475"/>
      <c r="EV33" s="475"/>
      <c r="EW33" s="475"/>
      <c r="EX33" s="475"/>
      <c r="EY33" s="475"/>
      <c r="EZ33" s="475"/>
      <c r="FA33" s="475"/>
      <c r="FB33" s="475"/>
      <c r="FC33" s="475"/>
      <c r="FD33" s="475"/>
      <c r="FE33" s="475"/>
      <c r="FF33" s="475"/>
      <c r="FG33" s="475"/>
      <c r="FH33" s="475"/>
      <c r="FI33" s="475"/>
      <c r="FJ33" s="475"/>
      <c r="FK33" s="475"/>
      <c r="FL33" s="475"/>
      <c r="FM33" s="475"/>
      <c r="FN33" s="475"/>
      <c r="FO33" s="475"/>
      <c r="FP33" s="475"/>
      <c r="FQ33" s="475"/>
      <c r="FR33" s="475"/>
      <c r="FS33" s="475"/>
      <c r="FT33" s="475"/>
      <c r="FU33" s="475"/>
      <c r="FV33" s="475"/>
      <c r="FW33" s="475"/>
      <c r="FX33" s="475"/>
      <c r="FY33" s="475"/>
      <c r="FZ33" s="475"/>
      <c r="GA33" s="475"/>
      <c r="GB33" s="475"/>
      <c r="GC33" s="475"/>
      <c r="GD33" s="475"/>
      <c r="GE33" s="475"/>
      <c r="GF33" s="475"/>
      <c r="GG33" s="475"/>
      <c r="GH33" s="475"/>
      <c r="GI33" s="475"/>
      <c r="GJ33" s="475"/>
      <c r="GK33" s="475"/>
      <c r="GL33" s="475"/>
      <c r="GM33" s="475"/>
      <c r="GN33" s="475"/>
      <c r="GO33" s="475"/>
      <c r="GP33" s="475"/>
      <c r="GQ33" s="475"/>
      <c r="GR33" s="475"/>
      <c r="GS33" s="475"/>
      <c r="GT33" s="475"/>
      <c r="GU33" s="475"/>
      <c r="GV33" s="475"/>
      <c r="GW33" s="475"/>
      <c r="GX33" s="475"/>
      <c r="GY33" s="475"/>
      <c r="GZ33" s="475"/>
      <c r="HA33" s="475"/>
      <c r="HB33" s="475"/>
      <c r="HC33" s="475"/>
      <c r="HD33" s="475"/>
      <c r="HE33" s="475"/>
      <c r="HF33" s="475"/>
      <c r="HG33" s="475"/>
      <c r="HH33" s="475"/>
      <c r="HI33" s="475"/>
      <c r="HJ33" s="475"/>
      <c r="HK33" s="475"/>
      <c r="HL33" s="475"/>
      <c r="HM33" s="475"/>
      <c r="HN33" s="475"/>
      <c r="HO33" s="475"/>
      <c r="HP33" s="475"/>
      <c r="HQ33" s="475"/>
      <c r="HR33" s="475"/>
      <c r="HS33" s="475"/>
      <c r="HT33" s="475"/>
      <c r="HU33" s="475"/>
      <c r="HV33" s="475"/>
      <c r="HW33" s="475"/>
      <c r="HX33" s="475"/>
      <c r="HY33" s="475"/>
      <c r="HZ33" s="475"/>
      <c r="IA33" s="475"/>
      <c r="IB33" s="475"/>
      <c r="IC33" s="475"/>
      <c r="ID33" s="475"/>
      <c r="IE33" s="475"/>
      <c r="IF33" s="475"/>
      <c r="IG33" s="475"/>
      <c r="IH33" s="475"/>
      <c r="II33" s="475"/>
      <c r="IJ33" s="475"/>
      <c r="IK33" s="475"/>
      <c r="IL33" s="475"/>
      <c r="IM33" s="475"/>
      <c r="IN33" s="475"/>
      <c r="IO33" s="475"/>
      <c r="IP33" s="475"/>
      <c r="IQ33" s="475"/>
      <c r="IR33" s="475"/>
      <c r="IS33" s="475"/>
      <c r="IT33" s="475"/>
      <c r="IU33" s="475"/>
      <c r="IV33" s="475"/>
      <c r="IW33" s="475"/>
    </row>
    <row r="34" customFormat="false" ht="12.75" hidden="false" customHeight="false" outlineLevel="0" collapsed="false">
      <c r="A34" s="493" t="s">
        <v>408</v>
      </c>
      <c r="B34" s="180" t="n">
        <f aca="false">SUM(B31:B33)</f>
        <v>104996.16502246</v>
      </c>
      <c r="C34" s="487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  <c r="DJ34" s="475"/>
      <c r="DK34" s="475"/>
      <c r="DL34" s="475"/>
      <c r="DM34" s="475"/>
      <c r="DN34" s="475"/>
      <c r="DO34" s="475"/>
      <c r="DP34" s="475"/>
      <c r="DQ34" s="475"/>
      <c r="DR34" s="475"/>
      <c r="DS34" s="475"/>
      <c r="DT34" s="475"/>
      <c r="DU34" s="475"/>
      <c r="DV34" s="475"/>
      <c r="DW34" s="475"/>
      <c r="DX34" s="475"/>
      <c r="DY34" s="475"/>
      <c r="DZ34" s="475"/>
      <c r="EA34" s="475"/>
      <c r="EB34" s="475"/>
      <c r="EC34" s="475"/>
      <c r="ED34" s="475"/>
      <c r="EE34" s="475"/>
      <c r="EF34" s="475"/>
      <c r="EG34" s="475"/>
      <c r="EH34" s="475"/>
      <c r="EI34" s="475"/>
      <c r="EJ34" s="475"/>
      <c r="EK34" s="475"/>
      <c r="EL34" s="475"/>
      <c r="EM34" s="475"/>
      <c r="EN34" s="475"/>
      <c r="EO34" s="475"/>
      <c r="EP34" s="475"/>
      <c r="EQ34" s="475"/>
      <c r="ER34" s="475"/>
      <c r="ES34" s="475"/>
      <c r="ET34" s="475"/>
      <c r="EU34" s="475"/>
      <c r="EV34" s="475"/>
      <c r="EW34" s="475"/>
      <c r="EX34" s="475"/>
      <c r="EY34" s="475"/>
      <c r="EZ34" s="475"/>
      <c r="FA34" s="475"/>
      <c r="FB34" s="475"/>
      <c r="FC34" s="475"/>
      <c r="FD34" s="475"/>
      <c r="FE34" s="475"/>
      <c r="FF34" s="475"/>
      <c r="FG34" s="475"/>
      <c r="FH34" s="475"/>
      <c r="FI34" s="475"/>
      <c r="FJ34" s="475"/>
      <c r="FK34" s="475"/>
      <c r="FL34" s="475"/>
      <c r="FM34" s="475"/>
      <c r="FN34" s="475"/>
      <c r="FO34" s="475"/>
      <c r="FP34" s="475"/>
      <c r="FQ34" s="475"/>
      <c r="FR34" s="475"/>
      <c r="FS34" s="475"/>
      <c r="FT34" s="475"/>
      <c r="FU34" s="475"/>
      <c r="FV34" s="475"/>
      <c r="FW34" s="475"/>
      <c r="FX34" s="475"/>
      <c r="FY34" s="475"/>
      <c r="FZ34" s="475"/>
      <c r="GA34" s="475"/>
      <c r="GB34" s="475"/>
      <c r="GC34" s="475"/>
      <c r="GD34" s="475"/>
      <c r="GE34" s="475"/>
      <c r="GF34" s="475"/>
      <c r="GG34" s="475"/>
      <c r="GH34" s="475"/>
      <c r="GI34" s="475"/>
      <c r="GJ34" s="475"/>
      <c r="GK34" s="475"/>
      <c r="GL34" s="475"/>
      <c r="GM34" s="475"/>
      <c r="GN34" s="475"/>
      <c r="GO34" s="475"/>
      <c r="GP34" s="475"/>
      <c r="GQ34" s="475"/>
      <c r="GR34" s="475"/>
      <c r="GS34" s="475"/>
      <c r="GT34" s="475"/>
      <c r="GU34" s="475"/>
      <c r="GV34" s="475"/>
      <c r="GW34" s="475"/>
      <c r="GX34" s="475"/>
      <c r="GY34" s="475"/>
      <c r="GZ34" s="475"/>
      <c r="HA34" s="475"/>
      <c r="HB34" s="475"/>
      <c r="HC34" s="475"/>
      <c r="HD34" s="475"/>
      <c r="HE34" s="475"/>
      <c r="HF34" s="475"/>
      <c r="HG34" s="475"/>
      <c r="HH34" s="475"/>
      <c r="HI34" s="475"/>
      <c r="HJ34" s="475"/>
      <c r="HK34" s="475"/>
      <c r="HL34" s="475"/>
      <c r="HM34" s="475"/>
      <c r="HN34" s="475"/>
      <c r="HO34" s="475"/>
      <c r="HP34" s="475"/>
      <c r="HQ34" s="475"/>
      <c r="HR34" s="475"/>
      <c r="HS34" s="475"/>
      <c r="HT34" s="475"/>
      <c r="HU34" s="475"/>
      <c r="HV34" s="475"/>
      <c r="HW34" s="475"/>
      <c r="HX34" s="475"/>
      <c r="HY34" s="475"/>
      <c r="HZ34" s="475"/>
      <c r="IA34" s="475"/>
      <c r="IB34" s="475"/>
      <c r="IC34" s="475"/>
      <c r="ID34" s="475"/>
      <c r="IE34" s="475"/>
      <c r="IF34" s="475"/>
      <c r="IG34" s="475"/>
      <c r="IH34" s="475"/>
      <c r="II34" s="475"/>
      <c r="IJ34" s="475"/>
      <c r="IK34" s="475"/>
      <c r="IL34" s="475"/>
      <c r="IM34" s="475"/>
      <c r="IN34" s="475"/>
      <c r="IO34" s="475"/>
      <c r="IP34" s="475"/>
      <c r="IQ34" s="475"/>
      <c r="IR34" s="475"/>
      <c r="IS34" s="475"/>
      <c r="IT34" s="475"/>
      <c r="IU34" s="475"/>
      <c r="IV34" s="475"/>
      <c r="IW34" s="475"/>
    </row>
    <row r="35" customFormat="false" ht="12.75" hidden="false" customHeight="false" outlineLevel="0" collapsed="false">
      <c r="A35" s="493"/>
      <c r="B35" s="180"/>
      <c r="C35" s="487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  <c r="DJ35" s="475"/>
      <c r="DK35" s="475"/>
      <c r="DL35" s="475"/>
      <c r="DM35" s="475"/>
      <c r="DN35" s="475"/>
      <c r="DO35" s="475"/>
      <c r="DP35" s="475"/>
      <c r="DQ35" s="475"/>
      <c r="DR35" s="475"/>
      <c r="DS35" s="475"/>
      <c r="DT35" s="475"/>
      <c r="DU35" s="475"/>
      <c r="DV35" s="475"/>
      <c r="DW35" s="475"/>
      <c r="DX35" s="475"/>
      <c r="DY35" s="475"/>
      <c r="DZ35" s="475"/>
      <c r="EA35" s="475"/>
      <c r="EB35" s="475"/>
      <c r="EC35" s="475"/>
      <c r="ED35" s="475"/>
      <c r="EE35" s="475"/>
      <c r="EF35" s="475"/>
      <c r="EG35" s="475"/>
      <c r="EH35" s="475"/>
      <c r="EI35" s="475"/>
      <c r="EJ35" s="475"/>
      <c r="EK35" s="475"/>
      <c r="EL35" s="475"/>
      <c r="EM35" s="475"/>
      <c r="EN35" s="475"/>
      <c r="EO35" s="475"/>
      <c r="EP35" s="475"/>
      <c r="EQ35" s="475"/>
      <c r="ER35" s="475"/>
      <c r="ES35" s="475"/>
      <c r="ET35" s="475"/>
      <c r="EU35" s="475"/>
      <c r="EV35" s="475"/>
      <c r="EW35" s="475"/>
      <c r="EX35" s="475"/>
      <c r="EY35" s="475"/>
      <c r="EZ35" s="475"/>
      <c r="FA35" s="475"/>
      <c r="FB35" s="475"/>
      <c r="FC35" s="475"/>
      <c r="FD35" s="475"/>
      <c r="FE35" s="475"/>
      <c r="FF35" s="475"/>
      <c r="FG35" s="475"/>
      <c r="FH35" s="475"/>
      <c r="FI35" s="475"/>
      <c r="FJ35" s="475"/>
      <c r="FK35" s="475"/>
      <c r="FL35" s="475"/>
      <c r="FM35" s="475"/>
      <c r="FN35" s="475"/>
      <c r="FO35" s="475"/>
      <c r="FP35" s="475"/>
      <c r="FQ35" s="475"/>
      <c r="FR35" s="475"/>
      <c r="FS35" s="475"/>
      <c r="FT35" s="475"/>
      <c r="FU35" s="475"/>
      <c r="FV35" s="475"/>
      <c r="FW35" s="475"/>
      <c r="FX35" s="475"/>
      <c r="FY35" s="475"/>
      <c r="FZ35" s="475"/>
      <c r="GA35" s="475"/>
      <c r="GB35" s="475"/>
      <c r="GC35" s="475"/>
      <c r="GD35" s="475"/>
      <c r="GE35" s="475"/>
      <c r="GF35" s="475"/>
      <c r="GG35" s="475"/>
      <c r="GH35" s="475"/>
      <c r="GI35" s="475"/>
      <c r="GJ35" s="475"/>
      <c r="GK35" s="475"/>
      <c r="GL35" s="475"/>
      <c r="GM35" s="475"/>
      <c r="GN35" s="475"/>
      <c r="GO35" s="475"/>
      <c r="GP35" s="475"/>
      <c r="GQ35" s="475"/>
      <c r="GR35" s="475"/>
      <c r="GS35" s="475"/>
      <c r="GT35" s="475"/>
      <c r="GU35" s="475"/>
      <c r="GV35" s="475"/>
      <c r="GW35" s="475"/>
      <c r="GX35" s="475"/>
      <c r="GY35" s="475"/>
      <c r="GZ35" s="475"/>
      <c r="HA35" s="475"/>
      <c r="HB35" s="475"/>
      <c r="HC35" s="475"/>
      <c r="HD35" s="475"/>
      <c r="HE35" s="475"/>
      <c r="HF35" s="475"/>
      <c r="HG35" s="475"/>
      <c r="HH35" s="475"/>
      <c r="HI35" s="475"/>
      <c r="HJ35" s="475"/>
      <c r="HK35" s="475"/>
      <c r="HL35" s="475"/>
      <c r="HM35" s="475"/>
      <c r="HN35" s="475"/>
      <c r="HO35" s="475"/>
      <c r="HP35" s="475"/>
      <c r="HQ35" s="475"/>
      <c r="HR35" s="475"/>
      <c r="HS35" s="475"/>
      <c r="HT35" s="475"/>
      <c r="HU35" s="475"/>
      <c r="HV35" s="475"/>
      <c r="HW35" s="475"/>
      <c r="HX35" s="475"/>
      <c r="HY35" s="475"/>
      <c r="HZ35" s="475"/>
      <c r="IA35" s="475"/>
      <c r="IB35" s="475"/>
      <c r="IC35" s="475"/>
      <c r="ID35" s="475"/>
      <c r="IE35" s="475"/>
      <c r="IF35" s="475"/>
      <c r="IG35" s="475"/>
      <c r="IH35" s="475"/>
      <c r="II35" s="475"/>
      <c r="IJ35" s="475"/>
      <c r="IK35" s="475"/>
      <c r="IL35" s="475"/>
      <c r="IM35" s="475"/>
      <c r="IN35" s="475"/>
      <c r="IO35" s="475"/>
      <c r="IP35" s="475"/>
      <c r="IQ35" s="475"/>
      <c r="IR35" s="475"/>
      <c r="IS35" s="475"/>
      <c r="IT35" s="475"/>
      <c r="IU35" s="475"/>
      <c r="IV35" s="475"/>
      <c r="IW35" s="475"/>
    </row>
    <row r="36" customFormat="false" ht="12.75" hidden="false" customHeight="false" outlineLevel="0" collapsed="false">
      <c r="A36" s="253" t="s">
        <v>409</v>
      </c>
      <c r="B36" s="386" t="n">
        <f aca="false">B34</f>
        <v>104996.16502246</v>
      </c>
      <c r="C36" s="489"/>
      <c r="D36" s="386" t="n">
        <f aca="false">B34-D34</f>
        <v>99437.4680213368</v>
      </c>
      <c r="E36" s="386" t="n">
        <f aca="false">D36-E34</f>
        <v>89097.6325192031</v>
      </c>
      <c r="F36" s="386" t="n">
        <f aca="false">E36-F34</f>
        <v>79708.6472672828</v>
      </c>
      <c r="G36" s="386" t="n">
        <f aca="false">F36-G34</f>
        <v>71170.4227655534</v>
      </c>
      <c r="H36" s="386" t="n">
        <f aca="false">G36-H34</f>
        <v>63402.8874139969</v>
      </c>
      <c r="I36" s="386" t="n">
        <f aca="false">H36-I34</f>
        <v>56856.8672292644</v>
      </c>
      <c r="J36" s="386" t="n">
        <f aca="false">I36-J34</f>
        <v>50901.5867279392</v>
      </c>
      <c r="K36" s="386" t="n">
        <f aca="false">J36-K34</f>
        <v>44936.2972766119</v>
      </c>
      <c r="L36" s="386" t="n">
        <f aca="false">K36-L34</f>
        <v>38981.0167752867</v>
      </c>
      <c r="M36" s="386" t="n">
        <f aca="false">L36-M34</f>
        <v>33015.7273239594</v>
      </c>
      <c r="N36" s="386" t="n">
        <f aca="false">M36-N34</f>
        <v>27060.4468226342</v>
      </c>
      <c r="O36" s="386" t="n">
        <f aca="false">N36-O34</f>
        <v>21095.1573713069</v>
      </c>
      <c r="P36" s="386" t="n">
        <f aca="false">O36-P34</f>
        <v>15139.8768699817</v>
      </c>
      <c r="Q36" s="386" t="n">
        <f aca="false">P36-Q34</f>
        <v>9174.58741865436</v>
      </c>
      <c r="R36" s="386" t="n">
        <f aca="false">Q36-R34</f>
        <v>3219.30691732924</v>
      </c>
      <c r="S36" s="386" t="n">
        <f aca="false">R36-S34</f>
        <v>216.666666666673</v>
      </c>
      <c r="T36" s="386" t="n">
        <f aca="false">S36-T34</f>
        <v>166.666666666673</v>
      </c>
      <c r="U36" s="386" t="n">
        <f aca="false">T36-U34</f>
        <v>116.666666666673</v>
      </c>
      <c r="V36" s="386" t="n">
        <f aca="false">U36-V34</f>
        <v>66.6666666666733</v>
      </c>
      <c r="W36" s="386" t="n">
        <f aca="false">V36-W34</f>
        <v>16.6666666666733</v>
      </c>
      <c r="X36" s="386" t="n">
        <f aca="false">W36-X34</f>
        <v>6.66489086142974E-012</v>
      </c>
      <c r="Y36" s="386" t="n">
        <f aca="false">X36-Y34</f>
        <v>6.66489086142974E-012</v>
      </c>
      <c r="Z36" s="386" t="n">
        <f aca="false">Y36-Z34</f>
        <v>6.66489086142974E-012</v>
      </c>
      <c r="AA36" s="386" t="n">
        <f aca="false">Z36-AA34</f>
        <v>6.66489086142974E-012</v>
      </c>
      <c r="AB36" s="386" t="n">
        <f aca="false">AA36-AB34</f>
        <v>6.66489086142974E-012</v>
      </c>
      <c r="AC36" s="386" t="n">
        <f aca="false">AB36-AC34</f>
        <v>6.66489086142974E-012</v>
      </c>
      <c r="AD36" s="386" t="n">
        <f aca="false">AC36-AD34</f>
        <v>6.66489086142974E-012</v>
      </c>
      <c r="AE36" s="386" t="n">
        <f aca="false">AD36-AE34</f>
        <v>6.66489086142974E-012</v>
      </c>
      <c r="AF36" s="386" t="n">
        <f aca="false">AE36-AF34</f>
        <v>6.66489086142974E-012</v>
      </c>
      <c r="AG36" s="386" t="n">
        <f aca="false">AF36-AG34</f>
        <v>6.66489086142974E-012</v>
      </c>
      <c r="AH36" s="386" t="n">
        <f aca="false">AG36-AH34</f>
        <v>6.66489086142974E-012</v>
      </c>
      <c r="AI36" s="490"/>
      <c r="AJ36" s="490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  <c r="DJ36" s="475"/>
      <c r="DK36" s="475"/>
      <c r="DL36" s="475"/>
      <c r="DM36" s="475"/>
      <c r="DN36" s="475"/>
      <c r="DO36" s="475"/>
      <c r="DP36" s="475"/>
      <c r="DQ36" s="475"/>
      <c r="DR36" s="475"/>
      <c r="DS36" s="475"/>
      <c r="DT36" s="475"/>
      <c r="DU36" s="475"/>
      <c r="DV36" s="475"/>
      <c r="DW36" s="475"/>
      <c r="DX36" s="475"/>
      <c r="DY36" s="475"/>
      <c r="DZ36" s="475"/>
      <c r="EA36" s="475"/>
      <c r="EB36" s="475"/>
      <c r="EC36" s="475"/>
      <c r="ED36" s="475"/>
      <c r="EE36" s="475"/>
      <c r="EF36" s="475"/>
      <c r="EG36" s="475"/>
      <c r="EH36" s="475"/>
      <c r="EI36" s="475"/>
      <c r="EJ36" s="475"/>
      <c r="EK36" s="475"/>
      <c r="EL36" s="475"/>
      <c r="EM36" s="475"/>
      <c r="EN36" s="475"/>
      <c r="EO36" s="475"/>
      <c r="EP36" s="475"/>
      <c r="EQ36" s="475"/>
      <c r="ER36" s="475"/>
      <c r="ES36" s="475"/>
      <c r="ET36" s="475"/>
      <c r="EU36" s="475"/>
      <c r="EV36" s="475"/>
      <c r="EW36" s="475"/>
      <c r="EX36" s="475"/>
      <c r="EY36" s="475"/>
      <c r="EZ36" s="475"/>
      <c r="FA36" s="475"/>
      <c r="FB36" s="475"/>
      <c r="FC36" s="475"/>
      <c r="FD36" s="475"/>
      <c r="FE36" s="475"/>
      <c r="FF36" s="475"/>
      <c r="FG36" s="475"/>
      <c r="FH36" s="475"/>
      <c r="FI36" s="475"/>
      <c r="FJ36" s="475"/>
      <c r="FK36" s="475"/>
      <c r="FL36" s="475"/>
      <c r="FM36" s="475"/>
      <c r="FN36" s="475"/>
      <c r="FO36" s="475"/>
      <c r="FP36" s="475"/>
      <c r="FQ36" s="475"/>
      <c r="FR36" s="475"/>
      <c r="FS36" s="475"/>
      <c r="FT36" s="475"/>
      <c r="FU36" s="475"/>
      <c r="FV36" s="475"/>
      <c r="FW36" s="475"/>
      <c r="FX36" s="475"/>
      <c r="FY36" s="475"/>
      <c r="FZ36" s="475"/>
      <c r="GA36" s="475"/>
      <c r="GB36" s="475"/>
      <c r="GC36" s="475"/>
      <c r="GD36" s="475"/>
      <c r="GE36" s="475"/>
      <c r="GF36" s="475"/>
      <c r="GG36" s="475"/>
      <c r="GH36" s="475"/>
      <c r="GI36" s="475"/>
      <c r="GJ36" s="475"/>
      <c r="GK36" s="475"/>
      <c r="GL36" s="475"/>
      <c r="GM36" s="475"/>
      <c r="GN36" s="475"/>
      <c r="GO36" s="475"/>
      <c r="GP36" s="475"/>
      <c r="GQ36" s="475"/>
      <c r="GR36" s="475"/>
      <c r="GS36" s="475"/>
      <c r="GT36" s="475"/>
      <c r="GU36" s="475"/>
      <c r="GV36" s="475"/>
      <c r="GW36" s="475"/>
      <c r="GX36" s="475"/>
      <c r="GY36" s="475"/>
      <c r="GZ36" s="475"/>
      <c r="HA36" s="475"/>
      <c r="HB36" s="475"/>
      <c r="HC36" s="475"/>
      <c r="HD36" s="475"/>
      <c r="HE36" s="475"/>
      <c r="HF36" s="475"/>
      <c r="HG36" s="475"/>
      <c r="HH36" s="475"/>
      <c r="HI36" s="475"/>
      <c r="HJ36" s="475"/>
      <c r="HK36" s="475"/>
      <c r="HL36" s="475"/>
      <c r="HM36" s="475"/>
      <c r="HN36" s="475"/>
      <c r="HO36" s="475"/>
      <c r="HP36" s="475"/>
      <c r="HQ36" s="475"/>
      <c r="HR36" s="475"/>
      <c r="HS36" s="475"/>
      <c r="HT36" s="475"/>
      <c r="HU36" s="475"/>
      <c r="HV36" s="475"/>
      <c r="HW36" s="475"/>
      <c r="HX36" s="475"/>
      <c r="HY36" s="475"/>
      <c r="HZ36" s="475"/>
      <c r="IA36" s="475"/>
      <c r="IB36" s="475"/>
      <c r="IC36" s="475"/>
      <c r="ID36" s="475"/>
      <c r="IE36" s="475"/>
      <c r="IF36" s="475"/>
      <c r="IG36" s="475"/>
      <c r="IH36" s="475"/>
      <c r="II36" s="475"/>
      <c r="IJ36" s="475"/>
      <c r="IK36" s="475"/>
      <c r="IL36" s="475"/>
      <c r="IM36" s="475"/>
      <c r="IN36" s="475"/>
      <c r="IO36" s="475"/>
      <c r="IP36" s="475"/>
      <c r="IQ36" s="475"/>
      <c r="IR36" s="475"/>
      <c r="IS36" s="475"/>
      <c r="IT36" s="475"/>
      <c r="IU36" s="475"/>
      <c r="IV36" s="475"/>
      <c r="IW36" s="475"/>
    </row>
    <row r="37" customFormat="false" ht="12.75" hidden="false" customHeight="false" outlineLevel="0" collapsed="false">
      <c r="D37" s="496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  <c r="DJ37" s="475"/>
      <c r="DK37" s="475"/>
      <c r="DL37" s="475"/>
      <c r="DM37" s="475"/>
      <c r="DN37" s="475"/>
      <c r="DO37" s="475"/>
      <c r="DP37" s="475"/>
      <c r="DQ37" s="475"/>
      <c r="DR37" s="475"/>
      <c r="DS37" s="475"/>
      <c r="DT37" s="475"/>
      <c r="DU37" s="475"/>
      <c r="DV37" s="475"/>
      <c r="DW37" s="475"/>
      <c r="DX37" s="475"/>
      <c r="DY37" s="475"/>
      <c r="DZ37" s="475"/>
      <c r="EA37" s="475"/>
      <c r="EB37" s="475"/>
      <c r="EC37" s="475"/>
      <c r="ED37" s="475"/>
      <c r="EE37" s="475"/>
      <c r="EF37" s="475"/>
      <c r="EG37" s="475"/>
      <c r="EH37" s="475"/>
      <c r="EI37" s="475"/>
      <c r="EJ37" s="475"/>
      <c r="EK37" s="475"/>
      <c r="EL37" s="475"/>
      <c r="EM37" s="475"/>
      <c r="EN37" s="475"/>
      <c r="EO37" s="475"/>
      <c r="EP37" s="475"/>
      <c r="EQ37" s="475"/>
      <c r="ER37" s="475"/>
      <c r="ES37" s="475"/>
      <c r="ET37" s="475"/>
      <c r="EU37" s="475"/>
      <c r="EV37" s="475"/>
      <c r="EW37" s="475"/>
      <c r="EX37" s="475"/>
      <c r="EY37" s="475"/>
      <c r="EZ37" s="475"/>
      <c r="FA37" s="475"/>
      <c r="FB37" s="475"/>
      <c r="FC37" s="475"/>
      <c r="FD37" s="475"/>
      <c r="FE37" s="475"/>
      <c r="FF37" s="475"/>
      <c r="FG37" s="475"/>
      <c r="FH37" s="475"/>
      <c r="FI37" s="475"/>
      <c r="FJ37" s="475"/>
      <c r="FK37" s="475"/>
      <c r="FL37" s="475"/>
      <c r="FM37" s="475"/>
      <c r="FN37" s="475"/>
      <c r="FO37" s="475"/>
      <c r="FP37" s="475"/>
      <c r="FQ37" s="475"/>
      <c r="FR37" s="475"/>
      <c r="FS37" s="475"/>
      <c r="FT37" s="475"/>
      <c r="FU37" s="475"/>
      <c r="FV37" s="475"/>
      <c r="FW37" s="475"/>
      <c r="FX37" s="475"/>
      <c r="FY37" s="475"/>
      <c r="FZ37" s="475"/>
      <c r="GA37" s="475"/>
      <c r="GB37" s="475"/>
      <c r="GC37" s="475"/>
      <c r="GD37" s="475"/>
      <c r="GE37" s="475"/>
      <c r="GF37" s="475"/>
      <c r="GG37" s="475"/>
      <c r="GH37" s="475"/>
      <c r="GI37" s="475"/>
      <c r="GJ37" s="475"/>
      <c r="GK37" s="475"/>
      <c r="GL37" s="475"/>
      <c r="GM37" s="475"/>
      <c r="GN37" s="475"/>
      <c r="GO37" s="475"/>
      <c r="GP37" s="475"/>
      <c r="GQ37" s="475"/>
      <c r="GR37" s="475"/>
      <c r="GS37" s="475"/>
      <c r="GT37" s="475"/>
      <c r="GU37" s="475"/>
      <c r="GV37" s="475"/>
      <c r="GW37" s="475"/>
      <c r="GX37" s="475"/>
      <c r="GY37" s="475"/>
      <c r="GZ37" s="475"/>
      <c r="HA37" s="475"/>
      <c r="HB37" s="475"/>
      <c r="HC37" s="475"/>
      <c r="HD37" s="475"/>
      <c r="HE37" s="475"/>
      <c r="HF37" s="475"/>
      <c r="HG37" s="475"/>
      <c r="HH37" s="475"/>
      <c r="HI37" s="475"/>
      <c r="HJ37" s="475"/>
      <c r="HK37" s="475"/>
      <c r="HL37" s="475"/>
      <c r="HM37" s="475"/>
      <c r="HN37" s="475"/>
      <c r="HO37" s="475"/>
      <c r="HP37" s="475"/>
      <c r="HQ37" s="475"/>
      <c r="HR37" s="475"/>
      <c r="HS37" s="475"/>
      <c r="HT37" s="475"/>
      <c r="HU37" s="475"/>
      <c r="HV37" s="475"/>
      <c r="HW37" s="475"/>
      <c r="HX37" s="475"/>
      <c r="HY37" s="475"/>
      <c r="HZ37" s="475"/>
      <c r="IA37" s="475"/>
      <c r="IB37" s="475"/>
      <c r="IC37" s="475"/>
      <c r="ID37" s="475"/>
      <c r="IE37" s="475"/>
      <c r="IF37" s="475"/>
      <c r="IG37" s="475"/>
      <c r="IH37" s="475"/>
      <c r="II37" s="475"/>
      <c r="IJ37" s="475"/>
      <c r="IK37" s="475"/>
      <c r="IL37" s="475"/>
      <c r="IM37" s="475"/>
      <c r="IN37" s="475"/>
      <c r="IO37" s="475"/>
      <c r="IP37" s="475"/>
      <c r="IQ37" s="475"/>
      <c r="IR37" s="475"/>
      <c r="IS37" s="475"/>
      <c r="IT37" s="475"/>
      <c r="IU37" s="475"/>
      <c r="IV37" s="475"/>
      <c r="IW37" s="475"/>
    </row>
    <row r="38" customFormat="false" ht="12.75" hidden="false" customHeight="false" outlineLevel="0" collapsed="false">
      <c r="B38" s="475"/>
      <c r="C38" s="475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  <c r="DJ38" s="475"/>
      <c r="DK38" s="475"/>
      <c r="DL38" s="475"/>
      <c r="DM38" s="475"/>
      <c r="DN38" s="475"/>
      <c r="DO38" s="475"/>
      <c r="DP38" s="475"/>
      <c r="DQ38" s="475"/>
      <c r="DR38" s="475"/>
      <c r="DS38" s="475"/>
      <c r="DT38" s="475"/>
      <c r="DU38" s="475"/>
      <c r="DV38" s="475"/>
      <c r="DW38" s="475"/>
      <c r="DX38" s="475"/>
      <c r="DY38" s="475"/>
      <c r="DZ38" s="475"/>
      <c r="EA38" s="475"/>
      <c r="EB38" s="475"/>
      <c r="EC38" s="475"/>
      <c r="ED38" s="475"/>
      <c r="EE38" s="475"/>
      <c r="EF38" s="475"/>
      <c r="EG38" s="475"/>
      <c r="EH38" s="475"/>
      <c r="EI38" s="475"/>
      <c r="EJ38" s="475"/>
      <c r="EK38" s="475"/>
      <c r="EL38" s="475"/>
      <c r="EM38" s="475"/>
      <c r="EN38" s="475"/>
      <c r="EO38" s="475"/>
      <c r="EP38" s="475"/>
      <c r="EQ38" s="475"/>
      <c r="ER38" s="475"/>
      <c r="ES38" s="475"/>
      <c r="ET38" s="475"/>
      <c r="EU38" s="475"/>
      <c r="EV38" s="475"/>
      <c r="EW38" s="475"/>
      <c r="EX38" s="475"/>
      <c r="EY38" s="475"/>
      <c r="EZ38" s="475"/>
      <c r="FA38" s="475"/>
      <c r="FB38" s="475"/>
      <c r="FC38" s="475"/>
      <c r="FD38" s="475"/>
      <c r="FE38" s="475"/>
      <c r="FF38" s="475"/>
      <c r="FG38" s="475"/>
      <c r="FH38" s="475"/>
      <c r="FI38" s="475"/>
      <c r="FJ38" s="475"/>
      <c r="FK38" s="475"/>
      <c r="FL38" s="475"/>
      <c r="FM38" s="475"/>
      <c r="FN38" s="475"/>
      <c r="FO38" s="475"/>
      <c r="FP38" s="475"/>
      <c r="FQ38" s="475"/>
      <c r="FR38" s="475"/>
      <c r="FS38" s="475"/>
      <c r="FT38" s="475"/>
      <c r="FU38" s="475"/>
      <c r="FV38" s="475"/>
      <c r="FW38" s="475"/>
      <c r="FX38" s="475"/>
      <c r="FY38" s="475"/>
      <c r="FZ38" s="475"/>
      <c r="GA38" s="475"/>
      <c r="GB38" s="475"/>
      <c r="GC38" s="475"/>
      <c r="GD38" s="475"/>
      <c r="GE38" s="475"/>
      <c r="GF38" s="475"/>
      <c r="GG38" s="475"/>
      <c r="GH38" s="475"/>
      <c r="GI38" s="475"/>
      <c r="GJ38" s="475"/>
      <c r="GK38" s="475"/>
      <c r="GL38" s="475"/>
      <c r="GM38" s="475"/>
      <c r="GN38" s="475"/>
      <c r="GO38" s="475"/>
      <c r="GP38" s="475"/>
      <c r="GQ38" s="475"/>
      <c r="GR38" s="475"/>
      <c r="GS38" s="475"/>
      <c r="GT38" s="475"/>
      <c r="GU38" s="475"/>
      <c r="GV38" s="475"/>
      <c r="GW38" s="475"/>
      <c r="GX38" s="475"/>
      <c r="GY38" s="475"/>
      <c r="GZ38" s="475"/>
      <c r="HA38" s="475"/>
      <c r="HB38" s="475"/>
      <c r="HC38" s="475"/>
      <c r="HD38" s="475"/>
      <c r="HE38" s="475"/>
      <c r="HF38" s="475"/>
      <c r="HG38" s="475"/>
      <c r="HH38" s="475"/>
      <c r="HI38" s="475"/>
      <c r="HJ38" s="475"/>
      <c r="HK38" s="475"/>
      <c r="HL38" s="475"/>
      <c r="HM38" s="475"/>
      <c r="HN38" s="475"/>
      <c r="HO38" s="475"/>
      <c r="HP38" s="475"/>
      <c r="HQ38" s="475"/>
      <c r="HR38" s="475"/>
      <c r="HS38" s="475"/>
      <c r="HT38" s="475"/>
      <c r="HU38" s="475"/>
      <c r="HV38" s="475"/>
      <c r="HW38" s="475"/>
      <c r="HX38" s="475"/>
      <c r="HY38" s="475"/>
      <c r="HZ38" s="475"/>
      <c r="IA38" s="475"/>
      <c r="IB38" s="475"/>
      <c r="IC38" s="475"/>
      <c r="ID38" s="475"/>
      <c r="IE38" s="475"/>
      <c r="IF38" s="475"/>
      <c r="IG38" s="475"/>
      <c r="IH38" s="475"/>
      <c r="II38" s="475"/>
      <c r="IJ38" s="475"/>
      <c r="IK38" s="475"/>
      <c r="IL38" s="475"/>
      <c r="IM38" s="475"/>
      <c r="IN38" s="475"/>
      <c r="IO38" s="475"/>
      <c r="IP38" s="475"/>
      <c r="IQ38" s="475"/>
      <c r="IR38" s="475"/>
      <c r="IS38" s="475"/>
      <c r="IT38" s="475"/>
      <c r="IU38" s="475"/>
      <c r="IV38" s="475"/>
      <c r="IW38" s="475"/>
    </row>
    <row r="39" customFormat="false" ht="12.75" hidden="false" customHeight="false" outlineLevel="0" collapsed="false">
      <c r="A39" s="472" t="s">
        <v>411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  <c r="DJ39" s="475"/>
      <c r="DK39" s="475"/>
      <c r="DL39" s="475"/>
      <c r="DM39" s="475"/>
      <c r="DN39" s="475"/>
      <c r="DO39" s="475"/>
      <c r="DP39" s="475"/>
      <c r="DQ39" s="475"/>
      <c r="DR39" s="475"/>
      <c r="DS39" s="475"/>
      <c r="DT39" s="475"/>
      <c r="DU39" s="475"/>
      <c r="DV39" s="475"/>
      <c r="DW39" s="475"/>
      <c r="DX39" s="475"/>
      <c r="DY39" s="475"/>
      <c r="DZ39" s="475"/>
      <c r="EA39" s="475"/>
      <c r="EB39" s="475"/>
      <c r="EC39" s="475"/>
      <c r="ED39" s="475"/>
      <c r="EE39" s="475"/>
      <c r="EF39" s="475"/>
      <c r="EG39" s="475"/>
      <c r="EH39" s="475"/>
      <c r="EI39" s="475"/>
      <c r="EJ39" s="475"/>
      <c r="EK39" s="475"/>
      <c r="EL39" s="475"/>
      <c r="EM39" s="475"/>
      <c r="EN39" s="475"/>
      <c r="EO39" s="475"/>
      <c r="EP39" s="475"/>
      <c r="EQ39" s="475"/>
      <c r="ER39" s="475"/>
      <c r="ES39" s="475"/>
      <c r="ET39" s="475"/>
      <c r="EU39" s="475"/>
      <c r="EV39" s="475"/>
      <c r="EW39" s="475"/>
      <c r="EX39" s="475"/>
      <c r="EY39" s="475"/>
      <c r="EZ39" s="475"/>
      <c r="FA39" s="475"/>
      <c r="FB39" s="475"/>
      <c r="FC39" s="475"/>
      <c r="FD39" s="475"/>
      <c r="FE39" s="475"/>
      <c r="FF39" s="475"/>
      <c r="FG39" s="475"/>
      <c r="FH39" s="475"/>
      <c r="FI39" s="475"/>
      <c r="FJ39" s="475"/>
      <c r="FK39" s="475"/>
      <c r="FL39" s="475"/>
      <c r="FM39" s="475"/>
      <c r="FN39" s="475"/>
      <c r="FO39" s="475"/>
      <c r="FP39" s="475"/>
      <c r="FQ39" s="475"/>
      <c r="FR39" s="475"/>
      <c r="FS39" s="475"/>
      <c r="FT39" s="475"/>
      <c r="FU39" s="475"/>
      <c r="FV39" s="475"/>
      <c r="FW39" s="475"/>
      <c r="FX39" s="475"/>
      <c r="FY39" s="475"/>
      <c r="FZ39" s="475"/>
      <c r="GA39" s="475"/>
      <c r="GB39" s="475"/>
      <c r="GC39" s="475"/>
      <c r="GD39" s="475"/>
      <c r="GE39" s="475"/>
      <c r="GF39" s="475"/>
      <c r="GG39" s="475"/>
      <c r="GH39" s="475"/>
      <c r="GI39" s="475"/>
      <c r="GJ39" s="475"/>
      <c r="GK39" s="475"/>
      <c r="GL39" s="475"/>
      <c r="GM39" s="475"/>
      <c r="GN39" s="475"/>
      <c r="GO39" s="475"/>
      <c r="GP39" s="475"/>
      <c r="GQ39" s="475"/>
      <c r="GR39" s="475"/>
      <c r="GS39" s="475"/>
      <c r="GT39" s="475"/>
      <c r="GU39" s="475"/>
      <c r="GV39" s="475"/>
      <c r="GW39" s="475"/>
      <c r="GX39" s="475"/>
      <c r="GY39" s="475"/>
      <c r="GZ39" s="475"/>
      <c r="HA39" s="475"/>
      <c r="HB39" s="475"/>
      <c r="HC39" s="475"/>
      <c r="HD39" s="475"/>
      <c r="HE39" s="475"/>
      <c r="HF39" s="475"/>
      <c r="HG39" s="475"/>
      <c r="HH39" s="475"/>
      <c r="HI39" s="475"/>
      <c r="HJ39" s="475"/>
      <c r="HK39" s="475"/>
      <c r="HL39" s="475"/>
      <c r="HM39" s="475"/>
      <c r="HN39" s="475"/>
      <c r="HO39" s="475"/>
      <c r="HP39" s="475"/>
      <c r="HQ39" s="475"/>
      <c r="HR39" s="475"/>
      <c r="HS39" s="475"/>
      <c r="HT39" s="475"/>
      <c r="HU39" s="475"/>
      <c r="HV39" s="475"/>
      <c r="HW39" s="475"/>
      <c r="HX39" s="475"/>
      <c r="HY39" s="475"/>
      <c r="HZ39" s="475"/>
      <c r="IA39" s="475"/>
      <c r="IB39" s="475"/>
      <c r="IC39" s="475"/>
      <c r="ID39" s="475"/>
      <c r="IE39" s="475"/>
      <c r="IF39" s="475"/>
      <c r="IG39" s="475"/>
      <c r="IH39" s="475"/>
      <c r="II39" s="475"/>
      <c r="IJ39" s="475"/>
      <c r="IK39" s="475"/>
      <c r="IL39" s="475"/>
      <c r="IM39" s="475"/>
      <c r="IN39" s="475"/>
      <c r="IO39" s="475"/>
      <c r="IP39" s="475"/>
      <c r="IQ39" s="475"/>
      <c r="IR39" s="475"/>
      <c r="IS39" s="475"/>
      <c r="IT39" s="475"/>
      <c r="IU39" s="475"/>
      <c r="IV39" s="475"/>
      <c r="IW39" s="475"/>
    </row>
    <row r="40" customFormat="false" ht="12.75" hidden="false" customHeight="false" outlineLevel="0" collapsed="false">
      <c r="A40" s="472"/>
      <c r="B40" s="476" t="s">
        <v>404</v>
      </c>
      <c r="C40" s="498" t="s">
        <v>412</v>
      </c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475"/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  <c r="DJ40" s="475"/>
      <c r="DK40" s="475"/>
      <c r="DL40" s="475"/>
      <c r="DM40" s="475"/>
      <c r="DN40" s="475"/>
      <c r="DO40" s="475"/>
      <c r="DP40" s="475"/>
      <c r="DQ40" s="475"/>
      <c r="DR40" s="475"/>
      <c r="DS40" s="475"/>
      <c r="DT40" s="475"/>
      <c r="DU40" s="475"/>
      <c r="DV40" s="475"/>
      <c r="DW40" s="475"/>
      <c r="DX40" s="475"/>
      <c r="DY40" s="475"/>
      <c r="DZ40" s="475"/>
      <c r="EA40" s="475"/>
      <c r="EB40" s="475"/>
      <c r="EC40" s="475"/>
      <c r="ED40" s="475"/>
      <c r="EE40" s="475"/>
      <c r="EF40" s="475"/>
      <c r="EG40" s="475"/>
      <c r="EH40" s="475"/>
      <c r="EI40" s="475"/>
      <c r="EJ40" s="475"/>
      <c r="EK40" s="475"/>
      <c r="EL40" s="475"/>
      <c r="EM40" s="475"/>
      <c r="EN40" s="475"/>
      <c r="EO40" s="475"/>
      <c r="EP40" s="475"/>
      <c r="EQ40" s="475"/>
      <c r="ER40" s="475"/>
      <c r="ES40" s="475"/>
      <c r="ET40" s="475"/>
      <c r="EU40" s="475"/>
      <c r="EV40" s="475"/>
      <c r="EW40" s="475"/>
      <c r="EX40" s="475"/>
      <c r="EY40" s="475"/>
      <c r="EZ40" s="475"/>
      <c r="FA40" s="475"/>
      <c r="FB40" s="475"/>
      <c r="FC40" s="475"/>
      <c r="FD40" s="475"/>
      <c r="FE40" s="475"/>
      <c r="FF40" s="475"/>
      <c r="FG40" s="475"/>
      <c r="FH40" s="475"/>
      <c r="FI40" s="475"/>
      <c r="FJ40" s="475"/>
      <c r="FK40" s="475"/>
      <c r="FL40" s="475"/>
      <c r="FM40" s="475"/>
      <c r="FN40" s="475"/>
      <c r="FO40" s="475"/>
      <c r="FP40" s="475"/>
      <c r="FQ40" s="475"/>
      <c r="FR40" s="475"/>
      <c r="FS40" s="475"/>
      <c r="FT40" s="475"/>
      <c r="FU40" s="475"/>
      <c r="FV40" s="475"/>
      <c r="FW40" s="475"/>
      <c r="FX40" s="475"/>
      <c r="FY40" s="475"/>
      <c r="FZ40" s="475"/>
      <c r="GA40" s="475"/>
      <c r="GB40" s="475"/>
      <c r="GC40" s="475"/>
      <c r="GD40" s="475"/>
      <c r="GE40" s="475"/>
      <c r="GF40" s="475"/>
      <c r="GG40" s="475"/>
      <c r="GH40" s="475"/>
      <c r="GI40" s="475"/>
      <c r="GJ40" s="475"/>
      <c r="GK40" s="475"/>
      <c r="GL40" s="475"/>
      <c r="GM40" s="475"/>
      <c r="GN40" s="475"/>
      <c r="GO40" s="475"/>
      <c r="GP40" s="475"/>
      <c r="GQ40" s="475"/>
      <c r="GR40" s="475"/>
      <c r="GS40" s="475"/>
      <c r="GT40" s="475"/>
      <c r="GU40" s="475"/>
      <c r="GV40" s="475"/>
      <c r="GW40" s="475"/>
      <c r="GX40" s="475"/>
      <c r="GY40" s="475"/>
      <c r="GZ40" s="475"/>
      <c r="HA40" s="475"/>
      <c r="HB40" s="475"/>
      <c r="HC40" s="475"/>
      <c r="HD40" s="475"/>
      <c r="HE40" s="475"/>
      <c r="HF40" s="475"/>
      <c r="HG40" s="475"/>
      <c r="HH40" s="475"/>
      <c r="HI40" s="475"/>
      <c r="HJ40" s="475"/>
      <c r="HK40" s="475"/>
      <c r="HL40" s="475"/>
      <c r="HM40" s="475"/>
      <c r="HN40" s="475"/>
      <c r="HO40" s="475"/>
      <c r="HP40" s="475"/>
      <c r="HQ40" s="475"/>
      <c r="HR40" s="475"/>
      <c r="HS40" s="475"/>
      <c r="HT40" s="475"/>
      <c r="HU40" s="475"/>
      <c r="HV40" s="475"/>
      <c r="HW40" s="475"/>
      <c r="HX40" s="475"/>
      <c r="HY40" s="475"/>
      <c r="HZ40" s="475"/>
      <c r="IA40" s="475"/>
      <c r="IB40" s="475"/>
      <c r="IC40" s="475"/>
      <c r="ID40" s="475"/>
      <c r="IE40" s="475"/>
      <c r="IF40" s="475"/>
      <c r="IG40" s="475"/>
      <c r="IH40" s="475"/>
      <c r="II40" s="475"/>
      <c r="IJ40" s="475"/>
      <c r="IK40" s="475"/>
      <c r="IL40" s="475"/>
      <c r="IM40" s="475"/>
      <c r="IN40" s="475"/>
      <c r="IO40" s="475"/>
      <c r="IP40" s="475"/>
      <c r="IQ40" s="475"/>
      <c r="IR40" s="475"/>
      <c r="IS40" s="475"/>
      <c r="IT40" s="475"/>
      <c r="IU40" s="475"/>
      <c r="IV40" s="475"/>
      <c r="IW40" s="475"/>
    </row>
    <row r="41" customFormat="false" ht="12.75" hidden="false" customHeight="false" outlineLevel="0" collapsed="false">
      <c r="A41" s="479" t="s">
        <v>413</v>
      </c>
      <c r="B41" s="480" t="n">
        <f aca="false">Assumptions!$N$44</f>
        <v>30</v>
      </c>
      <c r="C41" s="499" t="n">
        <f aca="false">Assumptions!P44</f>
        <v>0.1</v>
      </c>
      <c r="D41" s="477" t="n">
        <f aca="false">1/Assumptions!$N$44*D6*(1-$C$41)</f>
        <v>0.02</v>
      </c>
      <c r="E41" s="47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  <c r="DJ41" s="475"/>
      <c r="DK41" s="475"/>
      <c r="DL41" s="475"/>
      <c r="DM41" s="475"/>
      <c r="DN41" s="475"/>
      <c r="DO41" s="475"/>
      <c r="DP41" s="475"/>
      <c r="DQ41" s="475"/>
      <c r="DR41" s="475"/>
      <c r="DS41" s="475"/>
      <c r="DT41" s="475"/>
      <c r="DU41" s="475"/>
      <c r="DV41" s="475"/>
      <c r="DW41" s="475"/>
      <c r="DX41" s="475"/>
      <c r="DY41" s="475"/>
      <c r="DZ41" s="475"/>
      <c r="EA41" s="475"/>
      <c r="EB41" s="475"/>
      <c r="EC41" s="475"/>
      <c r="ED41" s="475"/>
      <c r="EE41" s="475"/>
      <c r="EF41" s="475"/>
      <c r="EG41" s="475"/>
      <c r="EH41" s="475"/>
      <c r="EI41" s="475"/>
      <c r="EJ41" s="475"/>
      <c r="EK41" s="475"/>
      <c r="EL41" s="475"/>
      <c r="EM41" s="475"/>
      <c r="EN41" s="475"/>
      <c r="EO41" s="475"/>
      <c r="EP41" s="475"/>
      <c r="EQ41" s="475"/>
      <c r="ER41" s="475"/>
      <c r="ES41" s="475"/>
      <c r="ET41" s="475"/>
      <c r="EU41" s="475"/>
      <c r="EV41" s="475"/>
      <c r="EW41" s="475"/>
      <c r="EX41" s="475"/>
      <c r="EY41" s="475"/>
      <c r="EZ41" s="475"/>
      <c r="FA41" s="475"/>
      <c r="FB41" s="475"/>
      <c r="FC41" s="475"/>
      <c r="FD41" s="475"/>
      <c r="FE41" s="475"/>
      <c r="FF41" s="475"/>
      <c r="FG41" s="475"/>
      <c r="FH41" s="475"/>
      <c r="FI41" s="475"/>
      <c r="FJ41" s="475"/>
      <c r="FK41" s="475"/>
      <c r="FL41" s="475"/>
      <c r="FM41" s="475"/>
      <c r="FN41" s="475"/>
      <c r="FO41" s="475"/>
      <c r="FP41" s="475"/>
      <c r="FQ41" s="475"/>
      <c r="FR41" s="475"/>
      <c r="FS41" s="475"/>
      <c r="FT41" s="475"/>
      <c r="FU41" s="475"/>
      <c r="FV41" s="475"/>
      <c r="FW41" s="475"/>
      <c r="FX41" s="475"/>
      <c r="FY41" s="475"/>
      <c r="FZ41" s="475"/>
      <c r="GA41" s="475"/>
      <c r="GB41" s="475"/>
      <c r="GC41" s="475"/>
      <c r="GD41" s="475"/>
      <c r="GE41" s="475"/>
      <c r="GF41" s="475"/>
      <c r="GG41" s="475"/>
      <c r="GH41" s="475"/>
      <c r="GI41" s="475"/>
      <c r="GJ41" s="475"/>
      <c r="GK41" s="475"/>
      <c r="GL41" s="475"/>
      <c r="GM41" s="475"/>
      <c r="GN41" s="475"/>
      <c r="GO41" s="475"/>
      <c r="GP41" s="475"/>
      <c r="GQ41" s="475"/>
      <c r="GR41" s="475"/>
      <c r="GS41" s="475"/>
      <c r="GT41" s="475"/>
      <c r="GU41" s="475"/>
      <c r="GV41" s="475"/>
      <c r="GW41" s="475"/>
      <c r="GX41" s="475"/>
      <c r="GY41" s="475"/>
      <c r="GZ41" s="475"/>
      <c r="HA41" s="475"/>
      <c r="HB41" s="475"/>
      <c r="HC41" s="475"/>
      <c r="HD41" s="475"/>
      <c r="HE41" s="475"/>
      <c r="HF41" s="475"/>
      <c r="HG41" s="475"/>
      <c r="HH41" s="475"/>
      <c r="HI41" s="475"/>
      <c r="HJ41" s="475"/>
      <c r="HK41" s="475"/>
      <c r="HL41" s="475"/>
      <c r="HM41" s="475"/>
      <c r="HN41" s="475"/>
      <c r="HO41" s="475"/>
      <c r="HP41" s="475"/>
      <c r="HQ41" s="475"/>
      <c r="HR41" s="475"/>
      <c r="HS41" s="475"/>
      <c r="HT41" s="475"/>
      <c r="HU41" s="475"/>
      <c r="HV41" s="475"/>
      <c r="HW41" s="475"/>
      <c r="HX41" s="475"/>
      <c r="HY41" s="475"/>
      <c r="HZ41" s="475"/>
      <c r="IA41" s="475"/>
      <c r="IB41" s="475"/>
      <c r="IC41" s="475"/>
      <c r="ID41" s="475"/>
      <c r="IE41" s="475"/>
      <c r="IF41" s="475"/>
      <c r="IG41" s="475"/>
      <c r="IH41" s="475"/>
      <c r="II41" s="475"/>
      <c r="IJ41" s="475"/>
      <c r="IK41" s="475"/>
      <c r="IL41" s="475"/>
      <c r="IM41" s="475"/>
      <c r="IN41" s="475"/>
      <c r="IO41" s="475"/>
      <c r="IP41" s="475"/>
      <c r="IQ41" s="475"/>
      <c r="IR41" s="475"/>
      <c r="IS41" s="475"/>
      <c r="IT41" s="475"/>
      <c r="IU41" s="475"/>
      <c r="IV41" s="475"/>
      <c r="IW41" s="475"/>
    </row>
    <row r="42" customFormat="false" ht="12.75" hidden="false" customHeight="false" outlineLevel="0" collapsed="false">
      <c r="A42" s="479" t="s">
        <v>406</v>
      </c>
      <c r="B42" s="480" t="n">
        <f aca="false">Assumptions!$N$40</f>
        <v>5</v>
      </c>
      <c r="C42" s="481"/>
      <c r="D42" s="477" t="n">
        <f aca="false">D13</f>
        <v>0.133333333333333</v>
      </c>
      <c r="E42" s="477" t="n">
        <f aca="false">E13</f>
        <v>0.2</v>
      </c>
      <c r="F42" s="477" t="n">
        <f aca="false">F13</f>
        <v>0.2</v>
      </c>
      <c r="G42" s="477" t="n">
        <f aca="false">G13</f>
        <v>0.2</v>
      </c>
      <c r="H42" s="477" t="n">
        <f aca="false">H13</f>
        <v>0.2</v>
      </c>
      <c r="I42" s="477" t="n">
        <f aca="false">I13</f>
        <v>0.0666666666666667</v>
      </c>
      <c r="J42" s="477" t="n">
        <f aca="false">J13</f>
        <v>0</v>
      </c>
      <c r="K42" s="477" t="n">
        <f aca="false">K13</f>
        <v>0</v>
      </c>
      <c r="L42" s="477" t="n">
        <f aca="false">L13</f>
        <v>0</v>
      </c>
      <c r="M42" s="477" t="n">
        <f aca="false">M13</f>
        <v>0</v>
      </c>
      <c r="N42" s="477" t="n">
        <f aca="false">N13</f>
        <v>0</v>
      </c>
      <c r="O42" s="477" t="n">
        <f aca="false">O13</f>
        <v>0</v>
      </c>
      <c r="P42" s="477" t="n">
        <f aca="false">P13</f>
        <v>0</v>
      </c>
      <c r="Q42" s="477" t="n">
        <f aca="false">Q13</f>
        <v>0</v>
      </c>
      <c r="R42" s="477" t="n">
        <f aca="false">R13</f>
        <v>0</v>
      </c>
      <c r="S42" s="477" t="n">
        <f aca="false">S13</f>
        <v>0</v>
      </c>
      <c r="T42" s="477" t="n">
        <f aca="false">T13</f>
        <v>0</v>
      </c>
      <c r="U42" s="477" t="n">
        <f aca="false">U13</f>
        <v>0</v>
      </c>
      <c r="V42" s="477" t="n">
        <f aca="false">V13</f>
        <v>0</v>
      </c>
      <c r="W42" s="477" t="n">
        <f aca="false">W13</f>
        <v>0</v>
      </c>
      <c r="X42" s="477" t="n">
        <f aca="false">X13</f>
        <v>0</v>
      </c>
      <c r="Y42" s="477" t="n">
        <f aca="false">Y13</f>
        <v>0</v>
      </c>
      <c r="Z42" s="477" t="n">
        <f aca="false">Z13</f>
        <v>0</v>
      </c>
      <c r="AA42" s="477" t="n">
        <f aca="false">AA13</f>
        <v>0</v>
      </c>
      <c r="AB42" s="477" t="n">
        <f aca="false">AB13</f>
        <v>0</v>
      </c>
      <c r="AC42" s="477" t="n">
        <f aca="false">AC13</f>
        <v>0</v>
      </c>
      <c r="AD42" s="477" t="n">
        <f aca="false">AD13</f>
        <v>0</v>
      </c>
      <c r="AE42" s="477" t="n">
        <f aca="false">AE13</f>
        <v>0</v>
      </c>
      <c r="AF42" s="477" t="n">
        <f aca="false">AF13</f>
        <v>0</v>
      </c>
      <c r="AG42" s="477" t="n">
        <f aca="false">AG13</f>
        <v>0</v>
      </c>
      <c r="AH42" s="477" t="n">
        <f aca="false">AH13</f>
        <v>0</v>
      </c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  <c r="DJ42" s="475"/>
      <c r="DK42" s="475"/>
      <c r="DL42" s="475"/>
      <c r="DM42" s="475"/>
      <c r="DN42" s="475"/>
      <c r="DO42" s="475"/>
      <c r="DP42" s="475"/>
      <c r="DQ42" s="475"/>
      <c r="DR42" s="475"/>
      <c r="DS42" s="475"/>
      <c r="DT42" s="475"/>
      <c r="DU42" s="475"/>
      <c r="DV42" s="475"/>
      <c r="DW42" s="475"/>
      <c r="DX42" s="475"/>
      <c r="DY42" s="475"/>
      <c r="DZ42" s="475"/>
      <c r="EA42" s="475"/>
      <c r="EB42" s="475"/>
      <c r="EC42" s="475"/>
      <c r="ED42" s="475"/>
      <c r="EE42" s="475"/>
      <c r="EF42" s="475"/>
      <c r="EG42" s="475"/>
      <c r="EH42" s="475"/>
      <c r="EI42" s="475"/>
      <c r="EJ42" s="475"/>
      <c r="EK42" s="475"/>
      <c r="EL42" s="475"/>
      <c r="EM42" s="475"/>
      <c r="EN42" s="475"/>
      <c r="EO42" s="475"/>
      <c r="EP42" s="475"/>
      <c r="EQ42" s="475"/>
      <c r="ER42" s="475"/>
      <c r="ES42" s="475"/>
      <c r="ET42" s="475"/>
      <c r="EU42" s="475"/>
      <c r="EV42" s="475"/>
      <c r="EW42" s="475"/>
      <c r="EX42" s="475"/>
      <c r="EY42" s="475"/>
      <c r="EZ42" s="475"/>
      <c r="FA42" s="475"/>
      <c r="FB42" s="475"/>
      <c r="FC42" s="475"/>
      <c r="FD42" s="475"/>
      <c r="FE42" s="475"/>
      <c r="FF42" s="475"/>
      <c r="FG42" s="475"/>
      <c r="FH42" s="475"/>
      <c r="FI42" s="475"/>
      <c r="FJ42" s="475"/>
      <c r="FK42" s="475"/>
      <c r="FL42" s="475"/>
      <c r="FM42" s="475"/>
      <c r="FN42" s="475"/>
      <c r="FO42" s="475"/>
      <c r="FP42" s="475"/>
      <c r="FQ42" s="475"/>
      <c r="FR42" s="475"/>
      <c r="FS42" s="475"/>
      <c r="FT42" s="475"/>
      <c r="FU42" s="475"/>
      <c r="FV42" s="475"/>
      <c r="FW42" s="475"/>
      <c r="FX42" s="475"/>
      <c r="FY42" s="475"/>
      <c r="FZ42" s="475"/>
      <c r="GA42" s="475"/>
      <c r="GB42" s="475"/>
      <c r="GC42" s="475"/>
      <c r="GD42" s="475"/>
      <c r="GE42" s="475"/>
      <c r="GF42" s="475"/>
      <c r="GG42" s="475"/>
      <c r="GH42" s="475"/>
      <c r="GI42" s="475"/>
      <c r="GJ42" s="475"/>
      <c r="GK42" s="475"/>
      <c r="GL42" s="475"/>
      <c r="GM42" s="475"/>
      <c r="GN42" s="475"/>
      <c r="GO42" s="475"/>
      <c r="GP42" s="475"/>
      <c r="GQ42" s="475"/>
      <c r="GR42" s="475"/>
      <c r="GS42" s="475"/>
      <c r="GT42" s="475"/>
      <c r="GU42" s="475"/>
      <c r="GV42" s="475"/>
      <c r="GW42" s="475"/>
      <c r="GX42" s="475"/>
      <c r="GY42" s="475"/>
      <c r="GZ42" s="475"/>
      <c r="HA42" s="475"/>
      <c r="HB42" s="475"/>
      <c r="HC42" s="475"/>
      <c r="HD42" s="475"/>
      <c r="HE42" s="475"/>
      <c r="HF42" s="475"/>
      <c r="HG42" s="475"/>
      <c r="HH42" s="475"/>
      <c r="HI42" s="475"/>
      <c r="HJ42" s="475"/>
      <c r="HK42" s="475"/>
      <c r="HL42" s="475"/>
      <c r="HM42" s="475"/>
      <c r="HN42" s="475"/>
      <c r="HO42" s="475"/>
      <c r="HP42" s="475"/>
      <c r="HQ42" s="475"/>
      <c r="HR42" s="475"/>
      <c r="HS42" s="475"/>
      <c r="HT42" s="475"/>
      <c r="HU42" s="475"/>
      <c r="HV42" s="475"/>
      <c r="HW42" s="475"/>
      <c r="HX42" s="475"/>
      <c r="HY42" s="475"/>
      <c r="HZ42" s="475"/>
      <c r="IA42" s="475"/>
      <c r="IB42" s="475"/>
      <c r="IC42" s="475"/>
      <c r="ID42" s="475"/>
      <c r="IE42" s="475"/>
      <c r="IF42" s="475"/>
      <c r="IG42" s="475"/>
      <c r="IH42" s="475"/>
      <c r="II42" s="475"/>
      <c r="IJ42" s="475"/>
      <c r="IK42" s="475"/>
      <c r="IL42" s="475"/>
      <c r="IM42" s="475"/>
      <c r="IN42" s="475"/>
      <c r="IO42" s="475"/>
      <c r="IP42" s="475"/>
      <c r="IQ42" s="475"/>
      <c r="IR42" s="475"/>
      <c r="IS42" s="475"/>
      <c r="IT42" s="475"/>
      <c r="IU42" s="475"/>
      <c r="IV42" s="475"/>
      <c r="IW42" s="475"/>
    </row>
    <row r="43" customFormat="false" ht="12.75" hidden="false" customHeight="false" outlineLevel="0" collapsed="false">
      <c r="A43" s="482" t="s">
        <v>407</v>
      </c>
      <c r="B43" s="486" t="n">
        <f aca="false">Assumptions!$N$46</f>
        <v>20</v>
      </c>
      <c r="D43" s="477" t="n">
        <f aca="false">1/Assumptions!$N$46*D6</f>
        <v>0.0333333333333333</v>
      </c>
      <c r="E43" s="477" t="n">
        <f aca="false">IF(AND(E6&gt;=Assumptions!$N$46,D6&lt;Assumptions!$N$46),1/Assumptions!$N$46-Depreciation!$D$43,IF(E6&lt;Assumptions!$N$46,1/Assumptions!$N$46,0))</f>
        <v>0.05</v>
      </c>
      <c r="F43" s="477" t="n">
        <f aca="false">IF(AND(F6&gt;=Assumptions!$N$46,E6&lt;Assumptions!$N$46),1/Assumptions!$N$46-Depreciation!$D$43,IF(F6&lt;Assumptions!$N$46,1/Assumptions!$N$46,0))</f>
        <v>0.05</v>
      </c>
      <c r="G43" s="477" t="n">
        <f aca="false">IF(AND(G6&gt;=Assumptions!$N$46,F6&lt;Assumptions!$N$46),1/Assumptions!$N$46-Depreciation!$D$43,IF(G6&lt;Assumptions!$N$46,1/Assumptions!$N$46,0))</f>
        <v>0.05</v>
      </c>
      <c r="H43" s="477" t="n">
        <f aca="false">IF(AND(H6&gt;=Assumptions!$N$46,G6&lt;Assumptions!$N$46),1/Assumptions!$N$46-Depreciation!$D$43,IF(H6&lt;Assumptions!$N$46,1/Assumptions!$N$46,0))</f>
        <v>0.05</v>
      </c>
      <c r="I43" s="477" t="n">
        <f aca="false">IF(AND(I6&gt;=Assumptions!$N$46,H6&lt;Assumptions!$N$46),1/Assumptions!$N$46-Depreciation!$D$43,IF(I6&lt;Assumptions!$N$46,1/Assumptions!$N$46,0))</f>
        <v>0.05</v>
      </c>
      <c r="J43" s="477" t="n">
        <f aca="false">IF(AND(J6&gt;=Assumptions!$N$46,I6&lt;Assumptions!$N$46),1/Assumptions!$N$46-Depreciation!$D$43,IF(J6&lt;Assumptions!$N$46,1/Assumptions!$N$46,0))</f>
        <v>0.05</v>
      </c>
      <c r="K43" s="477" t="n">
        <f aca="false">IF(AND(K6&gt;=Assumptions!$N$46,J6&lt;Assumptions!$N$46),1/Assumptions!$N$46-Depreciation!$D$43,IF(K6&lt;Assumptions!$N$46,1/Assumptions!$N$46,0))</f>
        <v>0.05</v>
      </c>
      <c r="L43" s="477" t="n">
        <f aca="false">IF(AND(L6&gt;=Assumptions!$N$46,K6&lt;Assumptions!$N$46),1/Assumptions!$N$46-Depreciation!$D$43,IF(L6&lt;Assumptions!$N$46,1/Assumptions!$N$46,0))</f>
        <v>0.05</v>
      </c>
      <c r="M43" s="477" t="n">
        <f aca="false">IF(AND(M6&gt;=Assumptions!$N$46,L6&lt;Assumptions!$N$46),1/Assumptions!$N$46-Depreciation!$D$43,IF(M6&lt;Assumptions!$N$46,1/Assumptions!$N$46,0))</f>
        <v>0.05</v>
      </c>
      <c r="N43" s="477" t="n">
        <f aca="false">IF(AND(N6&gt;=Assumptions!$N$46,M6&lt;Assumptions!$N$46),1/Assumptions!$N$46-Depreciation!$D$43,IF(N6&lt;Assumptions!$N$46,1/Assumptions!$N$46,0))</f>
        <v>0.05</v>
      </c>
      <c r="O43" s="477" t="n">
        <f aca="false">IF(AND(O6&gt;=Assumptions!$N$46,N6&lt;Assumptions!$N$46),1/Assumptions!$N$46-Depreciation!$D$43,IF(O6&lt;Assumptions!$N$46,1/Assumptions!$N$46,0))</f>
        <v>0.05</v>
      </c>
      <c r="P43" s="477" t="n">
        <f aca="false">IF(AND(P6&gt;=Assumptions!$N$46,O6&lt;Assumptions!$N$46),1/Assumptions!$N$46-Depreciation!$D$43,IF(P6&lt;Assumptions!$N$46,1/Assumptions!$N$46,0))</f>
        <v>0.05</v>
      </c>
      <c r="Q43" s="477" t="n">
        <f aca="false">IF(AND(Q6&gt;=Assumptions!$N$46,P6&lt;Assumptions!$N$46),1/Assumptions!$N$46-Depreciation!$D$43,IF(Q6&lt;Assumptions!$N$46,1/Assumptions!$N$46,0))</f>
        <v>0.05</v>
      </c>
      <c r="R43" s="477" t="n">
        <f aca="false">IF(AND(R6&gt;=Assumptions!$N$46,Q6&lt;Assumptions!$N$46),1/Assumptions!$N$46-Depreciation!$D$43,IF(R6&lt;Assumptions!$N$46,1/Assumptions!$N$46,0))</f>
        <v>0.05</v>
      </c>
      <c r="S43" s="477" t="n">
        <f aca="false">IF(AND(S6&gt;=Assumptions!$N$46,R6&lt;Assumptions!$N$46),1/Assumptions!$N$46-Depreciation!$D$43,IF(S6&lt;Assumptions!$N$46,1/Assumptions!$N$46,0))</f>
        <v>0.05</v>
      </c>
      <c r="T43" s="477" t="n">
        <f aca="false">IF(AND(T6&gt;=Assumptions!$N$46,S6&lt;Assumptions!$N$46),1/Assumptions!$N$46-Depreciation!$D$43,IF(T6&lt;Assumptions!$N$46,1/Assumptions!$N$46,0))</f>
        <v>0.05</v>
      </c>
      <c r="U43" s="477" t="n">
        <f aca="false">IF(AND(U6&gt;=Assumptions!$N$46,T6&lt;Assumptions!$N$46),1/Assumptions!$N$46-Depreciation!$D$43,IF(U6&lt;Assumptions!$N$46,1/Assumptions!$N$46,0))</f>
        <v>0.05</v>
      </c>
      <c r="V43" s="477" t="n">
        <f aca="false">IF(AND(V6&gt;=Assumptions!$N$46,U6&lt;Assumptions!$N$46),1/Assumptions!$N$46-Depreciation!$D$43,IF(V6&lt;Assumptions!$N$46,1/Assumptions!$N$46,0))</f>
        <v>0.05</v>
      </c>
      <c r="W43" s="477" t="n">
        <f aca="false">IF(AND(W6&gt;=Assumptions!$N$46,V6&lt;Assumptions!$N$46),1/Assumptions!$N$46-Depreciation!$D$43,IF(W6&lt;Assumptions!$N$46,1/Assumptions!$N$46,0))</f>
        <v>0.05</v>
      </c>
      <c r="X43" s="477" t="n">
        <f aca="false">IF(AND(X6&gt;=Assumptions!$N$46,W6&lt;Assumptions!$N$46),1/Assumptions!$N$46-Depreciation!$D$43,IF(X6&lt;Assumptions!$N$46,1/Assumptions!$N$46,0))</f>
        <v>0.0166666666666667</v>
      </c>
      <c r="Y43" s="477" t="n">
        <f aca="false">IF(AND(Y6&gt;=Assumptions!$N$46,X6&lt;Assumptions!$N$46),1/Assumptions!$N$46-Depreciation!$D$43,IF(Y6&lt;Assumptions!$N$46,1/Assumptions!$N$46,0))</f>
        <v>0</v>
      </c>
      <c r="Z43" s="477" t="n">
        <f aca="false">IF(AND(Z6&gt;=Assumptions!$N$46,Y6&lt;Assumptions!$N$46),1/Assumptions!$N$46-Depreciation!$D$43,IF(Z6&lt;Assumptions!$N$46,1/Assumptions!$N$46,0))</f>
        <v>0</v>
      </c>
      <c r="AA43" s="477" t="n">
        <f aca="false">IF(AND(AA6&gt;=Assumptions!$N$46,Z6&lt;Assumptions!$N$46),1/Assumptions!$N$46-Depreciation!$D$43,IF(AA6&lt;Assumptions!$N$46,1/Assumptions!$N$46,0))</f>
        <v>0</v>
      </c>
      <c r="AB43" s="477" t="n">
        <f aca="false">IF(AND(AB6&gt;=Assumptions!$N$46,AA6&lt;Assumptions!$N$46),1/Assumptions!$N$46-Depreciation!$D$43,IF(AB6&lt;Assumptions!$N$46,1/Assumptions!$N$46,0))</f>
        <v>0</v>
      </c>
      <c r="AC43" s="477" t="n">
        <f aca="false">IF(AND(AC6&gt;=Assumptions!$N$46,AB6&lt;Assumptions!$N$46),1/Assumptions!$N$46-Depreciation!$D$43,IF(AC6&lt;Assumptions!$N$46,1/Assumptions!$N$46,0))</f>
        <v>0</v>
      </c>
      <c r="AD43" s="477" t="n">
        <f aca="false">IF(AND(AD6&gt;=Assumptions!$N$46,AC6&lt;Assumptions!$N$46),1/Assumptions!$N$46-Depreciation!$D$43,IF(AD6&lt;Assumptions!$N$46,1/Assumptions!$N$46,0))</f>
        <v>0</v>
      </c>
      <c r="AE43" s="477" t="n">
        <f aca="false">IF(AND(AE6&gt;=Assumptions!$N$46,AD6&lt;Assumptions!$N$46),1/Assumptions!$N$46-Depreciation!$D$43,IF(AE6&lt;Assumptions!$N$46,1/Assumptions!$N$46,0))</f>
        <v>0</v>
      </c>
      <c r="AF43" s="477" t="n">
        <f aca="false">IF(AND(AF6&gt;=Assumptions!$N$46,AE6&lt;Assumptions!$N$46),1/Assumptions!$N$46-Depreciation!$D$43,IF(AF6&lt;Assumptions!$N$46,1/Assumptions!$N$46,0))</f>
        <v>0</v>
      </c>
      <c r="AG43" s="477" t="n">
        <f aca="false">IF(AND(AG6&gt;=Assumptions!$N$46,AF6&lt;Assumptions!$N$46),1/Assumptions!$N$46-Depreciation!$D$43,IF(AG6&lt;Assumptions!$N$46,1/Assumptions!$N$46,0))</f>
        <v>0</v>
      </c>
      <c r="AH43" s="477" t="n">
        <f aca="false">IF(AND(AH6&gt;=Assumptions!$N$46,AG6&lt;Assumptions!$N$46),1/Assumptions!$N$46-Depreciation!$D$43,IF(AH6&lt;Assumptions!$N$46,1/Assumptions!$N$46,0))</f>
        <v>0</v>
      </c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  <c r="DJ43" s="475"/>
      <c r="DK43" s="475"/>
      <c r="DL43" s="475"/>
      <c r="DM43" s="475"/>
      <c r="DN43" s="475"/>
      <c r="DO43" s="475"/>
      <c r="DP43" s="475"/>
      <c r="DQ43" s="475"/>
      <c r="DR43" s="475"/>
      <c r="DS43" s="475"/>
      <c r="DT43" s="475"/>
      <c r="DU43" s="475"/>
      <c r="DV43" s="475"/>
      <c r="DW43" s="475"/>
      <c r="DX43" s="475"/>
      <c r="DY43" s="475"/>
      <c r="DZ43" s="475"/>
      <c r="EA43" s="475"/>
      <c r="EB43" s="475"/>
      <c r="EC43" s="475"/>
      <c r="ED43" s="475"/>
      <c r="EE43" s="475"/>
      <c r="EF43" s="475"/>
      <c r="EG43" s="475"/>
      <c r="EH43" s="475"/>
      <c r="EI43" s="475"/>
      <c r="EJ43" s="475"/>
      <c r="EK43" s="475"/>
      <c r="EL43" s="475"/>
      <c r="EM43" s="475"/>
      <c r="EN43" s="475"/>
      <c r="EO43" s="475"/>
      <c r="EP43" s="475"/>
      <c r="EQ43" s="475"/>
      <c r="ER43" s="475"/>
      <c r="ES43" s="475"/>
      <c r="ET43" s="475"/>
      <c r="EU43" s="475"/>
      <c r="EV43" s="475"/>
      <c r="EW43" s="475"/>
      <c r="EX43" s="475"/>
      <c r="EY43" s="475"/>
      <c r="EZ43" s="475"/>
      <c r="FA43" s="475"/>
      <c r="FB43" s="475"/>
      <c r="FC43" s="475"/>
      <c r="FD43" s="475"/>
      <c r="FE43" s="475"/>
      <c r="FF43" s="475"/>
      <c r="FG43" s="475"/>
      <c r="FH43" s="475"/>
      <c r="FI43" s="475"/>
      <c r="FJ43" s="475"/>
      <c r="FK43" s="475"/>
      <c r="FL43" s="475"/>
      <c r="FM43" s="475"/>
      <c r="FN43" s="475"/>
      <c r="FO43" s="475"/>
      <c r="FP43" s="475"/>
      <c r="FQ43" s="475"/>
      <c r="FR43" s="475"/>
      <c r="FS43" s="475"/>
      <c r="FT43" s="475"/>
      <c r="FU43" s="475"/>
      <c r="FV43" s="475"/>
      <c r="FW43" s="475"/>
      <c r="FX43" s="475"/>
      <c r="FY43" s="475"/>
      <c r="FZ43" s="475"/>
      <c r="GA43" s="475"/>
      <c r="GB43" s="475"/>
      <c r="GC43" s="475"/>
      <c r="GD43" s="475"/>
      <c r="GE43" s="475"/>
      <c r="GF43" s="475"/>
      <c r="GG43" s="475"/>
      <c r="GH43" s="475"/>
      <c r="GI43" s="475"/>
      <c r="GJ43" s="475"/>
      <c r="GK43" s="475"/>
      <c r="GL43" s="475"/>
      <c r="GM43" s="475"/>
      <c r="GN43" s="475"/>
      <c r="GO43" s="475"/>
      <c r="GP43" s="475"/>
      <c r="GQ43" s="475"/>
      <c r="GR43" s="475"/>
      <c r="GS43" s="475"/>
      <c r="GT43" s="475"/>
      <c r="GU43" s="475"/>
      <c r="GV43" s="475"/>
      <c r="GW43" s="475"/>
      <c r="GX43" s="475"/>
      <c r="GY43" s="475"/>
      <c r="GZ43" s="475"/>
      <c r="HA43" s="475"/>
      <c r="HB43" s="475"/>
      <c r="HC43" s="475"/>
      <c r="HD43" s="475"/>
      <c r="HE43" s="475"/>
      <c r="HF43" s="475"/>
      <c r="HG43" s="475"/>
      <c r="HH43" s="475"/>
      <c r="HI43" s="475"/>
      <c r="HJ43" s="475"/>
      <c r="HK43" s="475"/>
      <c r="HL43" s="475"/>
      <c r="HM43" s="475"/>
      <c r="HN43" s="475"/>
      <c r="HO43" s="475"/>
      <c r="HP43" s="475"/>
      <c r="HQ43" s="475"/>
      <c r="HR43" s="475"/>
      <c r="HS43" s="475"/>
      <c r="HT43" s="475"/>
      <c r="HU43" s="475"/>
      <c r="HV43" s="475"/>
      <c r="HW43" s="475"/>
      <c r="HX43" s="475"/>
      <c r="HY43" s="475"/>
      <c r="HZ43" s="475"/>
      <c r="IA43" s="475"/>
      <c r="IB43" s="475"/>
      <c r="IC43" s="475"/>
      <c r="ID43" s="475"/>
      <c r="IE43" s="475"/>
      <c r="IF43" s="475"/>
      <c r="IG43" s="475"/>
      <c r="IH43" s="475"/>
      <c r="II43" s="475"/>
      <c r="IJ43" s="475"/>
      <c r="IK43" s="475"/>
      <c r="IL43" s="475"/>
      <c r="IM43" s="475"/>
      <c r="IN43" s="475"/>
      <c r="IO43" s="475"/>
      <c r="IP43" s="475"/>
      <c r="IQ43" s="475"/>
      <c r="IR43" s="475"/>
      <c r="IS43" s="475"/>
      <c r="IT43" s="475"/>
      <c r="IU43" s="475"/>
      <c r="IV43" s="475"/>
      <c r="IW43" s="475"/>
    </row>
    <row r="44" customFormat="false" ht="12.75" hidden="false" customHeight="false" outlineLevel="0" collapsed="false">
      <c r="B44" s="476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  <c r="DJ44" s="475"/>
      <c r="DK44" s="475"/>
      <c r="DL44" s="475"/>
      <c r="DM44" s="475"/>
      <c r="DN44" s="475"/>
      <c r="DO44" s="475"/>
      <c r="DP44" s="475"/>
      <c r="DQ44" s="475"/>
      <c r="DR44" s="475"/>
      <c r="DS44" s="475"/>
      <c r="DT44" s="475"/>
      <c r="DU44" s="475"/>
      <c r="DV44" s="475"/>
      <c r="DW44" s="475"/>
      <c r="DX44" s="475"/>
      <c r="DY44" s="475"/>
      <c r="DZ44" s="475"/>
      <c r="EA44" s="475"/>
      <c r="EB44" s="475"/>
      <c r="EC44" s="475"/>
      <c r="ED44" s="475"/>
      <c r="EE44" s="475"/>
      <c r="EF44" s="475"/>
      <c r="EG44" s="475"/>
      <c r="EH44" s="475"/>
      <c r="EI44" s="475"/>
      <c r="EJ44" s="475"/>
      <c r="EK44" s="475"/>
      <c r="EL44" s="475"/>
      <c r="EM44" s="475"/>
      <c r="EN44" s="475"/>
      <c r="EO44" s="475"/>
      <c r="EP44" s="475"/>
      <c r="EQ44" s="475"/>
      <c r="ER44" s="475"/>
      <c r="ES44" s="475"/>
      <c r="ET44" s="475"/>
      <c r="EU44" s="475"/>
      <c r="EV44" s="475"/>
      <c r="EW44" s="475"/>
      <c r="EX44" s="475"/>
      <c r="EY44" s="475"/>
      <c r="EZ44" s="475"/>
      <c r="FA44" s="475"/>
      <c r="FB44" s="475"/>
      <c r="FC44" s="475"/>
      <c r="FD44" s="475"/>
      <c r="FE44" s="475"/>
      <c r="FF44" s="475"/>
      <c r="FG44" s="475"/>
      <c r="FH44" s="475"/>
      <c r="FI44" s="475"/>
      <c r="FJ44" s="475"/>
      <c r="FK44" s="475"/>
      <c r="FL44" s="475"/>
      <c r="FM44" s="475"/>
      <c r="FN44" s="475"/>
      <c r="FO44" s="475"/>
      <c r="FP44" s="475"/>
      <c r="FQ44" s="475"/>
      <c r="FR44" s="475"/>
      <c r="FS44" s="475"/>
      <c r="FT44" s="475"/>
      <c r="FU44" s="475"/>
      <c r="FV44" s="475"/>
      <c r="FW44" s="475"/>
      <c r="FX44" s="475"/>
      <c r="FY44" s="475"/>
      <c r="FZ44" s="475"/>
      <c r="GA44" s="475"/>
      <c r="GB44" s="475"/>
      <c r="GC44" s="475"/>
      <c r="GD44" s="475"/>
      <c r="GE44" s="475"/>
      <c r="GF44" s="475"/>
      <c r="GG44" s="475"/>
      <c r="GH44" s="475"/>
      <c r="GI44" s="475"/>
      <c r="GJ44" s="475"/>
      <c r="GK44" s="475"/>
      <c r="GL44" s="475"/>
      <c r="GM44" s="475"/>
      <c r="GN44" s="475"/>
      <c r="GO44" s="475"/>
      <c r="GP44" s="475"/>
      <c r="GQ44" s="475"/>
      <c r="GR44" s="475"/>
      <c r="GS44" s="475"/>
      <c r="GT44" s="475"/>
      <c r="GU44" s="475"/>
      <c r="GV44" s="475"/>
      <c r="GW44" s="475"/>
      <c r="GX44" s="475"/>
      <c r="GY44" s="475"/>
      <c r="GZ44" s="475"/>
      <c r="HA44" s="475"/>
      <c r="HB44" s="475"/>
      <c r="HC44" s="475"/>
      <c r="HD44" s="475"/>
      <c r="HE44" s="475"/>
      <c r="HF44" s="475"/>
      <c r="HG44" s="475"/>
      <c r="HH44" s="475"/>
      <c r="HI44" s="475"/>
      <c r="HJ44" s="475"/>
      <c r="HK44" s="475"/>
      <c r="HL44" s="475"/>
      <c r="HM44" s="475"/>
      <c r="HN44" s="475"/>
      <c r="HO44" s="475"/>
      <c r="HP44" s="475"/>
      <c r="HQ44" s="475"/>
      <c r="HR44" s="475"/>
      <c r="HS44" s="475"/>
      <c r="HT44" s="475"/>
      <c r="HU44" s="475"/>
      <c r="HV44" s="475"/>
      <c r="HW44" s="475"/>
      <c r="HX44" s="475"/>
      <c r="HY44" s="475"/>
      <c r="HZ44" s="475"/>
      <c r="IA44" s="475"/>
      <c r="IB44" s="475"/>
      <c r="IC44" s="475"/>
      <c r="ID44" s="475"/>
      <c r="IE44" s="475"/>
      <c r="IF44" s="475"/>
      <c r="IG44" s="475"/>
      <c r="IH44" s="475"/>
      <c r="II44" s="475"/>
      <c r="IJ44" s="475"/>
      <c r="IK44" s="475"/>
      <c r="IL44" s="475"/>
      <c r="IM44" s="475"/>
      <c r="IN44" s="475"/>
      <c r="IO44" s="475"/>
      <c r="IP44" s="475"/>
      <c r="IQ44" s="475"/>
      <c r="IR44" s="475"/>
      <c r="IS44" s="475"/>
      <c r="IT44" s="475"/>
      <c r="IU44" s="475"/>
      <c r="IV44" s="475"/>
      <c r="IW44" s="475"/>
    </row>
    <row r="45" customFormat="false" ht="12.75" hidden="false" customHeight="false" outlineLevel="0" collapsed="false">
      <c r="A45" s="479" t="s">
        <v>405</v>
      </c>
      <c r="B45" s="180" t="n">
        <f aca="false">B16</f>
        <v>100089.50002246</v>
      </c>
      <c r="C45" s="487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5"/>
      <c r="AJ45" s="495"/>
      <c r="AK45" s="495"/>
      <c r="AL45" s="49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  <c r="DJ45" s="475"/>
      <c r="DK45" s="475"/>
      <c r="DL45" s="475"/>
      <c r="DM45" s="475"/>
      <c r="DN45" s="475"/>
      <c r="DO45" s="475"/>
      <c r="DP45" s="475"/>
      <c r="DQ45" s="475"/>
      <c r="DR45" s="475"/>
      <c r="DS45" s="475"/>
      <c r="DT45" s="475"/>
      <c r="DU45" s="475"/>
      <c r="DV45" s="475"/>
      <c r="DW45" s="475"/>
      <c r="DX45" s="475"/>
      <c r="DY45" s="475"/>
      <c r="DZ45" s="475"/>
      <c r="EA45" s="475"/>
      <c r="EB45" s="475"/>
      <c r="EC45" s="475"/>
      <c r="ED45" s="475"/>
      <c r="EE45" s="475"/>
      <c r="EF45" s="475"/>
      <c r="EG45" s="475"/>
      <c r="EH45" s="475"/>
      <c r="EI45" s="475"/>
      <c r="EJ45" s="475"/>
      <c r="EK45" s="475"/>
      <c r="EL45" s="475"/>
      <c r="EM45" s="475"/>
      <c r="EN45" s="475"/>
      <c r="EO45" s="475"/>
      <c r="EP45" s="475"/>
      <c r="EQ45" s="475"/>
      <c r="ER45" s="475"/>
      <c r="ES45" s="475"/>
      <c r="ET45" s="475"/>
      <c r="EU45" s="475"/>
      <c r="EV45" s="475"/>
      <c r="EW45" s="475"/>
      <c r="EX45" s="475"/>
      <c r="EY45" s="475"/>
      <c r="EZ45" s="475"/>
      <c r="FA45" s="475"/>
      <c r="FB45" s="475"/>
      <c r="FC45" s="475"/>
      <c r="FD45" s="475"/>
      <c r="FE45" s="475"/>
      <c r="FF45" s="475"/>
      <c r="FG45" s="475"/>
      <c r="FH45" s="475"/>
      <c r="FI45" s="475"/>
      <c r="FJ45" s="475"/>
      <c r="FK45" s="475"/>
      <c r="FL45" s="475"/>
      <c r="FM45" s="475"/>
      <c r="FN45" s="475"/>
      <c r="FO45" s="475"/>
      <c r="FP45" s="475"/>
      <c r="FQ45" s="475"/>
      <c r="FR45" s="475"/>
      <c r="FS45" s="475"/>
      <c r="FT45" s="475"/>
      <c r="FU45" s="475"/>
      <c r="FV45" s="475"/>
      <c r="FW45" s="475"/>
      <c r="FX45" s="475"/>
      <c r="FY45" s="475"/>
      <c r="FZ45" s="475"/>
      <c r="GA45" s="475"/>
      <c r="GB45" s="475"/>
      <c r="GC45" s="475"/>
      <c r="GD45" s="475"/>
      <c r="GE45" s="475"/>
      <c r="GF45" s="475"/>
      <c r="GG45" s="475"/>
      <c r="GH45" s="475"/>
      <c r="GI45" s="475"/>
      <c r="GJ45" s="475"/>
      <c r="GK45" s="475"/>
      <c r="GL45" s="475"/>
      <c r="GM45" s="475"/>
      <c r="GN45" s="475"/>
      <c r="GO45" s="475"/>
      <c r="GP45" s="475"/>
      <c r="GQ45" s="475"/>
      <c r="GR45" s="475"/>
      <c r="GS45" s="475"/>
      <c r="GT45" s="475"/>
      <c r="GU45" s="475"/>
      <c r="GV45" s="475"/>
      <c r="GW45" s="475"/>
      <c r="GX45" s="475"/>
      <c r="GY45" s="475"/>
      <c r="GZ45" s="475"/>
      <c r="HA45" s="475"/>
      <c r="HB45" s="475"/>
      <c r="HC45" s="475"/>
      <c r="HD45" s="475"/>
      <c r="HE45" s="475"/>
      <c r="HF45" s="475"/>
      <c r="HG45" s="475"/>
      <c r="HH45" s="475"/>
      <c r="HI45" s="475"/>
      <c r="HJ45" s="475"/>
      <c r="HK45" s="475"/>
      <c r="HL45" s="475"/>
      <c r="HM45" s="475"/>
      <c r="HN45" s="475"/>
      <c r="HO45" s="475"/>
      <c r="HP45" s="475"/>
      <c r="HQ45" s="475"/>
      <c r="HR45" s="475"/>
      <c r="HS45" s="475"/>
      <c r="HT45" s="475"/>
      <c r="HU45" s="475"/>
      <c r="HV45" s="475"/>
      <c r="HW45" s="475"/>
      <c r="HX45" s="475"/>
      <c r="HY45" s="475"/>
      <c r="HZ45" s="475"/>
      <c r="IA45" s="475"/>
      <c r="IB45" s="475"/>
      <c r="IC45" s="475"/>
      <c r="ID45" s="475"/>
      <c r="IE45" s="475"/>
      <c r="IF45" s="475"/>
      <c r="IG45" s="475"/>
      <c r="IH45" s="475"/>
      <c r="II45" s="475"/>
      <c r="IJ45" s="475"/>
      <c r="IK45" s="475"/>
      <c r="IL45" s="475"/>
      <c r="IM45" s="475"/>
      <c r="IN45" s="475"/>
      <c r="IO45" s="475"/>
      <c r="IP45" s="475"/>
      <c r="IQ45" s="475"/>
      <c r="IR45" s="475"/>
      <c r="IS45" s="475"/>
      <c r="IT45" s="475"/>
      <c r="IU45" s="475"/>
      <c r="IV45" s="475"/>
      <c r="IW45" s="475"/>
    </row>
    <row r="46" customFormat="false" ht="12.75" hidden="false" customHeight="false" outlineLevel="0" collapsed="false">
      <c r="A46" s="479" t="s">
        <v>406</v>
      </c>
      <c r="B46" s="488" t="n">
        <f aca="false">B17</f>
        <v>3906.665</v>
      </c>
      <c r="C46" s="487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5"/>
      <c r="AJ46" s="495"/>
      <c r="AK46" s="495"/>
      <c r="AL46" s="49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  <c r="DJ46" s="475"/>
      <c r="DK46" s="475"/>
      <c r="DL46" s="475"/>
      <c r="DM46" s="475"/>
      <c r="DN46" s="475"/>
      <c r="DO46" s="475"/>
      <c r="DP46" s="475"/>
      <c r="DQ46" s="475"/>
      <c r="DR46" s="475"/>
      <c r="DS46" s="475"/>
      <c r="DT46" s="475"/>
      <c r="DU46" s="475"/>
      <c r="DV46" s="475"/>
      <c r="DW46" s="475"/>
      <c r="DX46" s="475"/>
      <c r="DY46" s="475"/>
      <c r="DZ46" s="475"/>
      <c r="EA46" s="475"/>
      <c r="EB46" s="475"/>
      <c r="EC46" s="475"/>
      <c r="ED46" s="475"/>
      <c r="EE46" s="475"/>
      <c r="EF46" s="475"/>
      <c r="EG46" s="475"/>
      <c r="EH46" s="475"/>
      <c r="EI46" s="475"/>
      <c r="EJ46" s="475"/>
      <c r="EK46" s="475"/>
      <c r="EL46" s="475"/>
      <c r="EM46" s="475"/>
      <c r="EN46" s="475"/>
      <c r="EO46" s="475"/>
      <c r="EP46" s="475"/>
      <c r="EQ46" s="475"/>
      <c r="ER46" s="475"/>
      <c r="ES46" s="475"/>
      <c r="ET46" s="475"/>
      <c r="EU46" s="475"/>
      <c r="EV46" s="475"/>
      <c r="EW46" s="475"/>
      <c r="EX46" s="475"/>
      <c r="EY46" s="475"/>
      <c r="EZ46" s="475"/>
      <c r="FA46" s="475"/>
      <c r="FB46" s="475"/>
      <c r="FC46" s="475"/>
      <c r="FD46" s="475"/>
      <c r="FE46" s="475"/>
      <c r="FF46" s="475"/>
      <c r="FG46" s="475"/>
      <c r="FH46" s="475"/>
      <c r="FI46" s="475"/>
      <c r="FJ46" s="475"/>
      <c r="FK46" s="475"/>
      <c r="FL46" s="475"/>
      <c r="FM46" s="475"/>
      <c r="FN46" s="475"/>
      <c r="FO46" s="475"/>
      <c r="FP46" s="475"/>
      <c r="FQ46" s="475"/>
      <c r="FR46" s="475"/>
      <c r="FS46" s="475"/>
      <c r="FT46" s="475"/>
      <c r="FU46" s="475"/>
      <c r="FV46" s="475"/>
      <c r="FW46" s="475"/>
      <c r="FX46" s="475"/>
      <c r="FY46" s="475"/>
      <c r="FZ46" s="475"/>
      <c r="GA46" s="475"/>
      <c r="GB46" s="475"/>
      <c r="GC46" s="475"/>
      <c r="GD46" s="475"/>
      <c r="GE46" s="475"/>
      <c r="GF46" s="475"/>
      <c r="GG46" s="475"/>
      <c r="GH46" s="475"/>
      <c r="GI46" s="475"/>
      <c r="GJ46" s="475"/>
      <c r="GK46" s="475"/>
      <c r="GL46" s="475"/>
      <c r="GM46" s="475"/>
      <c r="GN46" s="475"/>
      <c r="GO46" s="475"/>
      <c r="GP46" s="475"/>
      <c r="GQ46" s="475"/>
      <c r="GR46" s="475"/>
      <c r="GS46" s="475"/>
      <c r="GT46" s="475"/>
      <c r="GU46" s="475"/>
      <c r="GV46" s="475"/>
      <c r="GW46" s="475"/>
      <c r="GX46" s="475"/>
      <c r="GY46" s="475"/>
      <c r="GZ46" s="475"/>
      <c r="HA46" s="475"/>
      <c r="HB46" s="475"/>
      <c r="HC46" s="475"/>
      <c r="HD46" s="475"/>
      <c r="HE46" s="475"/>
      <c r="HF46" s="475"/>
      <c r="HG46" s="475"/>
      <c r="HH46" s="475"/>
      <c r="HI46" s="475"/>
      <c r="HJ46" s="475"/>
      <c r="HK46" s="475"/>
      <c r="HL46" s="475"/>
      <c r="HM46" s="475"/>
      <c r="HN46" s="475"/>
      <c r="HO46" s="475"/>
      <c r="HP46" s="475"/>
      <c r="HQ46" s="475"/>
      <c r="HR46" s="475"/>
      <c r="HS46" s="475"/>
      <c r="HT46" s="475"/>
      <c r="HU46" s="475"/>
      <c r="HV46" s="475"/>
      <c r="HW46" s="475"/>
      <c r="HX46" s="475"/>
      <c r="HY46" s="475"/>
      <c r="HZ46" s="475"/>
      <c r="IA46" s="475"/>
      <c r="IB46" s="475"/>
      <c r="IC46" s="475"/>
      <c r="ID46" s="475"/>
      <c r="IE46" s="475"/>
      <c r="IF46" s="475"/>
      <c r="IG46" s="475"/>
      <c r="IH46" s="475"/>
      <c r="II46" s="475"/>
      <c r="IJ46" s="475"/>
      <c r="IK46" s="475"/>
      <c r="IL46" s="475"/>
      <c r="IM46" s="475"/>
      <c r="IN46" s="475"/>
      <c r="IO46" s="475"/>
      <c r="IP46" s="475"/>
      <c r="IQ46" s="475"/>
      <c r="IR46" s="475"/>
      <c r="IS46" s="475"/>
      <c r="IT46" s="475"/>
      <c r="IU46" s="475"/>
      <c r="IV46" s="475"/>
      <c r="IW46" s="475"/>
    </row>
    <row r="47" customFormat="false" ht="15" hidden="false" customHeight="false" outlineLevel="0" collapsed="false">
      <c r="A47" s="482" t="s">
        <v>407</v>
      </c>
      <c r="B47" s="385" t="n">
        <f aca="false">B18</f>
        <v>1000</v>
      </c>
      <c r="C47" s="487"/>
      <c r="D47" s="385" t="n">
        <f aca="false">D43*$B$47</f>
        <v>33.3333333333333</v>
      </c>
      <c r="E47" s="385" t="n">
        <f aca="false">E43*$B$47</f>
        <v>50</v>
      </c>
      <c r="F47" s="385" t="n">
        <f aca="false">F43*$B$47</f>
        <v>50</v>
      </c>
      <c r="G47" s="385" t="n">
        <f aca="false">G43*$B$47</f>
        <v>50</v>
      </c>
      <c r="H47" s="385" t="n">
        <f aca="false">H43*$B$47</f>
        <v>50</v>
      </c>
      <c r="I47" s="385" t="n">
        <f aca="false">I43*$B$47</f>
        <v>50</v>
      </c>
      <c r="J47" s="385" t="n">
        <f aca="false">J43*$B$47</f>
        <v>50</v>
      </c>
      <c r="K47" s="385" t="n">
        <f aca="false">K43*$B$47</f>
        <v>50</v>
      </c>
      <c r="L47" s="385" t="n">
        <f aca="false">L43*$B$47</f>
        <v>50</v>
      </c>
      <c r="M47" s="385" t="n">
        <f aca="false">M43*$B$47</f>
        <v>50</v>
      </c>
      <c r="N47" s="385" t="n">
        <f aca="false">N43*$B$47</f>
        <v>50</v>
      </c>
      <c r="O47" s="385" t="n">
        <f aca="false">O43*$B$47</f>
        <v>50</v>
      </c>
      <c r="P47" s="385" t="n">
        <f aca="false">P43*$B$47</f>
        <v>50</v>
      </c>
      <c r="Q47" s="385" t="n">
        <f aca="false">Q43*$B$47</f>
        <v>50</v>
      </c>
      <c r="R47" s="385" t="n">
        <f aca="false">R43*$B$47</f>
        <v>50</v>
      </c>
      <c r="S47" s="385" t="n">
        <f aca="false">S43*$B$47</f>
        <v>50</v>
      </c>
      <c r="T47" s="385" t="n">
        <f aca="false">T43*$B$47</f>
        <v>50</v>
      </c>
      <c r="U47" s="385" t="n">
        <f aca="false">U43*$B$47</f>
        <v>50</v>
      </c>
      <c r="V47" s="385" t="n">
        <f aca="false">V43*$B$47</f>
        <v>50</v>
      </c>
      <c r="W47" s="385" t="n">
        <f aca="false">W43*$B$47</f>
        <v>50</v>
      </c>
      <c r="X47" s="385" t="n">
        <f aca="false">X43*$B$47</f>
        <v>16.6666666666667</v>
      </c>
      <c r="Y47" s="385" t="n">
        <f aca="false">Y43*$B$47</f>
        <v>0</v>
      </c>
      <c r="Z47" s="385" t="n">
        <f aca="false">Z43*$B$47</f>
        <v>0</v>
      </c>
      <c r="AA47" s="385" t="n">
        <f aca="false">AA43*$B$47</f>
        <v>0</v>
      </c>
      <c r="AB47" s="385" t="n">
        <f aca="false">AB43*$B$47</f>
        <v>0</v>
      </c>
      <c r="AC47" s="385" t="n">
        <f aca="false">AC43*$B$47</f>
        <v>0</v>
      </c>
      <c r="AD47" s="385" t="n">
        <f aca="false">AD43*$B$47</f>
        <v>0</v>
      </c>
      <c r="AE47" s="385" t="n">
        <f aca="false">AE43*$B$47</f>
        <v>0</v>
      </c>
      <c r="AF47" s="385" t="n">
        <f aca="false">AF43*$B$47</f>
        <v>0</v>
      </c>
      <c r="AG47" s="385" t="n">
        <f aca="false">AG43*$B$47</f>
        <v>0</v>
      </c>
      <c r="AH47" s="385" t="n">
        <f aca="false">AH43*$B$47</f>
        <v>0</v>
      </c>
      <c r="AI47" s="495"/>
      <c r="AJ47" s="495"/>
      <c r="AK47" s="495"/>
      <c r="AL47" s="49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  <c r="DJ47" s="475"/>
      <c r="DK47" s="475"/>
      <c r="DL47" s="475"/>
      <c r="DM47" s="475"/>
      <c r="DN47" s="475"/>
      <c r="DO47" s="475"/>
      <c r="DP47" s="475"/>
      <c r="DQ47" s="475"/>
      <c r="DR47" s="475"/>
      <c r="DS47" s="475"/>
      <c r="DT47" s="475"/>
      <c r="DU47" s="475"/>
      <c r="DV47" s="475"/>
      <c r="DW47" s="475"/>
      <c r="DX47" s="475"/>
      <c r="DY47" s="475"/>
      <c r="DZ47" s="475"/>
      <c r="EA47" s="475"/>
      <c r="EB47" s="475"/>
      <c r="EC47" s="475"/>
      <c r="ED47" s="475"/>
      <c r="EE47" s="475"/>
      <c r="EF47" s="475"/>
      <c r="EG47" s="475"/>
      <c r="EH47" s="475"/>
      <c r="EI47" s="475"/>
      <c r="EJ47" s="475"/>
      <c r="EK47" s="475"/>
      <c r="EL47" s="475"/>
      <c r="EM47" s="475"/>
      <c r="EN47" s="475"/>
      <c r="EO47" s="475"/>
      <c r="EP47" s="475"/>
      <c r="EQ47" s="475"/>
      <c r="ER47" s="475"/>
      <c r="ES47" s="475"/>
      <c r="ET47" s="475"/>
      <c r="EU47" s="475"/>
      <c r="EV47" s="475"/>
      <c r="EW47" s="475"/>
      <c r="EX47" s="475"/>
      <c r="EY47" s="475"/>
      <c r="EZ47" s="475"/>
      <c r="FA47" s="475"/>
      <c r="FB47" s="475"/>
      <c r="FC47" s="475"/>
      <c r="FD47" s="475"/>
      <c r="FE47" s="475"/>
      <c r="FF47" s="475"/>
      <c r="FG47" s="475"/>
      <c r="FH47" s="475"/>
      <c r="FI47" s="475"/>
      <c r="FJ47" s="475"/>
      <c r="FK47" s="475"/>
      <c r="FL47" s="475"/>
      <c r="FM47" s="475"/>
      <c r="FN47" s="475"/>
      <c r="FO47" s="475"/>
      <c r="FP47" s="475"/>
      <c r="FQ47" s="475"/>
      <c r="FR47" s="475"/>
      <c r="FS47" s="475"/>
      <c r="FT47" s="475"/>
      <c r="FU47" s="475"/>
      <c r="FV47" s="475"/>
      <c r="FW47" s="475"/>
      <c r="FX47" s="475"/>
      <c r="FY47" s="475"/>
      <c r="FZ47" s="475"/>
      <c r="GA47" s="475"/>
      <c r="GB47" s="475"/>
      <c r="GC47" s="475"/>
      <c r="GD47" s="475"/>
      <c r="GE47" s="475"/>
      <c r="GF47" s="475"/>
      <c r="GG47" s="475"/>
      <c r="GH47" s="475"/>
      <c r="GI47" s="475"/>
      <c r="GJ47" s="475"/>
      <c r="GK47" s="475"/>
      <c r="GL47" s="475"/>
      <c r="GM47" s="475"/>
      <c r="GN47" s="475"/>
      <c r="GO47" s="475"/>
      <c r="GP47" s="475"/>
      <c r="GQ47" s="475"/>
      <c r="GR47" s="475"/>
      <c r="GS47" s="475"/>
      <c r="GT47" s="475"/>
      <c r="GU47" s="475"/>
      <c r="GV47" s="475"/>
      <c r="GW47" s="475"/>
      <c r="GX47" s="475"/>
      <c r="GY47" s="475"/>
      <c r="GZ47" s="475"/>
      <c r="HA47" s="475"/>
      <c r="HB47" s="475"/>
      <c r="HC47" s="475"/>
      <c r="HD47" s="475"/>
      <c r="HE47" s="475"/>
      <c r="HF47" s="475"/>
      <c r="HG47" s="475"/>
      <c r="HH47" s="475"/>
      <c r="HI47" s="475"/>
      <c r="HJ47" s="475"/>
      <c r="HK47" s="475"/>
      <c r="HL47" s="475"/>
      <c r="HM47" s="475"/>
      <c r="HN47" s="475"/>
      <c r="HO47" s="475"/>
      <c r="HP47" s="475"/>
      <c r="HQ47" s="475"/>
      <c r="HR47" s="475"/>
      <c r="HS47" s="475"/>
      <c r="HT47" s="475"/>
      <c r="HU47" s="475"/>
      <c r="HV47" s="475"/>
      <c r="HW47" s="475"/>
      <c r="HX47" s="475"/>
      <c r="HY47" s="475"/>
      <c r="HZ47" s="475"/>
      <c r="IA47" s="475"/>
      <c r="IB47" s="475"/>
      <c r="IC47" s="475"/>
      <c r="ID47" s="475"/>
      <c r="IE47" s="475"/>
      <c r="IF47" s="475"/>
      <c r="IG47" s="475"/>
      <c r="IH47" s="475"/>
      <c r="II47" s="475"/>
      <c r="IJ47" s="475"/>
      <c r="IK47" s="475"/>
      <c r="IL47" s="475"/>
      <c r="IM47" s="475"/>
      <c r="IN47" s="475"/>
      <c r="IO47" s="475"/>
      <c r="IP47" s="475"/>
      <c r="IQ47" s="475"/>
      <c r="IR47" s="475"/>
      <c r="IS47" s="475"/>
      <c r="IT47" s="475"/>
      <c r="IU47" s="475"/>
      <c r="IV47" s="475"/>
      <c r="IW47" s="475"/>
    </row>
    <row r="48" customFormat="false" ht="12.75" hidden="false" customHeight="false" outlineLevel="0" collapsed="false">
      <c r="A48" s="493" t="s">
        <v>408</v>
      </c>
      <c r="B48" s="180" t="n">
        <f aca="false">SUM(B45:B47)</f>
        <v>104996.16502246</v>
      </c>
      <c r="C48" s="487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5"/>
      <c r="AJ48" s="495"/>
      <c r="AK48" s="495"/>
      <c r="AL48" s="49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  <c r="DJ48" s="475"/>
      <c r="DK48" s="475"/>
      <c r="DL48" s="475"/>
      <c r="DM48" s="475"/>
      <c r="DN48" s="475"/>
      <c r="DO48" s="475"/>
      <c r="DP48" s="475"/>
      <c r="DQ48" s="475"/>
      <c r="DR48" s="475"/>
      <c r="DS48" s="475"/>
      <c r="DT48" s="475"/>
      <c r="DU48" s="475"/>
      <c r="DV48" s="475"/>
      <c r="DW48" s="475"/>
      <c r="DX48" s="475"/>
      <c r="DY48" s="475"/>
      <c r="DZ48" s="475"/>
      <c r="EA48" s="475"/>
      <c r="EB48" s="475"/>
      <c r="EC48" s="475"/>
      <c r="ED48" s="475"/>
      <c r="EE48" s="475"/>
      <c r="EF48" s="475"/>
      <c r="EG48" s="475"/>
      <c r="EH48" s="475"/>
      <c r="EI48" s="475"/>
      <c r="EJ48" s="475"/>
      <c r="EK48" s="475"/>
      <c r="EL48" s="475"/>
      <c r="EM48" s="475"/>
      <c r="EN48" s="475"/>
      <c r="EO48" s="475"/>
      <c r="EP48" s="475"/>
      <c r="EQ48" s="475"/>
      <c r="ER48" s="475"/>
      <c r="ES48" s="475"/>
      <c r="ET48" s="475"/>
      <c r="EU48" s="475"/>
      <c r="EV48" s="475"/>
      <c r="EW48" s="475"/>
      <c r="EX48" s="475"/>
      <c r="EY48" s="475"/>
      <c r="EZ48" s="475"/>
      <c r="FA48" s="475"/>
      <c r="FB48" s="475"/>
      <c r="FC48" s="475"/>
      <c r="FD48" s="475"/>
      <c r="FE48" s="475"/>
      <c r="FF48" s="475"/>
      <c r="FG48" s="475"/>
      <c r="FH48" s="475"/>
      <c r="FI48" s="475"/>
      <c r="FJ48" s="475"/>
      <c r="FK48" s="475"/>
      <c r="FL48" s="475"/>
      <c r="FM48" s="475"/>
      <c r="FN48" s="475"/>
      <c r="FO48" s="475"/>
      <c r="FP48" s="475"/>
      <c r="FQ48" s="475"/>
      <c r="FR48" s="475"/>
      <c r="FS48" s="475"/>
      <c r="FT48" s="475"/>
      <c r="FU48" s="475"/>
      <c r="FV48" s="475"/>
      <c r="FW48" s="475"/>
      <c r="FX48" s="475"/>
      <c r="FY48" s="475"/>
      <c r="FZ48" s="475"/>
      <c r="GA48" s="475"/>
      <c r="GB48" s="475"/>
      <c r="GC48" s="475"/>
      <c r="GD48" s="475"/>
      <c r="GE48" s="475"/>
      <c r="GF48" s="475"/>
      <c r="GG48" s="475"/>
      <c r="GH48" s="475"/>
      <c r="GI48" s="475"/>
      <c r="GJ48" s="475"/>
      <c r="GK48" s="475"/>
      <c r="GL48" s="475"/>
      <c r="GM48" s="475"/>
      <c r="GN48" s="475"/>
      <c r="GO48" s="475"/>
      <c r="GP48" s="475"/>
      <c r="GQ48" s="475"/>
      <c r="GR48" s="475"/>
      <c r="GS48" s="475"/>
      <c r="GT48" s="475"/>
      <c r="GU48" s="475"/>
      <c r="GV48" s="475"/>
      <c r="GW48" s="475"/>
      <c r="GX48" s="475"/>
      <c r="GY48" s="475"/>
      <c r="GZ48" s="475"/>
      <c r="HA48" s="475"/>
      <c r="HB48" s="475"/>
      <c r="HC48" s="475"/>
      <c r="HD48" s="475"/>
      <c r="HE48" s="475"/>
      <c r="HF48" s="475"/>
      <c r="HG48" s="475"/>
      <c r="HH48" s="475"/>
      <c r="HI48" s="475"/>
      <c r="HJ48" s="475"/>
      <c r="HK48" s="475"/>
      <c r="HL48" s="475"/>
      <c r="HM48" s="475"/>
      <c r="HN48" s="475"/>
      <c r="HO48" s="475"/>
      <c r="HP48" s="475"/>
      <c r="HQ48" s="475"/>
      <c r="HR48" s="475"/>
      <c r="HS48" s="475"/>
      <c r="HT48" s="475"/>
      <c r="HU48" s="475"/>
      <c r="HV48" s="475"/>
      <c r="HW48" s="475"/>
      <c r="HX48" s="475"/>
      <c r="HY48" s="475"/>
      <c r="HZ48" s="475"/>
      <c r="IA48" s="475"/>
      <c r="IB48" s="475"/>
      <c r="IC48" s="475"/>
      <c r="ID48" s="475"/>
      <c r="IE48" s="475"/>
      <c r="IF48" s="475"/>
      <c r="IG48" s="475"/>
      <c r="IH48" s="475"/>
      <c r="II48" s="475"/>
      <c r="IJ48" s="475"/>
      <c r="IK48" s="475"/>
      <c r="IL48" s="475"/>
      <c r="IM48" s="475"/>
      <c r="IN48" s="475"/>
      <c r="IO48" s="475"/>
      <c r="IP48" s="475"/>
      <c r="IQ48" s="475"/>
      <c r="IR48" s="475"/>
      <c r="IS48" s="475"/>
      <c r="IT48" s="475"/>
      <c r="IU48" s="475"/>
      <c r="IV48" s="475"/>
      <c r="IW48" s="475"/>
    </row>
    <row r="49" customFormat="false" ht="12.75" hidden="false" customHeight="false" outlineLevel="0" collapsed="false">
      <c r="A49" s="482"/>
      <c r="B49" s="180"/>
      <c r="C49" s="487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500" t="s">
        <v>414</v>
      </c>
      <c r="B50" s="501" t="n">
        <f aca="false">B48</f>
        <v>104996.16502246</v>
      </c>
      <c r="C50" s="489"/>
      <c r="D50" s="386" t="n">
        <f aca="false">B48-D48</f>
        <v>102440.153022011</v>
      </c>
      <c r="E50" s="386" t="n">
        <f aca="false">D50-E48</f>
        <v>98606.1350213368</v>
      </c>
      <c r="F50" s="386" t="n">
        <f aca="false">E50-F48</f>
        <v>94772.117020663</v>
      </c>
      <c r="G50" s="386" t="n">
        <f aca="false">F50-G48</f>
        <v>90938.0990199892</v>
      </c>
      <c r="H50" s="386" t="n">
        <f aca="false">G50-H48</f>
        <v>87104.0810193154</v>
      </c>
      <c r="I50" s="386" t="n">
        <f aca="false">H50-I48</f>
        <v>83790.9516853083</v>
      </c>
      <c r="J50" s="386" t="n">
        <f aca="false">I50-J48</f>
        <v>80738.2666846345</v>
      </c>
      <c r="K50" s="386" t="n">
        <f aca="false">J50-K48</f>
        <v>77685.5816839607</v>
      </c>
      <c r="L50" s="386" t="n">
        <f aca="false">K50-L48</f>
        <v>74632.8966832869</v>
      </c>
      <c r="M50" s="386" t="n">
        <f aca="false">L50-M48</f>
        <v>71580.2116826131</v>
      </c>
      <c r="N50" s="386" t="n">
        <f aca="false">M50-N48</f>
        <v>68527.5266819393</v>
      </c>
      <c r="O50" s="386" t="n">
        <f aca="false">N50-O48</f>
        <v>65474.8416812655</v>
      </c>
      <c r="P50" s="386" t="n">
        <f aca="false">O50-P48</f>
        <v>62422.1566805917</v>
      </c>
      <c r="Q50" s="386" t="n">
        <f aca="false">P50-Q48</f>
        <v>59369.4716799179</v>
      </c>
      <c r="R50" s="386" t="n">
        <f aca="false">Q50-R48</f>
        <v>56316.7866792441</v>
      </c>
      <c r="S50" s="386" t="n">
        <f aca="false">R50-S48</f>
        <v>53264.1016785703</v>
      </c>
      <c r="T50" s="386" t="n">
        <f aca="false">S50-T48</f>
        <v>50211.4166778965</v>
      </c>
      <c r="U50" s="386" t="n">
        <f aca="false">T50-U48</f>
        <v>47158.7316772228</v>
      </c>
      <c r="V50" s="386" t="n">
        <f aca="false">U50-V48</f>
        <v>44106.046676549</v>
      </c>
      <c r="W50" s="386" t="n">
        <f aca="false">V50-W48</f>
        <v>41053.3616758752</v>
      </c>
      <c r="X50" s="386" t="n">
        <f aca="false">W50-X48</f>
        <v>38034.0100085347</v>
      </c>
      <c r="Y50" s="386" t="n">
        <f aca="false">X50-Y48</f>
        <v>35031.3250078609</v>
      </c>
      <c r="Z50" s="386" t="n">
        <f aca="false">Y50-Z48</f>
        <v>32028.6400071871</v>
      </c>
      <c r="AA50" s="386" t="n">
        <f aca="false">Z50-AA48</f>
        <v>29025.9550065133</v>
      </c>
      <c r="AB50" s="386" t="n">
        <f aca="false">AA50-AB48</f>
        <v>26023.2700058395</v>
      </c>
      <c r="AC50" s="386" t="n">
        <f aca="false">AB50-AC48</f>
        <v>23020.5850051657</v>
      </c>
      <c r="AD50" s="386" t="n">
        <f aca="false">AC50-AD48</f>
        <v>20017.9000044919</v>
      </c>
      <c r="AE50" s="386" t="n">
        <f aca="false">AD50-AE48</f>
        <v>17015.2150038181</v>
      </c>
      <c r="AF50" s="386" t="n">
        <f aca="false">AE50-AF48</f>
        <v>14012.5300031443</v>
      </c>
      <c r="AG50" s="386" t="n">
        <f aca="false">AF50-AG48</f>
        <v>11009.8450024705</v>
      </c>
      <c r="AH50" s="386" t="n">
        <f aca="false">AG50-AH48</f>
        <v>10008.950002246</v>
      </c>
      <c r="AI50" s="502"/>
      <c r="AJ50" s="502"/>
      <c r="AK50" s="502"/>
      <c r="AL50" s="502"/>
      <c r="AM50" s="469"/>
      <c r="AN50" s="469"/>
      <c r="AO50" s="469"/>
      <c r="AP50" s="469"/>
      <c r="AQ50" s="469"/>
      <c r="AR50" s="469"/>
      <c r="AS50" s="469"/>
      <c r="AT50" s="469"/>
      <c r="AU50" s="469"/>
      <c r="AV50" s="469"/>
      <c r="AW50" s="469"/>
      <c r="AX50" s="469"/>
      <c r="AY50" s="469"/>
      <c r="AZ50" s="469"/>
      <c r="BA50" s="469"/>
      <c r="BB50" s="469"/>
      <c r="BC50" s="469"/>
      <c r="BD50" s="469"/>
      <c r="BE50" s="469"/>
      <c r="BF50" s="469"/>
      <c r="BG50" s="469"/>
      <c r="BH50" s="469"/>
      <c r="BI50" s="469"/>
      <c r="BJ50" s="469"/>
      <c r="BK50" s="469"/>
      <c r="BL50" s="469"/>
      <c r="BM50" s="469"/>
      <c r="BN50" s="469"/>
      <c r="BO50" s="469"/>
      <c r="BP50" s="469"/>
      <c r="BQ50" s="469"/>
      <c r="BR50" s="469"/>
      <c r="BS50" s="469"/>
      <c r="BT50" s="469"/>
      <c r="BU50" s="469"/>
      <c r="BV50" s="469"/>
      <c r="BW50" s="469"/>
      <c r="BX50" s="469"/>
      <c r="BY50" s="469"/>
      <c r="BZ50" s="469"/>
      <c r="CA50" s="469"/>
      <c r="CB50" s="469"/>
      <c r="CC50" s="469"/>
      <c r="CD50" s="469"/>
      <c r="CE50" s="469"/>
      <c r="CF50" s="469"/>
      <c r="CG50" s="469"/>
      <c r="CH50" s="469"/>
      <c r="CI50" s="469"/>
      <c r="CJ50" s="469"/>
      <c r="CK50" s="469"/>
      <c r="CL50" s="469"/>
      <c r="CM50" s="469"/>
      <c r="CN50" s="469"/>
      <c r="CO50" s="469"/>
      <c r="CP50" s="469"/>
      <c r="CQ50" s="469"/>
      <c r="CR50" s="469"/>
      <c r="CS50" s="469"/>
      <c r="CT50" s="469"/>
      <c r="CU50" s="469"/>
      <c r="CV50" s="469"/>
      <c r="CW50" s="469"/>
      <c r="CX50" s="469"/>
      <c r="CY50" s="469"/>
      <c r="CZ50" s="469"/>
      <c r="DA50" s="469"/>
      <c r="DB50" s="469"/>
      <c r="DC50" s="469"/>
      <c r="DD50" s="469"/>
      <c r="DE50" s="469"/>
      <c r="DF50" s="469"/>
      <c r="DG50" s="469"/>
      <c r="DH50" s="469"/>
      <c r="DI50" s="469"/>
      <c r="DJ50" s="469"/>
      <c r="DK50" s="469"/>
      <c r="DL50" s="469"/>
      <c r="DM50" s="469"/>
      <c r="DN50" s="469"/>
      <c r="DO50" s="469"/>
      <c r="DP50" s="469"/>
      <c r="DQ50" s="469"/>
      <c r="DR50" s="469"/>
      <c r="DS50" s="469"/>
      <c r="DT50" s="469"/>
      <c r="DU50" s="469"/>
      <c r="DV50" s="469"/>
      <c r="DW50" s="469"/>
      <c r="DX50" s="469"/>
      <c r="DY50" s="469"/>
      <c r="DZ50" s="469"/>
      <c r="EA50" s="469"/>
      <c r="EB50" s="469"/>
      <c r="EC50" s="469"/>
      <c r="ED50" s="469"/>
      <c r="EE50" s="469"/>
      <c r="EF50" s="469"/>
      <c r="EG50" s="469"/>
      <c r="EH50" s="469"/>
      <c r="EI50" s="469"/>
      <c r="EJ50" s="469"/>
      <c r="EK50" s="469"/>
      <c r="EL50" s="469"/>
      <c r="EM50" s="469"/>
      <c r="EN50" s="469"/>
      <c r="EO50" s="469"/>
      <c r="EP50" s="469"/>
      <c r="EQ50" s="469"/>
      <c r="ER50" s="469"/>
      <c r="ES50" s="469"/>
      <c r="ET50" s="469"/>
      <c r="EU50" s="469"/>
      <c r="EV50" s="469"/>
      <c r="EW50" s="469"/>
      <c r="EX50" s="469"/>
      <c r="EY50" s="469"/>
      <c r="EZ50" s="469"/>
      <c r="FA50" s="469"/>
      <c r="FB50" s="469"/>
      <c r="FC50" s="469"/>
      <c r="FD50" s="469"/>
      <c r="FE50" s="469"/>
      <c r="FF50" s="469"/>
      <c r="FG50" s="469"/>
      <c r="FH50" s="469"/>
      <c r="FI50" s="469"/>
      <c r="FJ50" s="469"/>
      <c r="FK50" s="469"/>
      <c r="FL50" s="469"/>
      <c r="FM50" s="469"/>
      <c r="FN50" s="469"/>
      <c r="FO50" s="469"/>
      <c r="FP50" s="469"/>
      <c r="FQ50" s="469"/>
      <c r="FR50" s="469"/>
      <c r="FS50" s="469"/>
      <c r="FT50" s="469"/>
      <c r="FU50" s="469"/>
      <c r="FV50" s="469"/>
      <c r="FW50" s="469"/>
      <c r="FX50" s="469"/>
      <c r="FY50" s="469"/>
      <c r="FZ50" s="469"/>
      <c r="GA50" s="469"/>
      <c r="GB50" s="469"/>
      <c r="GC50" s="469"/>
      <c r="GD50" s="469"/>
      <c r="GE50" s="469"/>
      <c r="GF50" s="469"/>
      <c r="GG50" s="469"/>
      <c r="GH50" s="469"/>
      <c r="GI50" s="469"/>
      <c r="GJ50" s="469"/>
      <c r="GK50" s="469"/>
      <c r="GL50" s="469"/>
      <c r="GM50" s="469"/>
      <c r="GN50" s="469"/>
      <c r="GO50" s="469"/>
      <c r="GP50" s="469"/>
      <c r="GQ50" s="469"/>
      <c r="GR50" s="469"/>
      <c r="GS50" s="469"/>
      <c r="GT50" s="469"/>
      <c r="GU50" s="469"/>
      <c r="GV50" s="469"/>
      <c r="GW50" s="469"/>
      <c r="GX50" s="469"/>
      <c r="GY50" s="469"/>
      <c r="GZ50" s="469"/>
      <c r="HA50" s="469"/>
      <c r="HB50" s="469"/>
      <c r="HC50" s="469"/>
      <c r="HD50" s="469"/>
      <c r="HE50" s="469"/>
      <c r="HF50" s="469"/>
      <c r="HG50" s="469"/>
      <c r="HH50" s="469"/>
      <c r="HI50" s="469"/>
      <c r="HJ50" s="469"/>
      <c r="HK50" s="469"/>
      <c r="HL50" s="469"/>
      <c r="HM50" s="469"/>
      <c r="HN50" s="469"/>
      <c r="HO50" s="469"/>
      <c r="HP50" s="469"/>
      <c r="HQ50" s="469"/>
      <c r="HR50" s="469"/>
      <c r="HS50" s="469"/>
      <c r="HT50" s="469"/>
      <c r="HU50" s="469"/>
      <c r="HV50" s="469"/>
      <c r="HW50" s="469"/>
      <c r="HX50" s="469"/>
      <c r="HY50" s="469"/>
      <c r="HZ50" s="469"/>
      <c r="IA50" s="469"/>
      <c r="IB50" s="469"/>
      <c r="IC50" s="469"/>
      <c r="ID50" s="469"/>
      <c r="IE50" s="469"/>
      <c r="IF50" s="469"/>
      <c r="IG50" s="469"/>
      <c r="IH50" s="469"/>
      <c r="II50" s="469"/>
      <c r="IJ50" s="469"/>
      <c r="IK50" s="469"/>
      <c r="IL50" s="469"/>
      <c r="IM50" s="469"/>
      <c r="IN50" s="469"/>
      <c r="IO50" s="469"/>
      <c r="IP50" s="469"/>
      <c r="IQ50" s="469"/>
      <c r="IR50" s="469"/>
      <c r="IS50" s="469"/>
      <c r="IT50" s="469"/>
      <c r="IU50" s="469"/>
      <c r="IV50" s="469"/>
      <c r="IW50" s="469"/>
    </row>
    <row r="52" customFormat="false" ht="12.75" hidden="false" customHeight="false" outlineLevel="0" collapsed="false">
      <c r="B52" s="26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3" t="s">
        <v>415</v>
      </c>
      <c r="B4" s="504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85"/>
      <c r="Y4" s="485"/>
    </row>
    <row r="5" customFormat="false" ht="12.75" hidden="false" customHeight="false" outlineLevel="0" collapsed="false">
      <c r="A5" s="24"/>
      <c r="B5" s="505"/>
      <c r="C5" s="497"/>
      <c r="D5" s="497"/>
      <c r="E5" s="497"/>
      <c r="F5" s="497"/>
      <c r="G5" s="497"/>
      <c r="H5" s="497"/>
      <c r="I5" s="506"/>
      <c r="J5" s="497"/>
      <c r="K5" s="497"/>
      <c r="L5" s="497"/>
      <c r="M5" s="497"/>
      <c r="N5" s="497"/>
      <c r="O5" s="506"/>
      <c r="P5" s="497"/>
      <c r="Q5" s="497"/>
      <c r="R5" s="497"/>
      <c r="S5" s="497"/>
      <c r="T5" s="497"/>
      <c r="U5" s="506"/>
      <c r="V5" s="497"/>
      <c r="W5" s="497"/>
      <c r="X5" s="505"/>
      <c r="Y5" s="505"/>
    </row>
    <row r="6" customFormat="false" ht="12.75" hidden="false" customHeight="false" outlineLevel="0" collapsed="false">
      <c r="A6" s="388"/>
      <c r="B6" s="507" t="n">
        <f aca="false">'Price_Technical Assumption'!D7</f>
        <v>0.666666666666667</v>
      </c>
      <c r="C6" s="507" t="n">
        <f aca="false">'Price_Technical Assumption'!E7</f>
        <v>1.66666666666667</v>
      </c>
      <c r="D6" s="507" t="n">
        <f aca="false">'Price_Technical Assumption'!F7</f>
        <v>2.66666666666667</v>
      </c>
      <c r="E6" s="507" t="n">
        <f aca="false">'Price_Technical Assumption'!G7</f>
        <v>3.66666666666667</v>
      </c>
      <c r="F6" s="507" t="n">
        <f aca="false">'Price_Technical Assumption'!H7</f>
        <v>4.66666666666667</v>
      </c>
      <c r="G6" s="507" t="n">
        <f aca="false">'Price_Technical Assumption'!I7</f>
        <v>5.66666666666667</v>
      </c>
      <c r="H6" s="507" t="n">
        <f aca="false">'Price_Technical Assumption'!J7</f>
        <v>6.66666666666667</v>
      </c>
      <c r="I6" s="507" t="n">
        <f aca="false">'Price_Technical Assumption'!K7</f>
        <v>7.66666666666667</v>
      </c>
      <c r="J6" s="507" t="n">
        <f aca="false">'Price_Technical Assumption'!L7</f>
        <v>8.66666666666667</v>
      </c>
      <c r="K6" s="507" t="n">
        <f aca="false">'Price_Technical Assumption'!M7</f>
        <v>9.66666666666667</v>
      </c>
      <c r="L6" s="507" t="n">
        <f aca="false">'Price_Technical Assumption'!N7</f>
        <v>10.6666666666667</v>
      </c>
      <c r="M6" s="507" t="n">
        <f aca="false">'Price_Technical Assumption'!O7</f>
        <v>11.6666666666667</v>
      </c>
      <c r="N6" s="507" t="n">
        <f aca="false">'Price_Technical Assumption'!P7</f>
        <v>12.6666666666667</v>
      </c>
      <c r="O6" s="507" t="n">
        <f aca="false">'Price_Technical Assumption'!Q7</f>
        <v>13.6666666666667</v>
      </c>
      <c r="P6" s="507" t="n">
        <f aca="false">'Price_Technical Assumption'!R7</f>
        <v>14.6666666666667</v>
      </c>
      <c r="Q6" s="507" t="n">
        <f aca="false">'Price_Technical Assumption'!S7</f>
        <v>15.6666666666667</v>
      </c>
      <c r="R6" s="507" t="n">
        <f aca="false">'Price_Technical Assumption'!T7</f>
        <v>16.6666666666667</v>
      </c>
      <c r="S6" s="507" t="n">
        <f aca="false">'Price_Technical Assumption'!U7</f>
        <v>17.6666666666667</v>
      </c>
      <c r="T6" s="507" t="n">
        <f aca="false">'Price_Technical Assumption'!V7</f>
        <v>18.6666666666667</v>
      </c>
      <c r="U6" s="507" t="n">
        <f aca="false">'Price_Technical Assumption'!W7</f>
        <v>19.6666666666667</v>
      </c>
      <c r="V6" s="507" t="n">
        <f aca="false">'Price_Technical Assumption'!X7</f>
        <v>20.6666666666667</v>
      </c>
      <c r="W6" s="507" t="n">
        <f aca="false">'Price_Technical Assumption'!Y7</f>
        <v>21.6666666666667</v>
      </c>
      <c r="X6" s="507" t="n">
        <f aca="false">'Price_Technical Assumption'!Z7</f>
        <v>22.6666666666667</v>
      </c>
      <c r="Y6" s="507" t="n">
        <f aca="false">'Price_Technical Assumption'!AA7</f>
        <v>23.6666666666667</v>
      </c>
      <c r="Z6" s="507" t="n">
        <f aca="false">'Price_Technical Assumption'!AB7</f>
        <v>24.6666666666667</v>
      </c>
      <c r="AA6" s="507" t="n">
        <f aca="false">'Price_Technical Assumption'!AC7</f>
        <v>25.6666666666667</v>
      </c>
      <c r="AB6" s="507" t="n">
        <f aca="false">'Price_Technical Assumption'!AD7</f>
        <v>26.6666666666667</v>
      </c>
      <c r="AC6" s="507" t="n">
        <f aca="false">'Price_Technical Assumption'!AE7</f>
        <v>27.6666666666667</v>
      </c>
      <c r="AD6" s="507" t="n">
        <f aca="false">'Price_Technical Assumption'!AF7</f>
        <v>28.6666666666667</v>
      </c>
      <c r="AE6" s="507" t="n">
        <f aca="false">'Price_Technical Assumption'!AG7</f>
        <v>29.6666666666667</v>
      </c>
      <c r="AF6" s="507" t="n">
        <f aca="false">'Price_Technical Assumption'!AH7</f>
        <v>30.6666666666667</v>
      </c>
    </row>
    <row r="7" customFormat="false" ht="13.5" hidden="false" customHeight="false" outlineLevel="0" collapsed="false">
      <c r="A7" s="350" t="s">
        <v>311</v>
      </c>
      <c r="B7" s="351" t="n">
        <f aca="false">'Price_Technical Assumption'!D8</f>
        <v>2001</v>
      </c>
      <c r="C7" s="351" t="n">
        <f aca="false">'Price_Technical Assumption'!E8</f>
        <v>2002</v>
      </c>
      <c r="D7" s="351" t="n">
        <f aca="false">'Price_Technical Assumption'!F8</f>
        <v>2003</v>
      </c>
      <c r="E7" s="351" t="n">
        <f aca="false">'Price_Technical Assumption'!G8</f>
        <v>2004</v>
      </c>
      <c r="F7" s="351" t="n">
        <f aca="false">'Price_Technical Assumption'!H8</f>
        <v>2005</v>
      </c>
      <c r="G7" s="351" t="n">
        <f aca="false">'Price_Technical Assumption'!I8</f>
        <v>2006</v>
      </c>
      <c r="H7" s="351" t="n">
        <f aca="false">'Price_Technical Assumption'!J8</f>
        <v>2007</v>
      </c>
      <c r="I7" s="351" t="n">
        <f aca="false">'Price_Technical Assumption'!K8</f>
        <v>2008</v>
      </c>
      <c r="J7" s="351" t="n">
        <f aca="false">'Price_Technical Assumption'!L8</f>
        <v>2009</v>
      </c>
      <c r="K7" s="351" t="n">
        <f aca="false">'Price_Technical Assumption'!M8</f>
        <v>2010</v>
      </c>
      <c r="L7" s="351" t="n">
        <f aca="false">'Price_Technical Assumption'!N8</f>
        <v>2011</v>
      </c>
      <c r="M7" s="351" t="n">
        <f aca="false">'Price_Technical Assumption'!O8</f>
        <v>2012</v>
      </c>
      <c r="N7" s="351" t="n">
        <f aca="false">'Price_Technical Assumption'!P8</f>
        <v>2013</v>
      </c>
      <c r="O7" s="351" t="n">
        <f aca="false">'Price_Technical Assumption'!Q8</f>
        <v>2014</v>
      </c>
      <c r="P7" s="351" t="n">
        <f aca="false">'Price_Technical Assumption'!R8</f>
        <v>2015</v>
      </c>
      <c r="Q7" s="351" t="n">
        <f aca="false">'Price_Technical Assumption'!S8</f>
        <v>2016</v>
      </c>
      <c r="R7" s="351" t="n">
        <f aca="false">'Price_Technical Assumption'!T8</f>
        <v>2017</v>
      </c>
      <c r="S7" s="351" t="n">
        <f aca="false">'Price_Technical Assumption'!U8</f>
        <v>2018</v>
      </c>
      <c r="T7" s="351" t="n">
        <f aca="false">'Price_Technical Assumption'!V8</f>
        <v>2019</v>
      </c>
      <c r="U7" s="351" t="n">
        <f aca="false">'Price_Technical Assumption'!W8</f>
        <v>2020</v>
      </c>
      <c r="V7" s="351" t="n">
        <f aca="false">'Price_Technical Assumption'!X8</f>
        <v>2021</v>
      </c>
      <c r="W7" s="351" t="n">
        <f aca="false">'Price_Technical Assumption'!Y8</f>
        <v>2022</v>
      </c>
      <c r="X7" s="351" t="n">
        <f aca="false">'Price_Technical Assumption'!Z8</f>
        <v>2023</v>
      </c>
      <c r="Y7" s="351" t="n">
        <f aca="false">'Price_Technical Assumption'!AA8</f>
        <v>2024</v>
      </c>
      <c r="Z7" s="351" t="n">
        <f aca="false">'Price_Technical Assumption'!AB8</f>
        <v>2025</v>
      </c>
      <c r="AA7" s="351" t="n">
        <f aca="false">'Price_Technical Assumption'!AC8</f>
        <v>2026</v>
      </c>
      <c r="AB7" s="351" t="n">
        <f aca="false">'Price_Technical Assumption'!AD8</f>
        <v>2027</v>
      </c>
      <c r="AC7" s="351" t="n">
        <f aca="false">'Price_Technical Assumption'!AE8</f>
        <v>2028</v>
      </c>
      <c r="AD7" s="351" t="n">
        <f aca="false">'Price_Technical Assumption'!AF8</f>
        <v>2029</v>
      </c>
      <c r="AE7" s="351" t="n">
        <f aca="false">'Price_Technical Assumption'!AG8</f>
        <v>2030</v>
      </c>
      <c r="AF7" s="351" t="n">
        <f aca="false">'Price_Technical Assumption'!AH8</f>
        <v>2031</v>
      </c>
    </row>
    <row r="8" customFormat="false" ht="12.75" hidden="false" customHeight="false" outlineLevel="0" collapsed="false">
      <c r="A8" s="388"/>
      <c r="B8" s="471" t="n">
        <f aca="false">Depreciation!D8</f>
        <v>37256</v>
      </c>
      <c r="C8" s="471" t="n">
        <f aca="false">Depreciation!E8</f>
        <v>37621</v>
      </c>
      <c r="D8" s="471" t="n">
        <f aca="false">Depreciation!F8</f>
        <v>37986</v>
      </c>
      <c r="E8" s="471" t="n">
        <f aca="false">Depreciation!G8</f>
        <v>38352</v>
      </c>
      <c r="F8" s="471" t="n">
        <f aca="false">Depreciation!H8</f>
        <v>38717</v>
      </c>
      <c r="G8" s="471" t="n">
        <f aca="false">Depreciation!I8</f>
        <v>39082</v>
      </c>
      <c r="H8" s="471" t="n">
        <f aca="false">Depreciation!J8</f>
        <v>39447</v>
      </c>
      <c r="I8" s="471" t="n">
        <f aca="false">Depreciation!K8</f>
        <v>39813</v>
      </c>
      <c r="J8" s="471" t="n">
        <f aca="false">Depreciation!L8</f>
        <v>40178</v>
      </c>
      <c r="K8" s="471" t="n">
        <f aca="false">Depreciation!M8</f>
        <v>40543</v>
      </c>
      <c r="L8" s="471" t="n">
        <f aca="false">Depreciation!N8</f>
        <v>40908</v>
      </c>
      <c r="M8" s="471" t="n">
        <f aca="false">Depreciation!O8</f>
        <v>41274</v>
      </c>
      <c r="N8" s="471" t="n">
        <f aca="false">Depreciation!P8</f>
        <v>41639</v>
      </c>
      <c r="O8" s="471" t="n">
        <f aca="false">Depreciation!Q8</f>
        <v>42004</v>
      </c>
      <c r="P8" s="471" t="n">
        <f aca="false">Depreciation!R8</f>
        <v>42369</v>
      </c>
      <c r="Q8" s="471" t="n">
        <f aca="false">Depreciation!S8</f>
        <v>42735</v>
      </c>
      <c r="R8" s="471" t="n">
        <f aca="false">Depreciation!T8</f>
        <v>43100</v>
      </c>
      <c r="S8" s="471" t="n">
        <f aca="false">Depreciation!U8</f>
        <v>43465</v>
      </c>
      <c r="T8" s="471" t="n">
        <f aca="false">Depreciation!V8</f>
        <v>43830</v>
      </c>
      <c r="U8" s="471" t="n">
        <f aca="false">Depreciation!W8</f>
        <v>44196</v>
      </c>
      <c r="V8" s="471" t="n">
        <f aca="false">Depreciation!X8</f>
        <v>44561</v>
      </c>
      <c r="W8" s="471" t="n">
        <f aca="false">Depreciation!Y8</f>
        <v>44926</v>
      </c>
      <c r="X8" s="471" t="n">
        <f aca="false">Depreciation!Z8</f>
        <v>45291</v>
      </c>
      <c r="Y8" s="471" t="n">
        <f aca="false">Depreciation!AA8</f>
        <v>45657</v>
      </c>
      <c r="Z8" s="471" t="n">
        <f aca="false">Depreciation!AB8</f>
        <v>46022</v>
      </c>
      <c r="AA8" s="471" t="n">
        <f aca="false">Depreciation!AC8</f>
        <v>46387</v>
      </c>
      <c r="AB8" s="471" t="n">
        <f aca="false">Depreciation!AD8</f>
        <v>46752</v>
      </c>
      <c r="AC8" s="471" t="n">
        <f aca="false">Depreciation!AE8</f>
        <v>47118</v>
      </c>
      <c r="AD8" s="471" t="n">
        <f aca="false">Depreciation!AF8</f>
        <v>47483</v>
      </c>
      <c r="AE8" s="471" t="n">
        <f aca="false">Depreciation!AG8</f>
        <v>47848</v>
      </c>
      <c r="AF8" s="471" t="n">
        <f aca="false">Depreciation!AH8</f>
        <v>48213</v>
      </c>
    </row>
    <row r="9" customFormat="false" ht="12.75" hidden="false" customHeight="false" outlineLevel="0" collapsed="false">
      <c r="A9" s="508" t="s">
        <v>416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9" t="s">
        <v>417</v>
      </c>
      <c r="B10" s="180" t="n">
        <f aca="false">IS!C38</f>
        <v>8927.65449511305</v>
      </c>
      <c r="C10" s="180" t="n">
        <f aca="false">IS!D38</f>
        <v>9399.02093220938</v>
      </c>
      <c r="D10" s="180" t="n">
        <f aca="false">IS!E38</f>
        <v>10942.6133950781</v>
      </c>
      <c r="E10" s="180" t="n">
        <f aca="false">IS!F38</f>
        <v>12272.7043626542</v>
      </c>
      <c r="F10" s="180" t="n">
        <f aca="false">IS!G38</f>
        <v>12960.9745410452</v>
      </c>
      <c r="G10" s="180" t="n">
        <f aca="false">IS!H38</f>
        <v>14238.3844800409</v>
      </c>
      <c r="H10" s="180" t="n">
        <f aca="false">IS!I38</f>
        <v>14755.7138681258</v>
      </c>
      <c r="I10" s="180" t="n">
        <f aca="false">IS!J38</f>
        <v>15288.8964155787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9" t="s">
        <v>418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9" t="s">
        <v>419</v>
      </c>
      <c r="B12" s="385" t="n">
        <f aca="false">-Depreciation!D34</f>
        <v>-5558.69700112299</v>
      </c>
      <c r="C12" s="385" t="n">
        <f aca="false">-Depreciation!E34</f>
        <v>-10339.8355021337</v>
      </c>
      <c r="D12" s="385" t="n">
        <f aca="false">-Depreciation!F34</f>
        <v>-9388.98525192031</v>
      </c>
      <c r="E12" s="385" t="n">
        <f aca="false">-Depreciation!G34</f>
        <v>-8538.2245017294</v>
      </c>
      <c r="F12" s="385" t="n">
        <f aca="false">-Depreciation!H34</f>
        <v>-7767.53535155646</v>
      </c>
      <c r="G12" s="385" t="n">
        <f aca="false">-Depreciation!I34</f>
        <v>-6546.02018473258</v>
      </c>
      <c r="H12" s="385" t="n">
        <f aca="false">-Depreciation!J34</f>
        <v>-5955.28050132513</v>
      </c>
      <c r="I12" s="385" t="n">
        <f aca="false">-Depreciation!K34</f>
        <v>-5965.28945132737</v>
      </c>
      <c r="J12" s="385" t="n">
        <f aca="false">-Depreciation!L34</f>
        <v>-5955.28050132513</v>
      </c>
      <c r="K12" s="385" t="n">
        <f aca="false">-Depreciation!M34</f>
        <v>-5965.28945132737</v>
      </c>
      <c r="L12" s="385" t="n">
        <f aca="false">-Depreciation!N34</f>
        <v>-5955.28050132513</v>
      </c>
      <c r="M12" s="385" t="n">
        <f aca="false">-Depreciation!O34</f>
        <v>-5965.28945132737</v>
      </c>
      <c r="N12" s="385" t="n">
        <f aca="false">-Depreciation!P34</f>
        <v>-5955.28050132513</v>
      </c>
      <c r="O12" s="385" t="n">
        <f aca="false">-Depreciation!Q34</f>
        <v>-5965.28945132737</v>
      </c>
      <c r="P12" s="385" t="n">
        <f aca="false">-Depreciation!R34</f>
        <v>-5955.28050132513</v>
      </c>
      <c r="Q12" s="385" t="n">
        <f aca="false">-Depreciation!S34</f>
        <v>-3002.64025066256</v>
      </c>
      <c r="R12" s="385" t="n">
        <f aca="false">-Depreciation!T34</f>
        <v>-50</v>
      </c>
      <c r="S12" s="385" t="n">
        <f aca="false">-Depreciation!U34</f>
        <v>-50</v>
      </c>
      <c r="T12" s="385" t="n">
        <f aca="false">-Depreciation!V34</f>
        <v>-50</v>
      </c>
      <c r="U12" s="385" t="n">
        <f aca="false">-Depreciation!W34</f>
        <v>-50</v>
      </c>
      <c r="V12" s="385" t="n">
        <f aca="false">-Depreciation!X34</f>
        <v>-16.6666666666667</v>
      </c>
      <c r="W12" s="385" t="n">
        <f aca="false">-Depreciation!Y34</f>
        <v>-0</v>
      </c>
      <c r="X12" s="385" t="n">
        <f aca="false">-Depreciation!Z34</f>
        <v>-0</v>
      </c>
      <c r="Y12" s="385" t="n">
        <f aca="false">-Depreciation!AA34</f>
        <v>-0</v>
      </c>
      <c r="Z12" s="385" t="n">
        <f aca="false">-Depreciation!AB34</f>
        <v>-0</v>
      </c>
      <c r="AA12" s="385" t="n">
        <f aca="false">-Depreciation!AC34</f>
        <v>-0</v>
      </c>
      <c r="AB12" s="385" t="n">
        <f aca="false">-Depreciation!AD34</f>
        <v>-0</v>
      </c>
      <c r="AC12" s="385" t="n">
        <f aca="false">-Depreciation!AE34</f>
        <v>-0</v>
      </c>
      <c r="AD12" s="385" t="n">
        <f aca="false">-Depreciation!AF34</f>
        <v>-0</v>
      </c>
      <c r="AE12" s="385" t="n">
        <f aca="false">-Depreciation!AG34</f>
        <v>-0</v>
      </c>
      <c r="AF12" s="385" t="n">
        <f aca="false">-Depreciation!AH34</f>
        <v>-0</v>
      </c>
    </row>
    <row r="13" customFormat="false" ht="12.75" hidden="false" customHeight="false" outlineLevel="0" collapsed="false">
      <c r="A13" s="509" t="s">
        <v>420</v>
      </c>
      <c r="B13" s="180" t="n">
        <f aca="false">SUM(B10:B12)</f>
        <v>5924.96949443925</v>
      </c>
      <c r="C13" s="180" t="n">
        <f aca="false">SUM(C10:C12)</f>
        <v>2893.20343074949</v>
      </c>
      <c r="D13" s="180" t="n">
        <f aca="false">SUM(D10:D12)</f>
        <v>5387.64614383161</v>
      </c>
      <c r="E13" s="180" t="n">
        <f aca="false">SUM(E10:E12)</f>
        <v>7568.49786159863</v>
      </c>
      <c r="F13" s="180" t="n">
        <f aca="false">SUM(F10:F12)</f>
        <v>9027.45719016248</v>
      </c>
      <c r="G13" s="180" t="n">
        <f aca="false">SUM(G10:G12)</f>
        <v>11005.4936293155</v>
      </c>
      <c r="H13" s="180" t="n">
        <f aca="false">SUM(H10:H12)</f>
        <v>11853.1183674745</v>
      </c>
      <c r="I13" s="180" t="n">
        <f aca="false">SUM(I10:I12)</f>
        <v>12376.2919649251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9" t="s">
        <v>421</v>
      </c>
      <c r="B15" s="510" t="n">
        <f aca="false">Assumptions!$N$51</f>
        <v>0.07</v>
      </c>
      <c r="C15" s="510" t="n">
        <f aca="false">Assumptions!$N$51</f>
        <v>0.07</v>
      </c>
      <c r="D15" s="510" t="n">
        <f aca="false">Assumptions!$N$51</f>
        <v>0.07</v>
      </c>
      <c r="E15" s="510" t="n">
        <f aca="false">Assumptions!$N$51</f>
        <v>0.07</v>
      </c>
      <c r="F15" s="510" t="n">
        <f aca="false">Assumptions!$N$51</f>
        <v>0.07</v>
      </c>
      <c r="G15" s="510" t="n">
        <f aca="false">Assumptions!$N$51</f>
        <v>0.07</v>
      </c>
      <c r="H15" s="510" t="n">
        <f aca="false">Assumptions!$N$51</f>
        <v>0.07</v>
      </c>
      <c r="I15" s="510" t="n">
        <f aca="false">Assumptions!$N$51</f>
        <v>0.07</v>
      </c>
      <c r="J15" s="510" t="n">
        <f aca="false">Assumptions!$N$51</f>
        <v>0.07</v>
      </c>
      <c r="K15" s="510" t="n">
        <f aca="false">Assumptions!$N$51</f>
        <v>0.07</v>
      </c>
      <c r="L15" s="510" t="n">
        <f aca="false">Assumptions!$N$51</f>
        <v>0.07</v>
      </c>
      <c r="M15" s="510" t="n">
        <f aca="false">Assumptions!$N$51</f>
        <v>0.07</v>
      </c>
      <c r="N15" s="510" t="n">
        <f aca="false">Assumptions!$N$51</f>
        <v>0.07</v>
      </c>
      <c r="O15" s="510" t="n">
        <f aca="false">Assumptions!$N$51</f>
        <v>0.07</v>
      </c>
      <c r="P15" s="510" t="n">
        <f aca="false">Assumptions!$N$51</f>
        <v>0.07</v>
      </c>
      <c r="Q15" s="510" t="n">
        <f aca="false">Assumptions!$N$51</f>
        <v>0.07</v>
      </c>
      <c r="R15" s="510" t="n">
        <f aca="false">Assumptions!$N$51</f>
        <v>0.07</v>
      </c>
      <c r="S15" s="510" t="n">
        <f aca="false">Assumptions!$N$51</f>
        <v>0.07</v>
      </c>
      <c r="T15" s="510" t="n">
        <f aca="false">Assumptions!$N$51</f>
        <v>0.07</v>
      </c>
      <c r="U15" s="510" t="n">
        <f aca="false">Assumptions!$N$51</f>
        <v>0.07</v>
      </c>
      <c r="V15" s="510" t="n">
        <f aca="false">Assumptions!$N$51</f>
        <v>0.07</v>
      </c>
      <c r="W15" s="510" t="n">
        <f aca="false">Assumptions!$N$51</f>
        <v>0.07</v>
      </c>
      <c r="X15" s="510" t="n">
        <f aca="false">Assumptions!$N$51</f>
        <v>0.07</v>
      </c>
      <c r="Y15" s="510" t="n">
        <f aca="false">Assumptions!$N$51</f>
        <v>0.07</v>
      </c>
      <c r="Z15" s="510" t="n">
        <f aca="false">Assumptions!$N$51</f>
        <v>0.07</v>
      </c>
      <c r="AA15" s="510" t="n">
        <f aca="false">Assumptions!$N$51</f>
        <v>0.07</v>
      </c>
      <c r="AB15" s="510" t="n">
        <f aca="false">Assumptions!$N$51</f>
        <v>0.07</v>
      </c>
      <c r="AC15" s="510" t="n">
        <f aca="false">Assumptions!$N$51</f>
        <v>0.07</v>
      </c>
      <c r="AD15" s="510" t="n">
        <f aca="false">Assumptions!$N$51</f>
        <v>0.07</v>
      </c>
      <c r="AE15" s="510" t="n">
        <f aca="false">Assumptions!$N$51</f>
        <v>0.07</v>
      </c>
      <c r="AF15" s="510" t="n">
        <f aca="false">Assumptions!$N$51</f>
        <v>0.07</v>
      </c>
    </row>
    <row r="16" customFormat="false" ht="12.75" hidden="false" customHeight="false" outlineLevel="0" collapsed="false">
      <c r="A16" s="479" t="s">
        <v>422</v>
      </c>
      <c r="B16" s="180" t="n">
        <f aca="false">B13*B15</f>
        <v>414.747864610748</v>
      </c>
      <c r="C16" s="180" t="n">
        <f aca="false">C13*C15</f>
        <v>202.524240152464</v>
      </c>
      <c r="D16" s="180" t="n">
        <f aca="false">D13*D15</f>
        <v>377.135230068213</v>
      </c>
      <c r="E16" s="180" t="n">
        <f aca="false">E13*E15</f>
        <v>529.794850311904</v>
      </c>
      <c r="F16" s="180" t="n">
        <f aca="false">F13*F15</f>
        <v>631.922003311374</v>
      </c>
      <c r="G16" s="180" t="n">
        <f aca="false">G13*G15</f>
        <v>770.384554052083</v>
      </c>
      <c r="H16" s="180" t="n">
        <f aca="false">H13*H15</f>
        <v>829.718285723213</v>
      </c>
      <c r="I16" s="180" t="n">
        <f aca="false">I13*I15</f>
        <v>866.34043754476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9" t="s">
        <v>423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9" t="s">
        <v>424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425</v>
      </c>
      <c r="B20" s="511" t="n">
        <v>0</v>
      </c>
      <c r="C20" s="512" t="n">
        <v>0</v>
      </c>
      <c r="D20" s="512" t="n">
        <v>0</v>
      </c>
      <c r="E20" s="512" t="n">
        <v>0</v>
      </c>
      <c r="F20" s="512" t="n">
        <v>0</v>
      </c>
      <c r="G20" s="512" t="n">
        <v>0</v>
      </c>
      <c r="H20" s="512" t="n">
        <v>0</v>
      </c>
      <c r="I20" s="513" t="n">
        <v>0</v>
      </c>
      <c r="J20" s="514" t="n">
        <f aca="false">IF(-SUM(B21:I21,B20:I20)&gt;B19,0,-B19-SUM(B21:I21,B20:I20))</f>
        <v>-0</v>
      </c>
      <c r="K20" s="514" t="n">
        <f aca="false">IF(-SUM(C21:J21,C20:J20)&gt;C19,0,-C19-SUM(C21:J21,C20:J20))</f>
        <v>-0</v>
      </c>
      <c r="L20" s="514" t="n">
        <f aca="false">IF(-SUM(D21:K21,D20:K20)&gt;D19,0,-D19-SUM(D21:K21,D20:K20))</f>
        <v>-0</v>
      </c>
      <c r="M20" s="514" t="n">
        <f aca="false">IF(-SUM(E21:L21,E20:L20)&gt;E19,0,-E19-SUM(E21:L21,E20:L20))</f>
        <v>-0</v>
      </c>
      <c r="N20" s="514" t="n">
        <f aca="false">IF(-SUM(F21:M21,F20:M20)&gt;F19,0,-F19-SUM(F21:M21,F20:M20))</f>
        <v>-0</v>
      </c>
      <c r="O20" s="514" t="n">
        <f aca="false">IF(-SUM(G21:N21,G20:N20)&gt;G19,0,-G19-SUM(G21:N21,G20:N20))</f>
        <v>-0</v>
      </c>
      <c r="P20" s="514" t="n">
        <f aca="false">IF(-SUM(H21:O21,H20:O20)&gt;H19,0,-H19-SUM(H21:O21,H20:O20))</f>
        <v>-0</v>
      </c>
      <c r="Q20" s="514" t="n">
        <f aca="false">IF(-SUM(I21:P21,I20:P20)&gt;I19,0,-I19-SUM(I21:P21,I20:P20))</f>
        <v>-0</v>
      </c>
      <c r="R20" s="514" t="n">
        <f aca="false">IF(-SUM(J21:Q21,J20:Q20)&gt;J19,0,-J19-SUM(J21:Q21,J20:Q20))</f>
        <v>-0</v>
      </c>
      <c r="S20" s="514" t="n">
        <f aca="false">IF(-SUM(K21:R21,K20:R20)&gt;K19,0,-K19-SUM(K21:R21,K20:R20))</f>
        <v>-0</v>
      </c>
      <c r="T20" s="514" t="n">
        <f aca="false">IF(-SUM(L21:S21,L20:S20)&gt;L19,0,-L19-SUM(L21:S21,L20:S20))</f>
        <v>-557.06794257604</v>
      </c>
      <c r="U20" s="514" t="n">
        <f aca="false">IF(-SUM(M21:T21,M20:T20)&gt;M19,0,-M19-SUM(M21:T21,M20:T20))</f>
        <v>-7.74113860196269</v>
      </c>
      <c r="V20" s="514" t="n">
        <f aca="false">IF(-SUM(N21:U21,N20:U20)&gt;N19,0,-N19-SUM(N21:U21,N20:U20))</f>
        <v>-11.0626952787293</v>
      </c>
      <c r="W20" s="514" t="n">
        <f aca="false">IF(-SUM(O21:V21,O20:V20)&gt;O19,0,-O19-SUM(O21:V21,O20:V20))</f>
        <v>-13.4844402279927</v>
      </c>
      <c r="X20" s="514" t="n">
        <f aca="false">IF(-SUM(P21:W21,P20:W20)&gt;P19,0,-P19-SUM(P21:W21,P20:W20))</f>
        <v>-13.2096756397682</v>
      </c>
      <c r="Y20" s="514" t="n">
        <f aca="false">IF(-SUM(Q21:X21,Q20:X20)&gt;Q19,0,-Q19-SUM(Q21:X21,Q20:X20))</f>
        <v>0</v>
      </c>
      <c r="Z20" s="514" t="n">
        <f aca="false">IF(-SUM(R21:Y21,R20:Y20)&gt;R19,0,-R19-SUM(R21:Y21,R20:Y20))</f>
        <v>0</v>
      </c>
      <c r="AA20" s="514" t="n">
        <f aca="false">IF(-SUM(S21:Z21,S20:Z20)&gt;S19,0,-S19-SUM(S21:Z21,S20:Z20))</f>
        <v>0</v>
      </c>
      <c r="AB20" s="514" t="n">
        <f aca="false">IF(-SUM(T21:AA21,T20:AA20)&gt;T19,0,-T19-SUM(T21:AA21,T20:AA20))</f>
        <v>0</v>
      </c>
      <c r="AC20" s="514" t="n">
        <f aca="false">IF(-SUM(U21:AB21,U20:AB20)&gt;U19,0,-U19-SUM(U21:AB21,U20:AB20))</f>
        <v>-233.820804656519</v>
      </c>
      <c r="AD20" s="514" t="n">
        <f aca="false">IF(-SUM(V21:AC21,V20:AC20)&gt;V19,0,-V19-SUM(V21:AC21,V20:AC20))</f>
        <v>-28.4545166447257</v>
      </c>
      <c r="AE20" s="514" t="n">
        <f aca="false">IF(-SUM(W21:AD21,W20:AD20)&gt;W19,0,-W19-SUM(W21:AD21,W20:AD20))</f>
        <v>-34.9382380194523</v>
      </c>
      <c r="AF20" s="514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426</v>
      </c>
      <c r="B21" s="385" t="n">
        <f aca="false">IF(B16&lt;0,0,IF(B18&gt;B16,-B16,-B18))</f>
        <v>-0</v>
      </c>
      <c r="C21" s="385" t="n">
        <f aca="false">IF(C16&lt;0,0,IF(C18&gt;C16,-C16,-C18))</f>
        <v>-0</v>
      </c>
      <c r="D21" s="385" t="n">
        <f aca="false">IF(D16&lt;0,0,IF(D18&gt;D16,-D16,-D18))</f>
        <v>-0</v>
      </c>
      <c r="E21" s="385" t="n">
        <f aca="false">IF(E16&lt;0,0,IF(E18&gt;E16,-E16,-E18))</f>
        <v>-0</v>
      </c>
      <c r="F21" s="385" t="n">
        <f aca="false">IF(F16&lt;0,0,IF(F18&gt;F16,-F16,-F18))</f>
        <v>-0</v>
      </c>
      <c r="G21" s="385" t="n">
        <f aca="false">IF(G16&lt;0,0,IF(G18&gt;G16,-G16,-G18))</f>
        <v>-0</v>
      </c>
      <c r="H21" s="385" t="n">
        <f aca="false">IF(H16&lt;0,0,IF(H18&gt;H16,-H16,-H18))</f>
        <v>-0</v>
      </c>
      <c r="I21" s="385" t="n">
        <f aca="false">IF(I16&lt;0,0,IF(I18&gt;I16,-I16,-I18))</f>
        <v>-0</v>
      </c>
      <c r="J21" s="385" t="n">
        <f aca="false">IF(J16&lt;0,0,IF(J18&gt;J16,-J16,-J18))</f>
        <v>-0</v>
      </c>
      <c r="K21" s="385" t="n">
        <f aca="false">IF(K16&lt;0,0,IF(K18&gt;K16,-K16,-K18))</f>
        <v>-0</v>
      </c>
      <c r="L21" s="385" t="n">
        <f aca="false">IF(L16&lt;0,0,IF(L18&gt;L16,-L16,-L18))</f>
        <v>0</v>
      </c>
      <c r="M21" s="385" t="n">
        <f aca="false">IF(M16&lt;0,0,IF(M18&gt;M16,-M16,-M18))</f>
        <v>0</v>
      </c>
      <c r="N21" s="385" t="n">
        <f aca="false">IF(N16&lt;0,0,IF(N18&gt;N16,-N16,-N18))</f>
        <v>0</v>
      </c>
      <c r="O21" s="385" t="n">
        <f aca="false">IF(O16&lt;0,0,IF(O18&gt;O16,-O16,-O18))</f>
        <v>0</v>
      </c>
      <c r="P21" s="385" t="n">
        <f aca="false">IF(P16&lt;0,0,IF(P18&gt;P16,-P16,-P18))</f>
        <v>0</v>
      </c>
      <c r="Q21" s="385" t="n">
        <f aca="false">IF(Q16&lt;0,0,IF(Q18&gt;Q16,-Q16,-Q18))</f>
        <v>0</v>
      </c>
      <c r="R21" s="385" t="n">
        <f aca="false">IF(R16&lt;0,0,IF(R18&gt;R16,-R16,-R18))</f>
        <v>0</v>
      </c>
      <c r="S21" s="385" t="n">
        <f aca="false">IF(S16&lt;0,0,IF(S18&gt;S16,-S16,-S18))</f>
        <v>0</v>
      </c>
      <c r="T21" s="385" t="n">
        <f aca="false">IF(T16&lt;0,0,IF(T18&gt;T16,-T16,-T18))</f>
        <v>0</v>
      </c>
      <c r="U21" s="385" t="n">
        <f aca="false">IF(U16&lt;0,0,IF(U18&gt;U16,-U16,-U18))</f>
        <v>0</v>
      </c>
      <c r="V21" s="385" t="n">
        <f aca="false">IF(V16&lt;0,0,IF(V18&gt;V16,-V16,-V18))</f>
        <v>0</v>
      </c>
      <c r="W21" s="385" t="n">
        <f aca="false">IF(W16&lt;0,0,IF(W18&gt;W16,-W16,-W18))</f>
        <v>0</v>
      </c>
      <c r="X21" s="385" t="n">
        <f aca="false">IF(X16&lt;0,0,IF(X18&gt;X16,-X16,-X18))</f>
        <v>0</v>
      </c>
      <c r="Y21" s="385" t="n">
        <f aca="false">IF(Y16&lt;0,0,IF(Y18&gt;Y16,-Y16,-Y18))</f>
        <v>0</v>
      </c>
      <c r="Z21" s="385" t="n">
        <f aca="false">IF(Z16&lt;0,0,IF(Z18&gt;Z16,-Z16,-Z18))</f>
        <v>0</v>
      </c>
      <c r="AA21" s="385" t="n">
        <f aca="false">IF(AA16&lt;0,0,IF(AA18&gt;AA16,-AA16,-AA18))</f>
        <v>0</v>
      </c>
      <c r="AB21" s="385" t="n">
        <f aca="false">IF(AB16&lt;0,0,IF(AB18&gt;AB16,-AB16,-AB18))</f>
        <v>0</v>
      </c>
      <c r="AC21" s="385" t="n">
        <f aca="false">IF(AC16&lt;0,0,IF(AC18&gt;AC16,-AC16,-AC18))</f>
        <v>0</v>
      </c>
      <c r="AD21" s="385" t="n">
        <f aca="false">IF(AD16&lt;0,0,IF(AD18&gt;AD16,-AD16,-AD18))</f>
        <v>0</v>
      </c>
      <c r="AE21" s="385" t="n">
        <f aca="false">IF(AE16&lt;0,0,IF(AE18&gt;AE16,-AE16,-AE18))</f>
        <v>0</v>
      </c>
      <c r="AF21" s="385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427</v>
      </c>
      <c r="B22" s="385" t="n">
        <f aca="false">SUM(B18:B21)</f>
        <v>0</v>
      </c>
      <c r="C22" s="385" t="n">
        <f aca="false">SUM(C18:C21)</f>
        <v>0</v>
      </c>
      <c r="D22" s="385" t="n">
        <f aca="false">SUM(D18:D21)</f>
        <v>0</v>
      </c>
      <c r="E22" s="385" t="n">
        <f aca="false">SUM(E18:E21)</f>
        <v>0</v>
      </c>
      <c r="F22" s="385" t="n">
        <f aca="false">SUM(F18:F21)</f>
        <v>0</v>
      </c>
      <c r="G22" s="385" t="n">
        <f aca="false">SUM(G18:G21)</f>
        <v>0</v>
      </c>
      <c r="H22" s="385" t="n">
        <f aca="false">SUM(H18:H21)</f>
        <v>0</v>
      </c>
      <c r="I22" s="385" t="n">
        <f aca="false">SUM(I18:I21)</f>
        <v>0</v>
      </c>
      <c r="J22" s="385" t="n">
        <f aca="false">SUM(J18:J21)</f>
        <v>0</v>
      </c>
      <c r="K22" s="385" t="n">
        <f aca="false">SUM(K18:K21)</f>
        <v>0</v>
      </c>
      <c r="L22" s="385" t="n">
        <f aca="false">SUM(L18:L21)</f>
        <v>557.06794257604</v>
      </c>
      <c r="M22" s="385" t="n">
        <f aca="false">SUM(M18:M21)</f>
        <v>1121.87702375404</v>
      </c>
      <c r="N22" s="385" t="n">
        <f aca="false">SUM(N18:N21)</f>
        <v>1697.74880021078</v>
      </c>
      <c r="O22" s="385" t="n">
        <f aca="false">SUM(O18:O21)</f>
        <v>2287.1050168955</v>
      </c>
      <c r="P22" s="385" t="n">
        <f aca="false">SUM(P18:P21)</f>
        <v>2889.67090921999</v>
      </c>
      <c r="Q22" s="385" t="n">
        <f aca="false">SUM(Q18:Q21)</f>
        <v>3300.67378120076</v>
      </c>
      <c r="R22" s="385" t="n">
        <f aca="false">SUM(R18:R21)</f>
        <v>3521.46362957179</v>
      </c>
      <c r="S22" s="385" t="n">
        <f aca="false">SUM(S18:S21)</f>
        <v>3760.15139685508</v>
      </c>
      <c r="T22" s="385" t="n">
        <f aca="false">SUM(T18:T21)</f>
        <v>-298.910875074468</v>
      </c>
      <c r="U22" s="385" t="n">
        <f aca="false">SUM(U18:U21)</f>
        <v>-27.333259271459</v>
      </c>
      <c r="V22" s="385" t="n">
        <f aca="false">SUM(V18:V21)</f>
        <v>261.636177897547</v>
      </c>
      <c r="W22" s="385" t="n">
        <f aca="false">SUM(W18:W21)</f>
        <v>572.059412858012</v>
      </c>
      <c r="X22" s="385" t="n">
        <f aca="false">SUM(X18:X21)</f>
        <v>909.992227398385</v>
      </c>
      <c r="Y22" s="385" t="n">
        <f aca="false">SUM(Y18:Y21)</f>
        <v>1290.73360797565</v>
      </c>
      <c r="Z22" s="385" t="n">
        <f aca="false">SUM(Z18:Z21)</f>
        <v>1703.69141105226</v>
      </c>
      <c r="AA22" s="385" t="n">
        <f aca="false">SUM(AA18:AA21)</f>
        <v>2151.64851893644</v>
      </c>
      <c r="AB22" s="385" t="n">
        <f aca="false">SUM(AB18:AB21)</f>
        <v>2637.66373917309</v>
      </c>
      <c r="AC22" s="385" t="n">
        <f aca="false">SUM(AC18:AC21)</f>
        <v>2931.21705632955</v>
      </c>
      <c r="AD22" s="385" t="n">
        <f aca="false">SUM(AD18:AD21)</f>
        <v>3475.1423539263</v>
      </c>
      <c r="AE22" s="385" t="n">
        <f aca="false">SUM(AE18:AE21)</f>
        <v>4061.47512202385</v>
      </c>
      <c r="AF22" s="385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428</v>
      </c>
      <c r="B24" s="386" t="n">
        <f aca="false">IF(B13&lt;0,0,B21+B16)</f>
        <v>414.747864610748</v>
      </c>
      <c r="C24" s="386" t="n">
        <f aca="false">IF(C13&lt;0,0,C21+C16)</f>
        <v>202.524240152464</v>
      </c>
      <c r="D24" s="386" t="n">
        <f aca="false">IF(D13&lt;0,0,D21+D16)</f>
        <v>377.135230068213</v>
      </c>
      <c r="E24" s="386" t="n">
        <f aca="false">IF(E13&lt;0,0,E21+E16)</f>
        <v>529.794850311904</v>
      </c>
      <c r="F24" s="386" t="n">
        <f aca="false">IF(F13&lt;0,0,F21+F16)</f>
        <v>631.922003311374</v>
      </c>
      <c r="G24" s="386" t="n">
        <f aca="false">IF(G13&lt;0,0,G21+G16)</f>
        <v>770.384554052083</v>
      </c>
      <c r="H24" s="386" t="n">
        <f aca="false">IF(H13&lt;0,0,H21+H16)</f>
        <v>829.718285723213</v>
      </c>
      <c r="I24" s="386" t="n">
        <f aca="false">IF(I13&lt;0,0,I21+I16)</f>
        <v>866.34043754476</v>
      </c>
      <c r="J24" s="386" t="n">
        <f aca="false">IF(J13&lt;0,0,J21+J16)</f>
        <v>843.37234003247</v>
      </c>
      <c r="K24" s="386" t="n">
        <f aca="false">IF(K13&lt;0,0,K21+K16)</f>
        <v>498.397578083155</v>
      </c>
      <c r="L24" s="386" t="n">
        <f aca="false">IF(L13&lt;0,0,L21+L16)</f>
        <v>0</v>
      </c>
      <c r="M24" s="386" t="n">
        <f aca="false">IF(M13&lt;0,0,M21+M16)</f>
        <v>0</v>
      </c>
      <c r="N24" s="386" t="n">
        <f aca="false">IF(N13&lt;0,0,N21+N16)</f>
        <v>0</v>
      </c>
      <c r="O24" s="386" t="n">
        <f aca="false">IF(O13&lt;0,0,O21+O16)</f>
        <v>0</v>
      </c>
      <c r="P24" s="386" t="n">
        <f aca="false">IF(P13&lt;0,0,P21+P16)</f>
        <v>0</v>
      </c>
      <c r="Q24" s="386" t="n">
        <f aca="false">IF(Q13&lt;0,0,Q21+Q16)</f>
        <v>0</v>
      </c>
      <c r="R24" s="386" t="n">
        <f aca="false">IF(R13&lt;0,0,R21+R16)</f>
        <v>0</v>
      </c>
      <c r="S24" s="386" t="n">
        <f aca="false">IF(S13&lt;0,0,S21+S16)</f>
        <v>0</v>
      </c>
      <c r="T24" s="386" t="n">
        <f aca="false">IF(T13&lt;0,0,T21+T16)</f>
        <v>0</v>
      </c>
      <c r="U24" s="386" t="n">
        <f aca="false">IF(U13&lt;0,0,U21+U16)</f>
        <v>0</v>
      </c>
      <c r="V24" s="386" t="n">
        <f aca="false">IF(V13&lt;0,0,V21+V16)</f>
        <v>0</v>
      </c>
      <c r="W24" s="386" t="n">
        <f aca="false">IF(W13&lt;0,0,W21+W16)</f>
        <v>0</v>
      </c>
      <c r="X24" s="386" t="n">
        <f aca="false">IF(X13&lt;0,0,X21+X16)</f>
        <v>0</v>
      </c>
      <c r="Y24" s="386" t="n">
        <f aca="false">IF(Y13&lt;0,0,Y21+Y16)</f>
        <v>0</v>
      </c>
      <c r="Z24" s="386" t="n">
        <f aca="false">IF(Z13&lt;0,0,Z21+Z16)</f>
        <v>0</v>
      </c>
      <c r="AA24" s="386" t="n">
        <f aca="false">IF(AA13&lt;0,0,AA21+AA16)</f>
        <v>0</v>
      </c>
      <c r="AB24" s="386" t="n">
        <f aca="false">IF(AB13&lt;0,0,AB21+AB16)</f>
        <v>0</v>
      </c>
      <c r="AC24" s="386" t="n">
        <f aca="false">IF(AC13&lt;0,0,AC21+AC16)</f>
        <v>0</v>
      </c>
      <c r="AD24" s="386" t="n">
        <f aca="false">IF(AD13&lt;0,0,AD21+AD16)</f>
        <v>0</v>
      </c>
      <c r="AE24" s="386" t="n">
        <f aca="false">IF(AE13&lt;0,0,AE21+AE16)</f>
        <v>0</v>
      </c>
      <c r="AF24" s="386" t="n">
        <f aca="false">IF(AF13&lt;0,0,AF21+AF16)</f>
        <v>0</v>
      </c>
    </row>
    <row r="25" customFormat="false" ht="12.75" hidden="false" customHeight="false" outlineLevel="0" collapsed="false">
      <c r="A25" s="186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</row>
    <row r="26" customFormat="false" ht="12.75" hidden="false" customHeight="false" outlineLevel="0" collapsed="false">
      <c r="A26" s="479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8" t="s">
        <v>429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9" t="s">
        <v>420</v>
      </c>
      <c r="B28" s="180" t="n">
        <f aca="false">B13</f>
        <v>5924.96949443925</v>
      </c>
      <c r="C28" s="180" t="n">
        <f aca="false">C13</f>
        <v>2893.20343074949</v>
      </c>
      <c r="D28" s="180" t="n">
        <f aca="false">D13</f>
        <v>5387.64614383161</v>
      </c>
      <c r="E28" s="180" t="n">
        <f aca="false">E13</f>
        <v>7568.49786159863</v>
      </c>
      <c r="F28" s="180" t="n">
        <f aca="false">F13</f>
        <v>9027.45719016248</v>
      </c>
      <c r="G28" s="180" t="n">
        <f aca="false">G13</f>
        <v>11005.4936293155</v>
      </c>
      <c r="H28" s="180" t="n">
        <f aca="false">H13</f>
        <v>11853.1183674745</v>
      </c>
      <c r="I28" s="180" t="n">
        <f aca="false">I13</f>
        <v>12376.2919649251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9" t="s">
        <v>430</v>
      </c>
      <c r="B29" s="385" t="n">
        <f aca="false">-B24</f>
        <v>-414.747864610748</v>
      </c>
      <c r="C29" s="385" t="n">
        <f aca="false">-C24</f>
        <v>-202.524240152464</v>
      </c>
      <c r="D29" s="385" t="n">
        <f aca="false">-D24</f>
        <v>-377.135230068213</v>
      </c>
      <c r="E29" s="385" t="n">
        <f aca="false">-E24</f>
        <v>-529.794850311904</v>
      </c>
      <c r="F29" s="385" t="n">
        <f aca="false">-F24</f>
        <v>-631.922003311374</v>
      </c>
      <c r="G29" s="385" t="n">
        <f aca="false">-G24</f>
        <v>-770.384554052083</v>
      </c>
      <c r="H29" s="385" t="n">
        <f aca="false">-H24</f>
        <v>-829.718285723213</v>
      </c>
      <c r="I29" s="385" t="n">
        <f aca="false">-I24</f>
        <v>-866.34043754476</v>
      </c>
      <c r="J29" s="385" t="n">
        <f aca="false">-J24</f>
        <v>-843.37234003247</v>
      </c>
      <c r="K29" s="385" t="n">
        <f aca="false">-K24</f>
        <v>-498.397578083155</v>
      </c>
      <c r="L29" s="385" t="n">
        <f aca="false">-L24</f>
        <v>-0</v>
      </c>
      <c r="M29" s="385" t="n">
        <f aca="false">-M24</f>
        <v>-0</v>
      </c>
      <c r="N29" s="385" t="n">
        <f aca="false">-N24</f>
        <v>-0</v>
      </c>
      <c r="O29" s="385" t="n">
        <f aca="false">-O24</f>
        <v>-0</v>
      </c>
      <c r="P29" s="385" t="n">
        <f aca="false">-P24</f>
        <v>-0</v>
      </c>
      <c r="Q29" s="385" t="n">
        <f aca="false">-Q24</f>
        <v>-0</v>
      </c>
      <c r="R29" s="385" t="n">
        <f aca="false">-R24</f>
        <v>-0</v>
      </c>
      <c r="S29" s="385" t="n">
        <f aca="false">-S24</f>
        <v>-0</v>
      </c>
      <c r="T29" s="385" t="n">
        <f aca="false">-T24</f>
        <v>-0</v>
      </c>
      <c r="U29" s="385" t="n">
        <f aca="false">-U24</f>
        <v>-0</v>
      </c>
      <c r="V29" s="385" t="n">
        <f aca="false">-V24</f>
        <v>-0</v>
      </c>
      <c r="W29" s="385" t="n">
        <f aca="false">-W24</f>
        <v>-0</v>
      </c>
      <c r="X29" s="385" t="n">
        <f aca="false">-X24</f>
        <v>-0</v>
      </c>
      <c r="Y29" s="385" t="n">
        <f aca="false">-Y24</f>
        <v>-0</v>
      </c>
      <c r="Z29" s="385" t="n">
        <f aca="false">-Z24</f>
        <v>-0</v>
      </c>
      <c r="AA29" s="385" t="n">
        <f aca="false">-AA24</f>
        <v>-0</v>
      </c>
      <c r="AB29" s="385" t="n">
        <f aca="false">-AB24</f>
        <v>-0</v>
      </c>
      <c r="AC29" s="385" t="n">
        <f aca="false">-AC24</f>
        <v>-0</v>
      </c>
      <c r="AD29" s="385" t="n">
        <f aca="false">-AD24</f>
        <v>-0</v>
      </c>
      <c r="AE29" s="385" t="n">
        <f aca="false">-AE24</f>
        <v>-0</v>
      </c>
      <c r="AF29" s="385" t="n">
        <f aca="false">-AF24</f>
        <v>-0</v>
      </c>
    </row>
    <row r="30" customFormat="false" ht="12.75" hidden="false" customHeight="false" outlineLevel="0" collapsed="false">
      <c r="A30" s="509" t="s">
        <v>431</v>
      </c>
      <c r="B30" s="386" t="n">
        <f aca="false">SUM(B28:B29)</f>
        <v>5510.22162982851</v>
      </c>
      <c r="C30" s="386" t="n">
        <f aca="false">SUM(C28:C29)</f>
        <v>2690.67919059703</v>
      </c>
      <c r="D30" s="386" t="n">
        <f aca="false">SUM(D28:D29)</f>
        <v>5010.5109137634</v>
      </c>
      <c r="E30" s="386" t="n">
        <f aca="false">SUM(E28:E29)</f>
        <v>7038.70301128672</v>
      </c>
      <c r="F30" s="386" t="n">
        <f aca="false">SUM(F28:F29)</f>
        <v>8395.53518685111</v>
      </c>
      <c r="G30" s="386" t="n">
        <f aca="false">SUM(G28:G29)</f>
        <v>10235.1090752634</v>
      </c>
      <c r="H30" s="386" t="n">
        <f aca="false">SUM(H28:H29)</f>
        <v>11023.4000817513</v>
      </c>
      <c r="I30" s="386" t="n">
        <f aca="false">SUM(I28:I29)</f>
        <v>11509.9515273804</v>
      </c>
      <c r="J30" s="386" t="n">
        <f aca="false">SUM(J28:J29)</f>
        <v>11204.8039461457</v>
      </c>
      <c r="K30" s="386" t="n">
        <f aca="false">SUM(K28:K29)</f>
        <v>6621.56782310477</v>
      </c>
      <c r="L30" s="386" t="n">
        <f aca="false">SUM(L28:L29)</f>
        <v>-7958.113465372</v>
      </c>
      <c r="M30" s="386" t="n">
        <f aca="false">SUM(M28:M29)</f>
        <v>-8068.70115968575</v>
      </c>
      <c r="N30" s="386" t="n">
        <f aca="false">SUM(N28:N29)</f>
        <v>-8226.7396636676</v>
      </c>
      <c r="O30" s="386" t="n">
        <f aca="false">SUM(O28:O29)</f>
        <v>-8419.37452406749</v>
      </c>
      <c r="P30" s="386" t="n">
        <f aca="false">SUM(P28:P29)</f>
        <v>-8608.08417606418</v>
      </c>
      <c r="Q30" s="386" t="n">
        <f aca="false">SUM(Q28:Q29)</f>
        <v>-5871.46959972532</v>
      </c>
      <c r="R30" s="386" t="n">
        <f aca="false">SUM(R28:R29)</f>
        <v>-3154.14069101466</v>
      </c>
      <c r="S30" s="386" t="n">
        <f aca="false">SUM(S28:S29)</f>
        <v>-3409.82524690417</v>
      </c>
      <c r="T30" s="386" t="n">
        <f aca="false">SUM(T28:T29)</f>
        <v>-3687.95810716531</v>
      </c>
      <c r="U30" s="386" t="n">
        <f aca="false">SUM(U28:U29)</f>
        <v>-3990.26792007103</v>
      </c>
      <c r="V30" s="386" t="n">
        <f aca="false">SUM(V28:V29)</f>
        <v>-4286.17332068193</v>
      </c>
      <c r="W30" s="386" t="n">
        <f aca="false">SUM(W28:W29)</f>
        <v>-4627.25250269226</v>
      </c>
      <c r="X30" s="386" t="n">
        <f aca="false">SUM(X28:X29)</f>
        <v>-5016.32128828773</v>
      </c>
      <c r="Y30" s="386" t="n">
        <f aca="false">SUM(Y28:Y29)</f>
        <v>-5439.16257967518</v>
      </c>
      <c r="Z30" s="386" t="n">
        <f aca="false">SUM(Z28:Z29)</f>
        <v>-5899.39718680871</v>
      </c>
      <c r="AA30" s="386" t="n">
        <f aca="false">SUM(AA28:AA29)</f>
        <v>-6399.38725548833</v>
      </c>
      <c r="AB30" s="386" t="n">
        <f aca="false">SUM(AB28:AB29)</f>
        <v>-6943.07457480925</v>
      </c>
      <c r="AC30" s="386" t="n">
        <f aca="false">SUM(AC28:AC29)</f>
        <v>-7533.91602589975</v>
      </c>
      <c r="AD30" s="386" t="n">
        <f aca="false">SUM(AD28:AD29)</f>
        <v>-8176.85448916399</v>
      </c>
      <c r="AE30" s="386" t="n">
        <f aca="false">SUM(AE28:AE29)</f>
        <v>-8875.30008738563</v>
      </c>
      <c r="AF30" s="386" t="n">
        <f aca="false">SUM(AF28:AF29)</f>
        <v>-9670.79675694299</v>
      </c>
    </row>
    <row r="31" customFormat="false" ht="12.75" hidden="false" customHeight="false" outlineLevel="0" collapsed="false">
      <c r="A31" s="509"/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</row>
    <row r="32" customFormat="false" ht="12.75" hidden="false" customHeight="false" outlineLevel="0" collapsed="false">
      <c r="A32" s="479" t="s">
        <v>432</v>
      </c>
      <c r="B32" s="515" t="n">
        <f aca="false">Assumptions!$N$50</f>
        <v>0.35</v>
      </c>
      <c r="C32" s="515" t="n">
        <f aca="false">Assumptions!$N$50</f>
        <v>0.35</v>
      </c>
      <c r="D32" s="515" t="n">
        <f aca="false">Assumptions!$N$50</f>
        <v>0.35</v>
      </c>
      <c r="E32" s="515" t="n">
        <f aca="false">Assumptions!$N$50</f>
        <v>0.35</v>
      </c>
      <c r="F32" s="515" t="n">
        <f aca="false">Assumptions!$N$50</f>
        <v>0.35</v>
      </c>
      <c r="G32" s="515" t="n">
        <f aca="false">Assumptions!$N$50</f>
        <v>0.35</v>
      </c>
      <c r="H32" s="515" t="n">
        <f aca="false">Assumptions!$N$50</f>
        <v>0.35</v>
      </c>
      <c r="I32" s="515" t="n">
        <f aca="false">Assumptions!$N$50</f>
        <v>0.35</v>
      </c>
      <c r="J32" s="515" t="n">
        <f aca="false">Assumptions!$N$50</f>
        <v>0.35</v>
      </c>
      <c r="K32" s="515" t="n">
        <f aca="false">Assumptions!$N$50</f>
        <v>0.35</v>
      </c>
      <c r="L32" s="515" t="n">
        <f aca="false">Assumptions!$N$50</f>
        <v>0.35</v>
      </c>
      <c r="M32" s="515" t="n">
        <f aca="false">Assumptions!$N$50</f>
        <v>0.35</v>
      </c>
      <c r="N32" s="515" t="n">
        <f aca="false">Assumptions!$N$50</f>
        <v>0.35</v>
      </c>
      <c r="O32" s="515" t="n">
        <f aca="false">Assumptions!$N$50</f>
        <v>0.35</v>
      </c>
      <c r="P32" s="515" t="n">
        <f aca="false">Assumptions!$N$50</f>
        <v>0.35</v>
      </c>
      <c r="Q32" s="515" t="n">
        <f aca="false">Assumptions!$N$50</f>
        <v>0.35</v>
      </c>
      <c r="R32" s="515" t="n">
        <f aca="false">Assumptions!$N$50</f>
        <v>0.35</v>
      </c>
      <c r="S32" s="515" t="n">
        <f aca="false">Assumptions!$N$50</f>
        <v>0.35</v>
      </c>
      <c r="T32" s="515" t="n">
        <f aca="false">Assumptions!$N$50</f>
        <v>0.35</v>
      </c>
      <c r="U32" s="515" t="n">
        <f aca="false">Assumptions!$N$50</f>
        <v>0.35</v>
      </c>
      <c r="V32" s="515" t="n">
        <f aca="false">Assumptions!$N$50</f>
        <v>0.35</v>
      </c>
      <c r="W32" s="515" t="n">
        <f aca="false">Assumptions!$N$50</f>
        <v>0.35</v>
      </c>
      <c r="X32" s="515" t="n">
        <f aca="false">Assumptions!$N$50</f>
        <v>0.35</v>
      </c>
      <c r="Y32" s="515" t="n">
        <f aca="false">Assumptions!$N$50</f>
        <v>0.35</v>
      </c>
      <c r="Z32" s="515" t="n">
        <f aca="false">Assumptions!$N$50</f>
        <v>0.35</v>
      </c>
      <c r="AA32" s="515" t="n">
        <f aca="false">Assumptions!$N$50</f>
        <v>0.35</v>
      </c>
      <c r="AB32" s="515" t="n">
        <f aca="false">Assumptions!$N$50</f>
        <v>0.35</v>
      </c>
      <c r="AC32" s="515" t="n">
        <f aca="false">Assumptions!$N$50</f>
        <v>0.35</v>
      </c>
      <c r="AD32" s="515" t="n">
        <f aca="false">Assumptions!$N$50</f>
        <v>0.35</v>
      </c>
      <c r="AE32" s="515" t="n">
        <f aca="false">Assumptions!$N$50</f>
        <v>0.35</v>
      </c>
      <c r="AF32" s="515" t="n">
        <f aca="false">Assumptions!$N$50</f>
        <v>0.35</v>
      </c>
    </row>
    <row r="33" customFormat="false" ht="12.75" hidden="false" customHeight="false" outlineLevel="0" collapsed="false">
      <c r="A33" s="479" t="s">
        <v>433</v>
      </c>
      <c r="B33" s="180" t="n">
        <f aca="false">B30*B32</f>
        <v>1928.57757043998</v>
      </c>
      <c r="C33" s="180" t="n">
        <f aca="false">C30*C32</f>
        <v>941.73771670896</v>
      </c>
      <c r="D33" s="180" t="n">
        <f aca="false">D30*D32</f>
        <v>1753.67881981719</v>
      </c>
      <c r="E33" s="180" t="n">
        <f aca="false">E30*E32</f>
        <v>2463.54605395035</v>
      </c>
      <c r="F33" s="180" t="n">
        <f aca="false">F30*F32</f>
        <v>2938.43731539789</v>
      </c>
      <c r="G33" s="180" t="n">
        <f aca="false">G30*G32</f>
        <v>3582.28817634219</v>
      </c>
      <c r="H33" s="180" t="n">
        <f aca="false">H30*H32</f>
        <v>3858.19002861294</v>
      </c>
      <c r="I33" s="180" t="n">
        <f aca="false">I30*I32</f>
        <v>4028.48303458313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9" t="s">
        <v>423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9" t="s">
        <v>424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425</v>
      </c>
      <c r="B37" s="511" t="n">
        <v>0</v>
      </c>
      <c r="C37" s="512" t="n">
        <v>0</v>
      </c>
      <c r="D37" s="512" t="n">
        <v>0</v>
      </c>
      <c r="E37" s="512" t="n">
        <v>0</v>
      </c>
      <c r="F37" s="512" t="n">
        <v>0</v>
      </c>
      <c r="G37" s="512" t="n">
        <v>0</v>
      </c>
      <c r="H37" s="512" t="n">
        <v>0</v>
      </c>
      <c r="I37" s="512" t="n">
        <v>0</v>
      </c>
      <c r="J37" s="512" t="n">
        <v>0</v>
      </c>
      <c r="K37" s="512" t="n">
        <v>0</v>
      </c>
      <c r="L37" s="512" t="n">
        <v>0</v>
      </c>
      <c r="M37" s="512" t="n">
        <v>0</v>
      </c>
      <c r="N37" s="512" t="n">
        <v>0</v>
      </c>
      <c r="O37" s="512" t="n">
        <v>0</v>
      </c>
      <c r="P37" s="513" t="n">
        <v>0</v>
      </c>
      <c r="Q37" s="514" t="n">
        <f aca="false">IF(-SUM(B38:P38,B37:P37)&gt;B36,0,-B36-SUM(B38:P38,B37:P37))</f>
        <v>-0</v>
      </c>
      <c r="R37" s="514" t="n">
        <f aca="false">IF(-SUM(C38:Q38,C37:Q37)&gt;C36,0,-C36-SUM(C38:Q38,C37:Q37))</f>
        <v>-0</v>
      </c>
      <c r="S37" s="514" t="n">
        <f aca="false">IF(-SUM(D38:R38,D37:R37)&gt;D36,0,-D36-SUM(D38:R38,D37:R37))</f>
        <v>-0</v>
      </c>
      <c r="T37" s="514" t="n">
        <f aca="false">IF(-SUM(E38:S38,E37:S37)&gt;E36,0,-E36-SUM(E38:S38,E37:S37))</f>
        <v>-0</v>
      </c>
      <c r="U37" s="514" t="n">
        <f aca="false">IF(-SUM(F38:T38,F37:T37)&gt;F36,0,-F36-SUM(F38:T38,F37:T37))</f>
        <v>-0</v>
      </c>
      <c r="V37" s="514" t="n">
        <f aca="false">IF(-SUM(G38:U38,G37:U37)&gt;G36,0,-G36-SUM(G38:U38,G37:U37))</f>
        <v>-0</v>
      </c>
      <c r="W37" s="514" t="n">
        <f aca="false">IF(-SUM(H38:V38,H37:V37)&gt;H36,0,-H36-SUM(H38:V38,H37:V37))</f>
        <v>-0</v>
      </c>
      <c r="X37" s="514" t="n">
        <f aca="false">IF(-SUM(I38:W38,I37:W37)&gt;I36,0,-I36-SUM(I38:W38,I37:W37))</f>
        <v>-0</v>
      </c>
      <c r="Y37" s="514" t="n">
        <f aca="false">IF(-SUM(J38:X38,J37:X37)&gt;J36,0,-J36-SUM(J38:X38,J37:X37))</f>
        <v>-0</v>
      </c>
      <c r="Z37" s="514" t="n">
        <f aca="false">IF(-SUM(K38:Y38,K37:Y37)&gt;K36,0,-K36-SUM(K38:Y38,K37:Y37))</f>
        <v>-0</v>
      </c>
      <c r="AA37" s="514" t="n">
        <f aca="false">IF(-SUM(L38:Z38,L37:Z37)&gt;L36,0,-L36-SUM(L38:Z38,L37:Z37))</f>
        <v>-2785.3397128802</v>
      </c>
      <c r="AB37" s="514" t="n">
        <f aca="false">IF(-SUM(M38:AA38,M37:AA37)&gt;M36,0,-M36-SUM(M38:AA38,M37:AA37))</f>
        <v>-38.7056930098138</v>
      </c>
      <c r="AC37" s="514" t="n">
        <f aca="false">IF(-SUM(N38:AB38,N37:AB37)&gt;N36,0,-N36-SUM(N38:AB38,N37:AB37))</f>
        <v>-55.3134763936464</v>
      </c>
      <c r="AD37" s="514" t="n">
        <f aca="false">IF(-SUM(O38:AC38,O37:AC37)&gt;O36,0,-O36-SUM(O38:AC38,O37:AC37))</f>
        <v>-67.4222011399629</v>
      </c>
      <c r="AE37" s="514" t="n">
        <f aca="false">IF(-SUM(P38:AD38,P37:AD37)&gt;P36,0,-P36-SUM(P38:AD38,P37:AD37))</f>
        <v>-66.048378198841</v>
      </c>
      <c r="AF37" s="514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434</v>
      </c>
      <c r="B38" s="385" t="n">
        <f aca="false">IF(B33&lt;0,0,IF(B35&gt;B33,-B33,-B35))</f>
        <v>-0</v>
      </c>
      <c r="C38" s="385" t="n">
        <f aca="false">IF(C33&lt;0,0,IF(C35&gt;C33,-C33,-C35))</f>
        <v>-0</v>
      </c>
      <c r="D38" s="385" t="n">
        <f aca="false">IF(D33&lt;0,0,IF(D35&gt;D33,-D33,-D35))</f>
        <v>-0</v>
      </c>
      <c r="E38" s="385" t="n">
        <f aca="false">IF(E33&lt;0,0,IF(E35&gt;E33,-E33,-E35))</f>
        <v>-0</v>
      </c>
      <c r="F38" s="385" t="n">
        <f aca="false">IF(F33&lt;0,0,IF(F35&gt;F33,-F33,-F35))</f>
        <v>-0</v>
      </c>
      <c r="G38" s="385" t="n">
        <f aca="false">IF(G33&lt;0,0,IF(G35&gt;G33,-G33,-G35))</f>
        <v>-0</v>
      </c>
      <c r="H38" s="385" t="n">
        <f aca="false">IF(H33&lt;0,0,IF(H35&gt;H33,-H33,-H35))</f>
        <v>-0</v>
      </c>
      <c r="I38" s="385" t="n">
        <f aca="false">IF(I33&lt;0,0,IF(I35&gt;I33,-I33,-I35))</f>
        <v>-0</v>
      </c>
      <c r="J38" s="385" t="n">
        <f aca="false">IF(J33&lt;0,0,IF(J35&gt;J33,-J33,-J35))</f>
        <v>-0</v>
      </c>
      <c r="K38" s="385" t="n">
        <f aca="false">IF(K33&lt;0,0,IF(K35&gt;K33,-K33,-K35))</f>
        <v>-0</v>
      </c>
      <c r="L38" s="385" t="n">
        <f aca="false">IF(L33&lt;0,0,IF(L35&gt;L33,-L33,-L35))</f>
        <v>0</v>
      </c>
      <c r="M38" s="385" t="n">
        <f aca="false">IF(M33&lt;0,0,IF(M35&gt;M33,-M33,-M35))</f>
        <v>0</v>
      </c>
      <c r="N38" s="385" t="n">
        <f aca="false">IF(N33&lt;0,0,IF(N35&gt;N33,-N33,-N35))</f>
        <v>0</v>
      </c>
      <c r="O38" s="385" t="n">
        <f aca="false">IF(O33&lt;0,0,IF(O35&gt;O33,-O33,-O35))</f>
        <v>0</v>
      </c>
      <c r="P38" s="385" t="n">
        <f aca="false">IF(P33&lt;0,0,IF(P35&gt;P33,-P33,-P35))</f>
        <v>0</v>
      </c>
      <c r="Q38" s="385" t="n">
        <f aca="false">IF(Q33&lt;0,0,IF(Q35&gt;Q33,-Q33,-Q35))</f>
        <v>0</v>
      </c>
      <c r="R38" s="385" t="n">
        <f aca="false">IF(R33&lt;0,0,IF(R35&gt;R33,-R33,-R35))</f>
        <v>0</v>
      </c>
      <c r="S38" s="385" t="n">
        <f aca="false">IF(S33&lt;0,0,IF(S35&gt;S33,-S33,-S35))</f>
        <v>0</v>
      </c>
      <c r="T38" s="385" t="n">
        <f aca="false">IF(T33&lt;0,0,IF(T35&gt;T33,-T33,-T35))</f>
        <v>0</v>
      </c>
      <c r="U38" s="385" t="n">
        <f aca="false">IF(U33&lt;0,0,IF(U35&gt;U33,-U33,-U35))</f>
        <v>0</v>
      </c>
      <c r="V38" s="385" t="n">
        <f aca="false">IF(V33&lt;0,0,IF(V35&gt;V33,-V33,-V35))</f>
        <v>0</v>
      </c>
      <c r="W38" s="385" t="n">
        <f aca="false">IF(W33&lt;0,0,IF(W35&gt;W33,-W33,-W35))</f>
        <v>0</v>
      </c>
      <c r="X38" s="385" t="n">
        <f aca="false">IF(X33&lt;0,0,IF(X35&gt;X33,-X33,-X35))</f>
        <v>0</v>
      </c>
      <c r="Y38" s="385" t="n">
        <f aca="false">IF(Y33&lt;0,0,IF(Y35&gt;Y33,-Y33,-Y35))</f>
        <v>0</v>
      </c>
      <c r="Z38" s="385" t="n">
        <f aca="false">IF(Z33&lt;0,0,IF(Z35&gt;Z33,-Z33,-Z35))</f>
        <v>0</v>
      </c>
      <c r="AA38" s="385" t="n">
        <f aca="false">IF(AA33&lt;0,0,IF(AA35&gt;AA33,-AA33,-AA35))</f>
        <v>0</v>
      </c>
      <c r="AB38" s="385" t="n">
        <f aca="false">IF(AB33&lt;0,0,IF(AB35&gt;AB33,-AB33,-AB35))</f>
        <v>0</v>
      </c>
      <c r="AC38" s="385" t="n">
        <f aca="false">IF(AC33&lt;0,0,IF(AC35&gt;AC33,-AC33,-AC35))</f>
        <v>0</v>
      </c>
      <c r="AD38" s="385" t="n">
        <f aca="false">IF(AD33&lt;0,0,IF(AD35&gt;AD33,-AD33,-AD35))</f>
        <v>0</v>
      </c>
      <c r="AE38" s="385" t="n">
        <f aca="false">IF(AE33&lt;0,0,IF(AE35&gt;AE33,-AE33,-AE35))</f>
        <v>0</v>
      </c>
      <c r="AF38" s="385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427</v>
      </c>
      <c r="B39" s="385" t="n">
        <f aca="false">SUM(B35:B38)</f>
        <v>0</v>
      </c>
      <c r="C39" s="385" t="n">
        <f aca="false">SUM(C35:C38)</f>
        <v>0</v>
      </c>
      <c r="D39" s="385" t="n">
        <f aca="false">SUM(D35:D38)</f>
        <v>0</v>
      </c>
      <c r="E39" s="385" t="n">
        <f aca="false">SUM(E35:E38)</f>
        <v>0</v>
      </c>
      <c r="F39" s="385" t="n">
        <f aca="false">SUM(F35:F38)</f>
        <v>0</v>
      </c>
      <c r="G39" s="385" t="n">
        <f aca="false">SUM(G35:G38)</f>
        <v>0</v>
      </c>
      <c r="H39" s="385" t="n">
        <f aca="false">SUM(H35:H38)</f>
        <v>0</v>
      </c>
      <c r="I39" s="385" t="n">
        <f aca="false">SUM(I35:I38)</f>
        <v>0</v>
      </c>
      <c r="J39" s="385" t="n">
        <f aca="false">SUM(J35:J38)</f>
        <v>0</v>
      </c>
      <c r="K39" s="385" t="n">
        <f aca="false">SUM(K35:K38)</f>
        <v>0</v>
      </c>
      <c r="L39" s="385" t="n">
        <f aca="false">SUM(L35:L38)</f>
        <v>2785.3397128802</v>
      </c>
      <c r="M39" s="385" t="n">
        <f aca="false">SUM(M35:M38)</f>
        <v>5609.38511877021</v>
      </c>
      <c r="N39" s="385" t="n">
        <f aca="false">SUM(N35:N38)</f>
        <v>8488.74400105387</v>
      </c>
      <c r="O39" s="385" t="n">
        <f aca="false">SUM(O35:O38)</f>
        <v>11435.5250844775</v>
      </c>
      <c r="P39" s="385" t="n">
        <f aca="false">SUM(P35:P38)</f>
        <v>14448.3545461</v>
      </c>
      <c r="Q39" s="385" t="n">
        <f aca="false">SUM(Q35:Q38)</f>
        <v>16503.3689060038</v>
      </c>
      <c r="R39" s="385" t="n">
        <f aca="false">SUM(R35:R38)</f>
        <v>17607.318147859</v>
      </c>
      <c r="S39" s="385" t="n">
        <f aca="false">SUM(S35:S38)</f>
        <v>18800.7569842754</v>
      </c>
      <c r="T39" s="385" t="n">
        <f aca="false">SUM(T35:T38)</f>
        <v>1290.78533750786</v>
      </c>
      <c r="U39" s="385" t="n">
        <f aca="false">SUM(U35:U38)</f>
        <v>2687.37910953272</v>
      </c>
      <c r="V39" s="385" t="n">
        <f aca="false">SUM(V35:V38)</f>
        <v>4187.53977177139</v>
      </c>
      <c r="W39" s="385" t="n">
        <f aca="false">SUM(W35:W38)</f>
        <v>5807.07814771368</v>
      </c>
      <c r="X39" s="385" t="n">
        <f aca="false">SUM(X35:X38)</f>
        <v>7562.79059861439</v>
      </c>
      <c r="Y39" s="385" t="n">
        <f aca="false">SUM(Y35:Y38)</f>
        <v>9466.4975015007</v>
      </c>
      <c r="Z39" s="385" t="n">
        <f aca="false">SUM(Z35:Z38)</f>
        <v>11531.2865168837</v>
      </c>
      <c r="AA39" s="385" t="n">
        <f aca="false">SUM(AA35:AA38)</f>
        <v>10985.7323434245</v>
      </c>
      <c r="AB39" s="385" t="n">
        <f aca="false">SUM(AB35:AB38)</f>
        <v>13377.1027515979</v>
      </c>
      <c r="AC39" s="385" t="n">
        <f aca="false">SUM(AC35:AC38)</f>
        <v>15958.6598842692</v>
      </c>
      <c r="AD39" s="385" t="n">
        <f aca="false">SUM(AD35:AD38)</f>
        <v>18753.1367543366</v>
      </c>
      <c r="AE39" s="385" t="n">
        <f aca="false">SUM(AE35:AE38)</f>
        <v>21793.4434067227</v>
      </c>
      <c r="AF39" s="385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428</v>
      </c>
      <c r="B41" s="386" t="n">
        <f aca="false">IF(B30&lt;0,0,B38+B33)</f>
        <v>1928.57757043998</v>
      </c>
      <c r="C41" s="386" t="n">
        <f aca="false">IF(C30&lt;0,0,C38+C33)</f>
        <v>941.73771670896</v>
      </c>
      <c r="D41" s="386" t="n">
        <f aca="false">IF(D30&lt;0,0,D38+D33)</f>
        <v>1753.67881981719</v>
      </c>
      <c r="E41" s="386" t="n">
        <f aca="false">IF(E30&lt;0,0,E38+E33)</f>
        <v>2463.54605395035</v>
      </c>
      <c r="F41" s="386" t="n">
        <f aca="false">IF(F30&lt;0,0,F38+F33)</f>
        <v>2938.43731539789</v>
      </c>
      <c r="G41" s="386" t="n">
        <f aca="false">IF(G30&lt;0,0,G38+G33)</f>
        <v>3582.28817634219</v>
      </c>
      <c r="H41" s="386" t="n">
        <f aca="false">IF(H30&lt;0,0,H38+H33)</f>
        <v>3858.19002861294</v>
      </c>
      <c r="I41" s="386" t="n">
        <f aca="false">IF(I30&lt;0,0,I38+I33)</f>
        <v>4028.48303458313</v>
      </c>
      <c r="J41" s="386" t="n">
        <f aca="false">IF(J30&lt;0,0,J38+J33)</f>
        <v>3921.68138115098</v>
      </c>
      <c r="K41" s="386" t="n">
        <f aca="false">IF(K30&lt;0,0,K38+K33)</f>
        <v>2317.54873808667</v>
      </c>
      <c r="L41" s="386" t="n">
        <f aca="false">IF(L30&lt;0,0,L38+L33)</f>
        <v>0</v>
      </c>
      <c r="M41" s="386" t="n">
        <f aca="false">IF(M30&lt;0,0,M38+M33)</f>
        <v>0</v>
      </c>
      <c r="N41" s="386" t="n">
        <f aca="false">IF(N30&lt;0,0,N38+N33)</f>
        <v>0</v>
      </c>
      <c r="O41" s="386" t="n">
        <f aca="false">IF(O30&lt;0,0,O38+O33)</f>
        <v>0</v>
      </c>
      <c r="P41" s="386" t="n">
        <f aca="false">IF(P30&lt;0,0,P38+P33)</f>
        <v>0</v>
      </c>
      <c r="Q41" s="386" t="n">
        <f aca="false">IF(Q30&lt;0,0,Q38+Q33)</f>
        <v>0</v>
      </c>
      <c r="R41" s="386" t="n">
        <f aca="false">IF(R30&lt;0,0,R38+R33)</f>
        <v>0</v>
      </c>
      <c r="S41" s="386" t="n">
        <f aca="false">IF(S30&lt;0,0,S38+S33)</f>
        <v>0</v>
      </c>
      <c r="T41" s="386" t="n">
        <f aca="false">IF(T30&lt;0,0,T38+T33)</f>
        <v>0</v>
      </c>
      <c r="U41" s="386" t="n">
        <f aca="false">IF(U30&lt;0,0,U38+U33)</f>
        <v>0</v>
      </c>
      <c r="V41" s="386" t="n">
        <f aca="false">IF(V30&lt;0,0,V38+V33)</f>
        <v>0</v>
      </c>
      <c r="W41" s="386" t="n">
        <f aca="false">IF(W30&lt;0,0,W38+W33)</f>
        <v>0</v>
      </c>
      <c r="X41" s="386" t="n">
        <f aca="false">IF(X30&lt;0,0,X38+X33)</f>
        <v>0</v>
      </c>
      <c r="Y41" s="386" t="n">
        <f aca="false">IF(Y30&lt;0,0,Y38+Y33)</f>
        <v>0</v>
      </c>
      <c r="Z41" s="386" t="n">
        <f aca="false">IF(Z30&lt;0,0,Z38+Z33)</f>
        <v>0</v>
      </c>
      <c r="AA41" s="386" t="n">
        <f aca="false">IF(AA30&lt;0,0,AA38+AA33)</f>
        <v>0</v>
      </c>
      <c r="AB41" s="386" t="n">
        <f aca="false">IF(AB30&lt;0,0,AB38+AB33)</f>
        <v>0</v>
      </c>
      <c r="AC41" s="386" t="n">
        <f aca="false">IF(AC30&lt;0,0,AC38+AC33)</f>
        <v>0</v>
      </c>
      <c r="AD41" s="386" t="n">
        <f aca="false">IF(AD30&lt;0,0,AD38+AD33)</f>
        <v>0</v>
      </c>
      <c r="AE41" s="386" t="n">
        <f aca="false">IF(AE30&lt;0,0,AE38+AE33)</f>
        <v>0</v>
      </c>
      <c r="AF41" s="386" t="n">
        <f aca="false">IF(AF30&lt;0,0,AF38+AF33)</f>
        <v>0</v>
      </c>
    </row>
    <row r="42" customFormat="false" ht="12.75" hidden="false" customHeight="false" outlineLevel="0" collapsed="false">
      <c r="A42" s="186"/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516"/>
      <c r="Y42" s="516"/>
    </row>
    <row r="43" customFormat="false" ht="12.75" hidden="false" customHeight="false" outlineLevel="0" collapsed="false"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3" t="s">
        <v>435</v>
      </c>
      <c r="B4" s="517"/>
      <c r="C4" s="7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85"/>
      <c r="Y4" s="485"/>
    </row>
    <row r="5" customFormat="false" ht="12.75" hidden="false" customHeight="false" outlineLevel="0" collapsed="false">
      <c r="A5" s="24"/>
      <c r="B5" s="505"/>
      <c r="C5" s="497"/>
      <c r="D5" s="497"/>
      <c r="E5" s="497"/>
      <c r="F5" s="497"/>
      <c r="G5" s="497"/>
      <c r="H5" s="497"/>
      <c r="I5" s="506"/>
      <c r="J5" s="497"/>
      <c r="K5" s="497"/>
      <c r="L5" s="497"/>
      <c r="M5" s="497"/>
      <c r="N5" s="497"/>
      <c r="O5" s="506"/>
      <c r="P5" s="497"/>
      <c r="Q5" s="497"/>
      <c r="R5" s="497"/>
      <c r="S5" s="497"/>
      <c r="T5" s="497"/>
      <c r="U5" s="506"/>
      <c r="V5" s="497"/>
      <c r="W5" s="497"/>
      <c r="X5" s="505"/>
      <c r="Y5" s="505"/>
    </row>
    <row r="6" customFormat="false" ht="12.75" hidden="false" customHeight="false" outlineLevel="0" collapsed="false">
      <c r="A6" s="24" t="s">
        <v>436</v>
      </c>
      <c r="B6" s="518"/>
      <c r="C6" s="519" t="n">
        <v>33317.08</v>
      </c>
      <c r="D6" s="520"/>
      <c r="E6" s="520"/>
      <c r="F6" s="520"/>
      <c r="G6" s="520"/>
      <c r="H6" s="520"/>
      <c r="I6" s="521"/>
      <c r="J6" s="520"/>
      <c r="K6" s="520"/>
      <c r="L6" s="520"/>
      <c r="M6" s="520"/>
      <c r="N6" s="520"/>
      <c r="O6" s="521"/>
      <c r="P6" s="520"/>
      <c r="Q6" s="520"/>
      <c r="R6" s="520"/>
      <c r="S6" s="520"/>
      <c r="T6" s="520"/>
      <c r="U6" s="521"/>
      <c r="V6" s="520"/>
      <c r="W6" s="520"/>
      <c r="X6" s="518"/>
      <c r="Y6" s="518"/>
    </row>
    <row r="7" customFormat="false" ht="12.75" hidden="false" customHeight="false" outlineLevel="0" collapsed="false">
      <c r="A7" s="24" t="s">
        <v>437</v>
      </c>
      <c r="B7" s="518"/>
      <c r="C7" s="522" t="n">
        <v>8</v>
      </c>
      <c r="D7" s="520"/>
      <c r="E7" s="520"/>
      <c r="F7" s="520"/>
      <c r="G7" s="520"/>
      <c r="H7" s="520"/>
      <c r="I7" s="521"/>
      <c r="J7" s="520"/>
      <c r="K7" s="520"/>
      <c r="L7" s="520"/>
      <c r="M7" s="520"/>
      <c r="N7" s="520"/>
      <c r="O7" s="521"/>
      <c r="P7" s="520"/>
      <c r="Q7" s="520"/>
      <c r="R7" s="520"/>
      <c r="S7" s="520"/>
      <c r="T7" s="520"/>
      <c r="U7" s="521"/>
      <c r="V7" s="520"/>
      <c r="W7" s="520"/>
      <c r="X7" s="518"/>
      <c r="Y7" s="518"/>
    </row>
    <row r="8" customFormat="false" ht="12.75" hidden="false" customHeight="false" outlineLevel="0" collapsed="false">
      <c r="A8" s="24" t="s">
        <v>438</v>
      </c>
      <c r="B8" s="518"/>
      <c r="C8" s="523" t="n">
        <f aca="false">Assumptions!H39</f>
        <v>0.085</v>
      </c>
      <c r="D8" s="524" t="n">
        <f aca="false">C8/360</f>
        <v>0.000236111111111111</v>
      </c>
      <c r="E8" s="520"/>
      <c r="F8" s="520"/>
      <c r="G8" s="520"/>
      <c r="H8" s="520"/>
      <c r="I8" s="521"/>
      <c r="J8" s="520"/>
      <c r="K8" s="520"/>
      <c r="L8" s="520"/>
      <c r="M8" s="520"/>
      <c r="N8" s="520"/>
      <c r="O8" s="521"/>
      <c r="P8" s="520"/>
      <c r="Q8" s="520"/>
      <c r="R8" s="520"/>
      <c r="S8" s="520"/>
      <c r="T8" s="520"/>
      <c r="U8" s="521"/>
      <c r="V8" s="520"/>
      <c r="W8" s="520"/>
      <c r="X8" s="518"/>
      <c r="Y8" s="518"/>
    </row>
    <row r="9" customFormat="false" ht="12.75" hidden="false" customHeight="false" outlineLevel="0" collapsed="false">
      <c r="A9" s="24"/>
      <c r="B9" s="518"/>
      <c r="C9" s="525" t="s">
        <v>439</v>
      </c>
      <c r="D9" s="525" t="s">
        <v>440</v>
      </c>
      <c r="E9" s="520"/>
      <c r="F9" s="520"/>
      <c r="G9" s="520"/>
      <c r="H9" s="520"/>
      <c r="I9" s="521"/>
      <c r="J9" s="520"/>
      <c r="K9" s="520"/>
      <c r="L9" s="520"/>
      <c r="M9" s="520"/>
      <c r="N9" s="520"/>
      <c r="O9" s="521"/>
      <c r="P9" s="520"/>
      <c r="Q9" s="520"/>
      <c r="R9" s="520"/>
      <c r="S9" s="520"/>
      <c r="T9" s="520"/>
      <c r="U9" s="521"/>
      <c r="V9" s="520"/>
      <c r="W9" s="520"/>
      <c r="X9" s="518"/>
      <c r="Y9" s="518"/>
    </row>
    <row r="10" customFormat="false" ht="12.75" hidden="false" customHeight="false" outlineLevel="0" collapsed="false">
      <c r="A10" s="24"/>
      <c r="B10" s="518"/>
      <c r="C10" s="525"/>
      <c r="D10" s="525"/>
      <c r="E10" s="520"/>
      <c r="F10" s="520"/>
      <c r="G10" s="520"/>
      <c r="H10" s="520"/>
      <c r="I10" s="521"/>
      <c r="J10" s="520"/>
      <c r="K10" s="520"/>
      <c r="L10" s="520"/>
      <c r="M10" s="520"/>
      <c r="N10" s="520"/>
      <c r="O10" s="521"/>
      <c r="P10" s="520"/>
      <c r="Q10" s="520"/>
      <c r="R10" s="520"/>
      <c r="S10" s="520"/>
      <c r="T10" s="520"/>
      <c r="U10" s="521"/>
      <c r="V10" s="520"/>
      <c r="W10" s="520"/>
      <c r="X10" s="518"/>
      <c r="Y10" s="518"/>
    </row>
    <row r="11" customFormat="false" ht="12.75" hidden="false" customHeight="false" outlineLevel="0" collapsed="false">
      <c r="A11" s="24"/>
      <c r="B11" s="518"/>
      <c r="C11" s="525"/>
      <c r="D11" s="525"/>
      <c r="E11" s="520"/>
      <c r="F11" s="520"/>
      <c r="G11" s="520"/>
      <c r="H11" s="520"/>
      <c r="I11" s="521"/>
      <c r="J11" s="520"/>
      <c r="K11" s="520"/>
      <c r="L11" s="520"/>
      <c r="M11" s="520"/>
      <c r="N11" s="520"/>
      <c r="O11" s="521"/>
      <c r="P11" s="520"/>
      <c r="Q11" s="520"/>
      <c r="R11" s="520"/>
      <c r="S11" s="520"/>
      <c r="T11" s="520"/>
      <c r="U11" s="521"/>
      <c r="V11" s="520"/>
      <c r="W11" s="520"/>
      <c r="X11" s="518"/>
      <c r="Y11" s="518"/>
    </row>
    <row r="12" customFormat="false" ht="12.75" hidden="false" customHeight="false" outlineLevel="0" collapsed="false">
      <c r="A12" s="3"/>
      <c r="B12" s="276"/>
      <c r="C12" s="276"/>
      <c r="D12" s="526" t="s">
        <v>441</v>
      </c>
      <c r="E12" s="270" t="s">
        <v>442</v>
      </c>
      <c r="F12" s="276"/>
      <c r="G12" s="276"/>
      <c r="H12" s="276"/>
      <c r="I12" s="276"/>
      <c r="J12" s="174"/>
    </row>
    <row r="13" customFormat="false" ht="12.75" hidden="false" customHeight="false" outlineLevel="0" collapsed="false">
      <c r="A13" s="270" t="s">
        <v>443</v>
      </c>
      <c r="B13" s="3"/>
      <c r="C13" s="3"/>
      <c r="D13" s="526" t="s">
        <v>444</v>
      </c>
      <c r="E13" s="526" t="s">
        <v>445</v>
      </c>
      <c r="F13" s="526" t="s">
        <v>446</v>
      </c>
      <c r="G13" s="527" t="s">
        <v>447</v>
      </c>
      <c r="H13" s="526" t="s">
        <v>448</v>
      </c>
      <c r="I13" s="526" t="s">
        <v>449</v>
      </c>
      <c r="J13" s="145"/>
    </row>
    <row r="14" customFormat="false" ht="12.75" hidden="false" customHeight="false" outlineLevel="0" collapsed="false">
      <c r="A14" s="528" t="s">
        <v>450</v>
      </c>
      <c r="B14" s="528" t="s">
        <v>451</v>
      </c>
      <c r="C14" s="528" t="s">
        <v>452</v>
      </c>
      <c r="D14" s="528" t="s">
        <v>453</v>
      </c>
      <c r="E14" s="528" t="s">
        <v>453</v>
      </c>
      <c r="F14" s="528" t="s">
        <v>453</v>
      </c>
      <c r="G14" s="528" t="s">
        <v>453</v>
      </c>
      <c r="H14" s="528" t="s">
        <v>453</v>
      </c>
      <c r="I14" s="528" t="s">
        <v>453</v>
      </c>
      <c r="J14" s="145"/>
    </row>
    <row r="15" customFormat="false" ht="12.75" hidden="false" customHeight="false" outlineLevel="0" collapsed="false">
      <c r="A15" s="529" t="n">
        <v>1</v>
      </c>
      <c r="B15" s="530" t="n">
        <v>36617</v>
      </c>
      <c r="C15" s="531" t="n">
        <f aca="false">HLOOKUP(Assumptions!$H$12,IDC!$H$40:$L$56,2+F42)</f>
        <v>0.1</v>
      </c>
      <c r="D15" s="532" t="n">
        <f aca="false">D59*Assumptions!H12</f>
        <v>57041.7984293268</v>
      </c>
      <c r="E15" s="502" t="n">
        <f aca="false">C15*$C$6</f>
        <v>3331.708</v>
      </c>
      <c r="F15" s="502" t="n">
        <f aca="false">+E15+D15</f>
        <v>60373.5064293268</v>
      </c>
      <c r="G15" s="502" t="n">
        <f aca="false">F15+H15</f>
        <v>60373.5064293268</v>
      </c>
      <c r="H15" s="502" t="n">
        <v>0</v>
      </c>
      <c r="I15" s="502" t="n">
        <v>0</v>
      </c>
      <c r="K15" s="533"/>
    </row>
    <row r="16" customFormat="false" ht="12.75" hidden="false" customHeight="false" outlineLevel="0" collapsed="false">
      <c r="A16" s="529" t="n">
        <f aca="false">A15+1</f>
        <v>2</v>
      </c>
      <c r="B16" s="530" t="n">
        <v>36647</v>
      </c>
      <c r="C16" s="531" t="n">
        <f aca="false">HLOOKUP(Assumptions!$H$12,IDC!$H$40:$L$56,2+F43)</f>
        <v>0.12</v>
      </c>
      <c r="D16" s="532" t="n">
        <v>0</v>
      </c>
      <c r="E16" s="502" t="n">
        <f aca="false">C16*$C$6</f>
        <v>3998.0496</v>
      </c>
      <c r="F16" s="502" t="n">
        <f aca="false">+E16+D16</f>
        <v>3998.0496</v>
      </c>
      <c r="G16" s="502" t="n">
        <f aca="false">F16+G15+H16</f>
        <v>64799.2016998679</v>
      </c>
      <c r="H16" s="502" t="n">
        <f aca="false">IF(A16&gt;$C$7+1,0,G15*(B16-B15)*$D$8)</f>
        <v>427.645670541065</v>
      </c>
      <c r="I16" s="502" t="n">
        <f aca="false">IF(A16&lt;=$C$7+1,H16+I15,I15)</f>
        <v>427.645670541065</v>
      </c>
      <c r="K16" s="533"/>
    </row>
    <row r="17" customFormat="false" ht="12.75" hidden="false" customHeight="false" outlineLevel="0" collapsed="false">
      <c r="A17" s="529" t="n">
        <f aca="false">A16+1</f>
        <v>3</v>
      </c>
      <c r="B17" s="530" t="n">
        <v>36678</v>
      </c>
      <c r="C17" s="531" t="n">
        <f aca="false">HLOOKUP(Assumptions!$H$12,IDC!$H$40:$L$56,2+F44)</f>
        <v>0.13</v>
      </c>
      <c r="D17" s="532" t="n">
        <v>0</v>
      </c>
      <c r="E17" s="502" t="n">
        <f aca="false">C17*$C$6</f>
        <v>4331.2204</v>
      </c>
      <c r="F17" s="502" t="n">
        <f aca="false">+E17+D17</f>
        <v>4331.2204</v>
      </c>
      <c r="G17" s="502" t="n">
        <f aca="false">F17+G16+H17</f>
        <v>69604.7162567544</v>
      </c>
      <c r="H17" s="502" t="n">
        <f aca="false">IF(A17&gt;$C$7+1,0,G16*(B17-B16)*$D$8)</f>
        <v>474.294156886533</v>
      </c>
      <c r="I17" s="502" t="n">
        <f aca="false">IF(A17&lt;=$C$7+1,H17+I16,I16)</f>
        <v>901.939827427598</v>
      </c>
      <c r="K17" s="533"/>
    </row>
    <row r="18" customFormat="false" ht="12.75" hidden="false" customHeight="false" outlineLevel="0" collapsed="false">
      <c r="A18" s="529" t="n">
        <f aca="false">A17+1</f>
        <v>4</v>
      </c>
      <c r="B18" s="530" t="n">
        <v>36708</v>
      </c>
      <c r="C18" s="531" t="n">
        <f aca="false">HLOOKUP(Assumptions!$H$12,IDC!$H$40:$L$56,2+F45)</f>
        <v>0.13</v>
      </c>
      <c r="D18" s="532" t="n">
        <v>0</v>
      </c>
      <c r="E18" s="502" t="n">
        <f aca="false">C18*$C$6</f>
        <v>4331.2204</v>
      </c>
      <c r="F18" s="502" t="n">
        <f aca="false">+E18+D18</f>
        <v>4331.2204</v>
      </c>
      <c r="G18" s="502" t="n">
        <f aca="false">F18+G17+H18</f>
        <v>74428.9700635731</v>
      </c>
      <c r="H18" s="502" t="n">
        <f aca="false">IF(A18&gt;$C$7+1,0,G17*(B18-B17)*$D$8)</f>
        <v>493.033406818677</v>
      </c>
      <c r="I18" s="502" t="n">
        <f aca="false">IF(A18&lt;=$C$7+1,H18+I17,I17)</f>
        <v>1394.97323424628</v>
      </c>
      <c r="K18" s="533"/>
    </row>
    <row r="19" customFormat="false" ht="12.75" hidden="false" customHeight="false" outlineLevel="0" collapsed="false">
      <c r="A19" s="529" t="n">
        <f aca="false">A18+1</f>
        <v>5</v>
      </c>
      <c r="B19" s="530" t="n">
        <v>36739</v>
      </c>
      <c r="C19" s="531" t="n">
        <f aca="false">HLOOKUP(Assumptions!$H$12,IDC!$H$40:$L$56,2+F46)</f>
        <v>0.16</v>
      </c>
      <c r="D19" s="532" t="n">
        <v>0</v>
      </c>
      <c r="E19" s="502" t="n">
        <f aca="false">C19*$C$6</f>
        <v>5330.7328</v>
      </c>
      <c r="F19" s="502" t="n">
        <f aca="false">+E19+D19</f>
        <v>5330.7328</v>
      </c>
      <c r="G19" s="502" t="n">
        <f aca="false">F19+G18+H19</f>
        <v>80304.4815750107</v>
      </c>
      <c r="H19" s="502" t="n">
        <f aca="false">IF(A19&gt;$C$7+1,0,G18*(B19-B18)*$D$8)</f>
        <v>544.778711437542</v>
      </c>
      <c r="I19" s="502" t="n">
        <f aca="false">IF(A19&lt;=$C$7+1,H19+I18,I18)</f>
        <v>1939.75194568382</v>
      </c>
      <c r="K19" s="533"/>
    </row>
    <row r="20" customFormat="false" ht="12.75" hidden="false" customHeight="false" outlineLevel="0" collapsed="false">
      <c r="A20" s="529" t="n">
        <f aca="false">A19+1</f>
        <v>6</v>
      </c>
      <c r="B20" s="530" t="n">
        <v>36770</v>
      </c>
      <c r="C20" s="531" t="n">
        <f aca="false">HLOOKUP(Assumptions!$H$12,IDC!$H$40:$L$56,2+F47)</f>
        <v>0.12</v>
      </c>
      <c r="D20" s="532" t="n">
        <v>0</v>
      </c>
      <c r="E20" s="502" t="n">
        <f aca="false">C20*$C$6</f>
        <v>3998.0496</v>
      </c>
      <c r="F20" s="502" t="n">
        <f aca="false">+E20+D20</f>
        <v>3998.0496</v>
      </c>
      <c r="G20" s="502" t="n">
        <f aca="false">F20+G19+H20</f>
        <v>84890.3153665389</v>
      </c>
      <c r="H20" s="502" t="n">
        <f aca="false">IF(A20&gt;$C$7+1,0,G19*(B20-B19)*$D$8)</f>
        <v>587.784191528203</v>
      </c>
      <c r="I20" s="502" t="n">
        <f aca="false">IF(A20&lt;=$C$7+1,H20+I19,I19)</f>
        <v>2527.53613721202</v>
      </c>
      <c r="K20" s="533"/>
    </row>
    <row r="21" customFormat="false" ht="12.75" hidden="false" customHeight="false" outlineLevel="0" collapsed="false">
      <c r="A21" s="529" t="n">
        <f aca="false">A20+1</f>
        <v>7</v>
      </c>
      <c r="B21" s="530" t="n">
        <v>36800</v>
      </c>
      <c r="C21" s="531" t="n">
        <f aca="false">HLOOKUP(Assumptions!$H$12,IDC!$H$40:$L$56,2+F48)</f>
        <v>0.12</v>
      </c>
      <c r="D21" s="532" t="n">
        <v>0</v>
      </c>
      <c r="E21" s="502" t="n">
        <f aca="false">C21*$C$6</f>
        <v>3998.0496</v>
      </c>
      <c r="F21" s="502" t="n">
        <f aca="false">+E21+D21</f>
        <v>3998.0496</v>
      </c>
      <c r="G21" s="502" t="n">
        <f aca="false">F21+G20+H21</f>
        <v>89489.6713670518</v>
      </c>
      <c r="H21" s="502" t="n">
        <f aca="false">IF(A21&gt;$C$7+1,0,G20*(B21-B20)*$D$8)</f>
        <v>601.306400512984</v>
      </c>
      <c r="I21" s="502" t="n">
        <f aca="false">IF(A21&lt;=$C$7+1,H21+I20,I20)</f>
        <v>3128.842537725</v>
      </c>
      <c r="K21" s="533"/>
    </row>
    <row r="22" customFormat="false" ht="12.75" hidden="false" customHeight="false" outlineLevel="0" collapsed="false">
      <c r="A22" s="529" t="n">
        <f aca="false">A21+1</f>
        <v>8</v>
      </c>
      <c r="B22" s="530" t="n">
        <v>36831</v>
      </c>
      <c r="C22" s="531" t="n">
        <f aca="false">HLOOKUP(Assumptions!$H$12,IDC!$H$40:$L$56,2+F49)</f>
        <v>0.12</v>
      </c>
      <c r="D22" s="532" t="n">
        <v>0</v>
      </c>
      <c r="E22" s="502" t="n">
        <f aca="false">C22*$C$6</f>
        <v>3998.0496</v>
      </c>
      <c r="F22" s="502" t="n">
        <f aca="false">+E22+D22</f>
        <v>3998.0496</v>
      </c>
      <c r="G22" s="502" t="n">
        <f aca="false">F22+G21+H22</f>
        <v>94142.7356449746</v>
      </c>
      <c r="H22" s="502" t="n">
        <f aca="false">IF(A22&gt;$C$7+1,0,G21*(B22-B21)*$D$8)</f>
        <v>655.014677922727</v>
      </c>
      <c r="I22" s="502" t="n">
        <f aca="false">IF(A22&lt;=$C$7+1,H22+I21,I21)</f>
        <v>3783.85721564773</v>
      </c>
      <c r="K22" s="533"/>
    </row>
    <row r="23" customFormat="false" ht="12.75" hidden="false" customHeight="false" outlineLevel="0" collapsed="false">
      <c r="A23" s="529" t="n">
        <f aca="false">A22+1</f>
        <v>9</v>
      </c>
      <c r="B23" s="530" t="n">
        <v>36861</v>
      </c>
      <c r="C23" s="531" t="n">
        <f aca="false">HLOOKUP(Assumptions!$H$12,IDC!$H$40:$L$56,2+F50)</f>
        <v>0</v>
      </c>
      <c r="D23" s="532" t="n">
        <v>0</v>
      </c>
      <c r="E23" s="502" t="n">
        <f aca="false">C23*$C$6</f>
        <v>0</v>
      </c>
      <c r="F23" s="502" t="n">
        <f aca="false">+E23+D23</f>
        <v>0</v>
      </c>
      <c r="G23" s="502" t="n">
        <f aca="false">F23+G22+H23</f>
        <v>94809.5800224598</v>
      </c>
      <c r="H23" s="502" t="n">
        <f aca="false">IF(A23&gt;$C$7+1,0,G22*(B23-B22)*$D$8)</f>
        <v>666.844377485237</v>
      </c>
      <c r="I23" s="502" t="n">
        <f aca="false">IF(A23&lt;=$C$7+1,H23+I22,I22)</f>
        <v>4450.70159313297</v>
      </c>
      <c r="K23" s="533"/>
    </row>
    <row r="24" customFormat="false" ht="12.75" hidden="false" customHeight="false" outlineLevel="0" collapsed="false">
      <c r="A24" s="529" t="n">
        <f aca="false">A23+1</f>
        <v>10</v>
      </c>
      <c r="B24" s="530" t="n">
        <v>36892</v>
      </c>
      <c r="C24" s="531" t="n">
        <f aca="false">HLOOKUP(Assumptions!$H$12,IDC!$H$40:$L$56,2+F51)</f>
        <v>0</v>
      </c>
      <c r="D24" s="532" t="n">
        <v>0</v>
      </c>
      <c r="E24" s="502" t="n">
        <f aca="false">C24*$C$6</f>
        <v>0</v>
      </c>
      <c r="F24" s="502" t="n">
        <f aca="false">+E24+D24</f>
        <v>0</v>
      </c>
      <c r="G24" s="502" t="n">
        <f aca="false">F24+G23+H24</f>
        <v>94809.5800224598</v>
      </c>
      <c r="H24" s="502" t="n">
        <f aca="false">IF(A24&gt;$C$7+1,0,G23*(B24-B23)*$D$8)</f>
        <v>0</v>
      </c>
      <c r="I24" s="502" t="n">
        <f aca="false">IF(A24&lt;=$C$7+1,H24+I23,I23)</f>
        <v>4450.70159313297</v>
      </c>
      <c r="K24" s="533"/>
    </row>
    <row r="25" customFormat="false" ht="12.75" hidden="false" customHeight="false" outlineLevel="0" collapsed="false">
      <c r="A25" s="529" t="n">
        <f aca="false">A24+1</f>
        <v>11</v>
      </c>
      <c r="B25" s="530" t="n">
        <v>36923</v>
      </c>
      <c r="C25" s="531" t="n">
        <f aca="false">HLOOKUP(Assumptions!$H$12,IDC!$H$40:$L$56,2+F52)</f>
        <v>0</v>
      </c>
      <c r="D25" s="532" t="n">
        <v>0</v>
      </c>
      <c r="E25" s="502" t="n">
        <f aca="false">C25*$C$6</f>
        <v>0</v>
      </c>
      <c r="F25" s="502" t="n">
        <f aca="false">+E25+D25</f>
        <v>0</v>
      </c>
      <c r="G25" s="502" t="n">
        <f aca="false">F25+G24+H25</f>
        <v>94809.5800224598</v>
      </c>
      <c r="H25" s="502" t="n">
        <f aca="false">IF(A25&gt;$C$7+1,0,G24*(B25-B24)*$D$8)</f>
        <v>0</v>
      </c>
      <c r="I25" s="502" t="n">
        <f aca="false">IF(A25&lt;=$C$7+1,H25+I24,I24)</f>
        <v>4450.70159313297</v>
      </c>
      <c r="K25" s="533"/>
    </row>
    <row r="26" customFormat="false" ht="12.75" hidden="false" customHeight="false" outlineLevel="0" collapsed="false">
      <c r="A26" s="529" t="n">
        <f aca="false">A25+1</f>
        <v>12</v>
      </c>
      <c r="B26" s="530" t="n">
        <v>36951</v>
      </c>
      <c r="C26" s="531" t="n">
        <f aca="false">HLOOKUP(Assumptions!$H$12,IDC!$H$40:$L$56,2+F53)</f>
        <v>0</v>
      </c>
      <c r="D26" s="532" t="n">
        <v>0</v>
      </c>
      <c r="E26" s="502" t="n">
        <f aca="false">C26*$C$6</f>
        <v>0</v>
      </c>
      <c r="F26" s="502" t="n">
        <f aca="false">+E26+D26</f>
        <v>0</v>
      </c>
      <c r="G26" s="502" t="n">
        <f aca="false">F26+G25+H26</f>
        <v>94809.5800224598</v>
      </c>
      <c r="H26" s="502" t="n">
        <f aca="false">IF(A26&gt;$C$7+1,0,G25*(B26-B25)*$D$8)</f>
        <v>0</v>
      </c>
      <c r="I26" s="502" t="n">
        <f aca="false">IF(A26&lt;=$C$7+1,H26+I25,I25)</f>
        <v>4450.70159313297</v>
      </c>
      <c r="K26" s="533"/>
    </row>
    <row r="27" customFormat="false" ht="12.75" hidden="false" customHeight="false" outlineLevel="0" collapsed="false">
      <c r="A27" s="529" t="n">
        <f aca="false">A26+1</f>
        <v>13</v>
      </c>
      <c r="B27" s="530" t="n">
        <v>36982</v>
      </c>
      <c r="C27" s="531" t="n">
        <f aca="false">HLOOKUP(Assumptions!$H$12,IDC!$H$40:$L$56,2+F54)</f>
        <v>0</v>
      </c>
      <c r="D27" s="532" t="n">
        <v>0</v>
      </c>
      <c r="E27" s="502" t="n">
        <f aca="false">C27*$C$6</f>
        <v>0</v>
      </c>
      <c r="F27" s="502" t="n">
        <f aca="false">+E27+D27</f>
        <v>0</v>
      </c>
      <c r="G27" s="502" t="n">
        <f aca="false">F27+G26+H27</f>
        <v>94809.5800224598</v>
      </c>
      <c r="H27" s="502" t="n">
        <f aca="false">IF(A27&gt;$C$7+1,0,G26*(B27-B26)*$D$8)</f>
        <v>0</v>
      </c>
      <c r="I27" s="502" t="n">
        <f aca="false">IF(A27&lt;=$C$7+1,H27+I26,I26)</f>
        <v>4450.70159313297</v>
      </c>
      <c r="K27" s="533"/>
    </row>
    <row r="28" customFormat="false" ht="12.75" hidden="false" customHeight="false" outlineLevel="0" collapsed="false">
      <c r="A28" s="529" t="n">
        <f aca="false">A27+1</f>
        <v>14</v>
      </c>
      <c r="B28" s="530" t="n">
        <v>37012</v>
      </c>
      <c r="C28" s="531" t="n">
        <f aca="false">HLOOKUP(Assumptions!$H$12,IDC!$H$40:$L$56,2+F55)</f>
        <v>0</v>
      </c>
      <c r="D28" s="532" t="n">
        <v>0</v>
      </c>
      <c r="E28" s="502" t="n">
        <f aca="false">C28*$C$6</f>
        <v>0</v>
      </c>
      <c r="F28" s="502" t="n">
        <f aca="false">+E28+D28</f>
        <v>0</v>
      </c>
      <c r="G28" s="502" t="n">
        <f aca="false">F28+G27+H28</f>
        <v>94809.5800224598</v>
      </c>
      <c r="H28" s="502" t="n">
        <f aca="false">IF(A28&gt;$C$7+1,0,G27*(B28-B27)*$D$8)</f>
        <v>0</v>
      </c>
      <c r="I28" s="502" t="n">
        <f aca="false">IF(A28&lt;=$C$7+1,H28+I27,I27)</f>
        <v>4450.70159313297</v>
      </c>
      <c r="K28" s="533"/>
    </row>
    <row r="29" customFormat="false" ht="12.75" hidden="false" customHeight="false" outlineLevel="0" collapsed="false">
      <c r="A29" s="529" t="n">
        <f aca="false">A28+1</f>
        <v>15</v>
      </c>
      <c r="B29" s="530" t="n">
        <v>37043</v>
      </c>
      <c r="C29" s="531" t="n">
        <f aca="false">HLOOKUP(Assumptions!$H$12,IDC!$H$40:$L$56,2+F56)</f>
        <v>0</v>
      </c>
      <c r="D29" s="532" t="n">
        <v>0</v>
      </c>
      <c r="E29" s="502" t="n">
        <f aca="false">C29*$C$6</f>
        <v>0</v>
      </c>
      <c r="F29" s="502" t="n">
        <f aca="false">+E29+D29</f>
        <v>0</v>
      </c>
      <c r="G29" s="502" t="n">
        <f aca="false">F29+G28+H29</f>
        <v>94809.5800224598</v>
      </c>
      <c r="H29" s="502" t="n">
        <f aca="false">IF(A29&gt;$C$7+1,0,G28*(B29-B28)*$D$8)</f>
        <v>0</v>
      </c>
      <c r="I29" s="502" t="n">
        <f aca="false">IF(A29&lt;=$C$7+1,H29+I28,I28)</f>
        <v>4450.70159313297</v>
      </c>
      <c r="K29" s="533"/>
    </row>
    <row r="30" customFormat="false" ht="12.75" hidden="false" customHeight="false" outlineLevel="0" collapsed="false">
      <c r="A30" s="529" t="n">
        <f aca="false">A29+1</f>
        <v>16</v>
      </c>
      <c r="B30" s="530" t="n">
        <v>37073</v>
      </c>
      <c r="C30" s="531" t="n">
        <v>0</v>
      </c>
      <c r="D30" s="532" t="n">
        <v>0</v>
      </c>
      <c r="E30" s="502" t="n">
        <f aca="false">C30*$C$6</f>
        <v>0</v>
      </c>
      <c r="F30" s="502" t="n">
        <f aca="false">+E30+D30</f>
        <v>0</v>
      </c>
      <c r="G30" s="502" t="n">
        <f aca="false">F30+G29+H30</f>
        <v>94809.5800224598</v>
      </c>
      <c r="H30" s="502" t="n">
        <f aca="false">IF(A30&gt;$C$7+1,0,G29*(B30-B29)*$D$8)</f>
        <v>0</v>
      </c>
      <c r="I30" s="502" t="n">
        <f aca="false">IF(A30&lt;=$C$7+1,H30+I29,I29)</f>
        <v>4450.70159313297</v>
      </c>
      <c r="K30" s="533"/>
    </row>
    <row r="31" customFormat="false" ht="12.75" hidden="false" customHeight="false" outlineLevel="0" collapsed="false">
      <c r="A31" s="529" t="n">
        <f aca="false">A30+1</f>
        <v>17</v>
      </c>
      <c r="B31" s="530" t="n">
        <v>37104</v>
      </c>
      <c r="C31" s="531" t="n">
        <v>0</v>
      </c>
      <c r="D31" s="532" t="n">
        <v>0</v>
      </c>
      <c r="E31" s="502" t="n">
        <f aca="false">C31*$C$6</f>
        <v>0</v>
      </c>
      <c r="F31" s="502" t="n">
        <f aca="false">+E31+D31</f>
        <v>0</v>
      </c>
      <c r="G31" s="502" t="n">
        <f aca="false">F31+G30+H31</f>
        <v>94809.5800224598</v>
      </c>
      <c r="H31" s="502" t="n">
        <f aca="false">IF(A31&gt;$C$7+1,0,G30*(B31-B30)*$D$8)</f>
        <v>0</v>
      </c>
      <c r="I31" s="502" t="n">
        <f aca="false">IF(A31&lt;=$C$7+1,H31+I30,I30)</f>
        <v>4450.70159313297</v>
      </c>
      <c r="K31" s="533"/>
    </row>
    <row r="32" customFormat="false" ht="12.75" hidden="false" customHeight="false" outlineLevel="0" collapsed="false">
      <c r="A32" s="529" t="n">
        <f aca="false">A31+1</f>
        <v>18</v>
      </c>
      <c r="B32" s="530" t="n">
        <v>37135</v>
      </c>
      <c r="C32" s="531" t="n">
        <v>0</v>
      </c>
      <c r="D32" s="532" t="n">
        <v>0</v>
      </c>
      <c r="E32" s="502" t="n">
        <f aca="false">C32*$C$6</f>
        <v>0</v>
      </c>
      <c r="F32" s="502" t="n">
        <f aca="false">+E32+D32</f>
        <v>0</v>
      </c>
      <c r="G32" s="502" t="n">
        <f aca="false">F32+G31+H32</f>
        <v>94809.5800224598</v>
      </c>
      <c r="H32" s="502" t="n">
        <f aca="false">IF(A32&gt;$C$7+1,0,G31*(B32-B31)*$D$8)</f>
        <v>0</v>
      </c>
      <c r="I32" s="502" t="n">
        <f aca="false">IF(A32&lt;=$C$7+1,H32+I31,I31)</f>
        <v>4450.70159313297</v>
      </c>
      <c r="K32" s="533"/>
    </row>
    <row r="33" customFormat="false" ht="12.75" hidden="false" customHeight="false" outlineLevel="0" collapsed="false">
      <c r="A33" s="529" t="n">
        <f aca="false">A32+1</f>
        <v>19</v>
      </c>
      <c r="B33" s="530" t="n">
        <v>37165</v>
      </c>
      <c r="C33" s="534" t="n">
        <v>0</v>
      </c>
      <c r="D33" s="535" t="n">
        <v>0</v>
      </c>
      <c r="E33" s="536" t="n">
        <f aca="false">C33*$C$6</f>
        <v>0</v>
      </c>
      <c r="F33" s="536" t="n">
        <f aca="false">+E33+D33</f>
        <v>0</v>
      </c>
      <c r="G33" s="536" t="n">
        <f aca="false">F33+G32+H33</f>
        <v>94809.5800224598</v>
      </c>
      <c r="H33" s="536" t="n">
        <f aca="false">IF(A33&gt;$C$7+1,0,G32*(B33-B32)*$D$8)</f>
        <v>0</v>
      </c>
      <c r="I33" s="536" t="n">
        <f aca="false">IF(A33&lt;=$C$7+1,H33+I32,I32)</f>
        <v>4450.70159313297</v>
      </c>
      <c r="K33" s="533"/>
    </row>
    <row r="34" customFormat="false" ht="12.75" hidden="false" customHeight="false" outlineLevel="0" collapsed="false">
      <c r="C34" s="537" t="n">
        <f aca="false">SUM(C15:C33)</f>
        <v>1</v>
      </c>
      <c r="D34" s="502" t="n">
        <f aca="false">SUM(D15:D33)</f>
        <v>57041.7984293268</v>
      </c>
      <c r="E34" s="502" t="n">
        <f aca="false">SUM(E15:E33)</f>
        <v>33317.08</v>
      </c>
      <c r="F34" s="502" t="n">
        <f aca="false">SUM(F15:F33)</f>
        <v>90358.8784293268</v>
      </c>
      <c r="G34" s="180"/>
      <c r="H34" s="502" t="n">
        <f aca="false">SUM(H15:H33)</f>
        <v>4450.70159313297</v>
      </c>
      <c r="I34" s="502"/>
    </row>
    <row r="38" customFormat="false" ht="18.75" hidden="false" customHeight="false" outlineLevel="0" collapsed="false">
      <c r="A38" s="503" t="s">
        <v>454</v>
      </c>
      <c r="B38" s="538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8" t="s">
        <v>455</v>
      </c>
    </row>
    <row r="40" customFormat="false" ht="12.75" hidden="false" customHeight="false" outlineLevel="0" collapsed="false">
      <c r="F40" s="539"/>
      <c r="G40" s="540" t="s">
        <v>456</v>
      </c>
      <c r="H40" s="540" t="n">
        <v>2</v>
      </c>
      <c r="I40" s="540" t="n">
        <v>3</v>
      </c>
      <c r="J40" s="541" t="n">
        <v>4</v>
      </c>
      <c r="K40" s="540" t="n">
        <v>5</v>
      </c>
      <c r="L40" s="542" t="n">
        <v>6</v>
      </c>
    </row>
    <row r="41" customFormat="false" ht="13.5" hidden="false" customHeight="false" outlineLevel="0" collapsed="false">
      <c r="A41" s="270" t="s">
        <v>457</v>
      </c>
      <c r="B41" s="270" t="s">
        <v>458</v>
      </c>
      <c r="C41" s="270" t="s">
        <v>459</v>
      </c>
      <c r="D41" s="270" t="s">
        <v>460</v>
      </c>
      <c r="F41" s="543" t="s">
        <v>450</v>
      </c>
      <c r="G41" s="544" t="s">
        <v>461</v>
      </c>
      <c r="H41" s="544" t="n">
        <v>6</v>
      </c>
      <c r="I41" s="544" t="n">
        <v>6.5</v>
      </c>
      <c r="J41" s="545" t="n">
        <v>7</v>
      </c>
      <c r="K41" s="544" t="n">
        <v>7.5</v>
      </c>
      <c r="L41" s="546" t="n">
        <v>8</v>
      </c>
    </row>
    <row r="42" customFormat="false" ht="13.5" hidden="false" customHeight="false" outlineLevel="0" collapsed="false">
      <c r="A42" s="270" t="s">
        <v>462</v>
      </c>
      <c r="B42" s="270" t="s">
        <v>463</v>
      </c>
      <c r="C42" s="270" t="s">
        <v>464</v>
      </c>
      <c r="D42" s="270" t="s">
        <v>465</v>
      </c>
      <c r="F42" s="547" t="n">
        <v>1</v>
      </c>
      <c r="G42" s="548"/>
      <c r="H42" s="549" t="n">
        <v>0.1</v>
      </c>
      <c r="I42" s="549" t="n">
        <v>0.1</v>
      </c>
      <c r="J42" s="550" t="n">
        <v>0.1</v>
      </c>
      <c r="K42" s="551" t="n">
        <v>0.1</v>
      </c>
      <c r="L42" s="552" t="n">
        <v>0.1</v>
      </c>
    </row>
    <row r="43" customFormat="false" ht="12.75" hidden="false" customHeight="false" outlineLevel="0" collapsed="false">
      <c r="A43" s="553" t="s">
        <v>466</v>
      </c>
      <c r="B43" s="554" t="n">
        <v>3</v>
      </c>
      <c r="C43" s="555" t="n">
        <v>36737</v>
      </c>
      <c r="D43" s="556" t="n">
        <v>36829</v>
      </c>
      <c r="F43" s="557" t="n">
        <v>2</v>
      </c>
      <c r="G43" s="138"/>
      <c r="H43" s="558" t="n">
        <v>0.04</v>
      </c>
      <c r="I43" s="558" t="n">
        <v>0.04</v>
      </c>
      <c r="J43" s="559" t="n">
        <v>0.12</v>
      </c>
      <c r="K43" s="560" t="n">
        <v>0.04</v>
      </c>
      <c r="L43" s="561" t="n">
        <v>0.04</v>
      </c>
    </row>
    <row r="44" customFormat="false" ht="12.75" hidden="false" customHeight="false" outlineLevel="0" collapsed="false">
      <c r="A44" s="562" t="s">
        <v>467</v>
      </c>
      <c r="B44" s="563" t="n">
        <v>3</v>
      </c>
      <c r="C44" s="564" t="n">
        <v>36768</v>
      </c>
      <c r="D44" s="565" t="n">
        <v>36829</v>
      </c>
      <c r="F44" s="557" t="n">
        <v>3</v>
      </c>
      <c r="G44" s="138"/>
      <c r="H44" s="558" t="n">
        <v>0.08</v>
      </c>
      <c r="I44" s="558" t="n">
        <v>0.08</v>
      </c>
      <c r="J44" s="559" t="n">
        <v>0.13</v>
      </c>
      <c r="K44" s="560" t="n">
        <v>0.08</v>
      </c>
      <c r="L44" s="561" t="n">
        <v>0.08</v>
      </c>
    </row>
    <row r="45" customFormat="false" ht="12.75" hidden="false" customHeight="false" outlineLevel="0" collapsed="false">
      <c r="A45" s="562" t="s">
        <v>468</v>
      </c>
      <c r="B45" s="563" t="n">
        <v>2</v>
      </c>
      <c r="C45" s="564" t="n">
        <v>36799</v>
      </c>
      <c r="D45" s="565" t="n">
        <v>36829</v>
      </c>
      <c r="F45" s="557" t="n">
        <v>4</v>
      </c>
      <c r="G45" s="138"/>
      <c r="H45" s="558" t="n">
        <v>0.12</v>
      </c>
      <c r="I45" s="558" t="n">
        <v>0.12</v>
      </c>
      <c r="J45" s="559" t="n">
        <v>0.13</v>
      </c>
      <c r="K45" s="560" t="n">
        <v>0.1</v>
      </c>
      <c r="L45" s="561" t="n">
        <v>0.1</v>
      </c>
    </row>
    <row r="46" customFormat="false" ht="12.75" hidden="false" customHeight="false" outlineLevel="0" collapsed="false">
      <c r="A46" s="562" t="s">
        <v>469</v>
      </c>
      <c r="B46" s="563" t="n">
        <v>3</v>
      </c>
      <c r="C46" s="564" t="n">
        <v>36829</v>
      </c>
      <c r="D46" s="565" t="n">
        <v>36829</v>
      </c>
      <c r="F46" s="557" t="n">
        <v>5</v>
      </c>
      <c r="G46" s="138"/>
      <c r="H46" s="558" t="n">
        <v>0.12</v>
      </c>
      <c r="I46" s="558" t="n">
        <v>0.12</v>
      </c>
      <c r="J46" s="559" t="n">
        <v>0.16</v>
      </c>
      <c r="K46" s="560" t="n">
        <v>0.11</v>
      </c>
      <c r="L46" s="561" t="n">
        <v>0.1</v>
      </c>
    </row>
    <row r="47" customFormat="false" ht="12.75" hidden="false" customHeight="false" outlineLevel="0" collapsed="false">
      <c r="A47" s="562" t="s">
        <v>470</v>
      </c>
      <c r="B47" s="563" t="n">
        <v>2</v>
      </c>
      <c r="C47" s="564" t="n">
        <v>36860</v>
      </c>
      <c r="D47" s="565" t="n">
        <v>36860</v>
      </c>
      <c r="F47" s="557" t="n">
        <v>6</v>
      </c>
      <c r="G47" s="138"/>
      <c r="H47" s="558" t="n">
        <v>0.12</v>
      </c>
      <c r="I47" s="558" t="n">
        <v>0.12</v>
      </c>
      <c r="J47" s="559" t="n">
        <v>0.12</v>
      </c>
      <c r="K47" s="560" t="n">
        <v>0.11</v>
      </c>
      <c r="L47" s="561" t="n">
        <v>0.1</v>
      </c>
    </row>
    <row r="48" customFormat="false" ht="12.75" hidden="false" customHeight="false" outlineLevel="0" collapsed="false">
      <c r="A48" s="562" t="s">
        <v>471</v>
      </c>
      <c r="B48" s="563" t="n">
        <v>2</v>
      </c>
      <c r="C48" s="564" t="n">
        <v>36890</v>
      </c>
      <c r="D48" s="565" t="n">
        <v>36890</v>
      </c>
      <c r="F48" s="557" t="n">
        <v>7</v>
      </c>
      <c r="G48" s="138"/>
      <c r="H48" s="558" t="n">
        <v>0.1</v>
      </c>
      <c r="I48" s="558" t="n">
        <v>0.1</v>
      </c>
      <c r="J48" s="559" t="n">
        <v>0.12</v>
      </c>
      <c r="K48" s="560" t="n">
        <v>0.1</v>
      </c>
      <c r="L48" s="561" t="n">
        <v>0.08</v>
      </c>
    </row>
    <row r="49" customFormat="false" ht="12.75" hidden="false" customHeight="false" outlineLevel="0" collapsed="false">
      <c r="A49" s="562" t="s">
        <v>472</v>
      </c>
      <c r="B49" s="563" t="n">
        <v>3</v>
      </c>
      <c r="C49" s="564" t="n">
        <v>36555</v>
      </c>
      <c r="D49" s="565" t="n">
        <v>36555</v>
      </c>
      <c r="F49" s="557" t="n">
        <v>8</v>
      </c>
      <c r="G49" s="138"/>
      <c r="H49" s="558" t="n">
        <v>0.08</v>
      </c>
      <c r="I49" s="558" t="n">
        <v>0.08</v>
      </c>
      <c r="J49" s="559" t="n">
        <v>0.12</v>
      </c>
      <c r="K49" s="560" t="n">
        <v>0.08</v>
      </c>
      <c r="L49" s="561" t="n">
        <v>0.08</v>
      </c>
    </row>
    <row r="50" customFormat="false" ht="12.75" hidden="false" customHeight="false" outlineLevel="0" collapsed="false">
      <c r="A50" s="562" t="s">
        <v>473</v>
      </c>
      <c r="B50" s="563" t="n">
        <v>2</v>
      </c>
      <c r="C50" s="564" t="n">
        <v>36950</v>
      </c>
      <c r="D50" s="565" t="n">
        <v>36950</v>
      </c>
      <c r="F50" s="557" t="n">
        <v>9</v>
      </c>
      <c r="G50" s="138"/>
      <c r="H50" s="558" t="n">
        <v>0.06</v>
      </c>
      <c r="I50" s="558" t="n">
        <v>0.06</v>
      </c>
      <c r="J50" s="559" t="n">
        <v>0</v>
      </c>
      <c r="K50" s="560" t="n">
        <v>0.06</v>
      </c>
      <c r="L50" s="561" t="n">
        <v>0.06</v>
      </c>
    </row>
    <row r="51" customFormat="false" ht="12.75" hidden="false" customHeight="false" outlineLevel="0" collapsed="false">
      <c r="A51" s="562" t="s">
        <v>474</v>
      </c>
      <c r="B51" s="563" t="n">
        <v>2</v>
      </c>
      <c r="C51" s="564" t="n">
        <v>36980</v>
      </c>
      <c r="D51" s="565" t="n">
        <v>36980</v>
      </c>
      <c r="F51" s="557" t="n">
        <v>10</v>
      </c>
      <c r="G51" s="138"/>
      <c r="H51" s="558" t="n">
        <v>0.06</v>
      </c>
      <c r="I51" s="558" t="n">
        <v>0.06</v>
      </c>
      <c r="J51" s="559" t="n">
        <v>0</v>
      </c>
      <c r="K51" s="560" t="n">
        <v>0.06</v>
      </c>
      <c r="L51" s="561" t="n">
        <v>0.06</v>
      </c>
    </row>
    <row r="52" customFormat="false" ht="13.5" hidden="false" customHeight="false" outlineLevel="0" collapsed="false">
      <c r="A52" s="566" t="s">
        <v>475</v>
      </c>
      <c r="B52" s="567" t="n">
        <v>2</v>
      </c>
      <c r="C52" s="568" t="n">
        <v>37011</v>
      </c>
      <c r="D52" s="569" t="n">
        <v>37011</v>
      </c>
      <c r="F52" s="557" t="n">
        <v>11</v>
      </c>
      <c r="G52" s="138"/>
      <c r="H52" s="558" t="n">
        <v>0.03</v>
      </c>
      <c r="I52" s="558" t="n">
        <v>0.03</v>
      </c>
      <c r="J52" s="559" t="n">
        <v>0</v>
      </c>
      <c r="K52" s="560" t="n">
        <v>0.03</v>
      </c>
      <c r="L52" s="561" t="n">
        <v>0.03</v>
      </c>
    </row>
    <row r="53" customFormat="false" ht="12.75" hidden="false" customHeight="false" outlineLevel="0" collapsed="false">
      <c r="F53" s="557" t="n">
        <v>12</v>
      </c>
      <c r="G53" s="138"/>
      <c r="H53" s="558" t="n">
        <v>0.04</v>
      </c>
      <c r="I53" s="558" t="n">
        <v>0.04</v>
      </c>
      <c r="J53" s="559" t="n">
        <v>0</v>
      </c>
      <c r="K53" s="560" t="n">
        <v>0.04</v>
      </c>
      <c r="L53" s="561" t="n">
        <v>0.04</v>
      </c>
    </row>
    <row r="54" customFormat="false" ht="13.5" hidden="false" customHeight="false" outlineLevel="0" collapsed="false">
      <c r="F54" s="557" t="n">
        <v>13</v>
      </c>
      <c r="G54" s="138"/>
      <c r="H54" s="558" t="n">
        <v>0.05</v>
      </c>
      <c r="I54" s="558" t="n">
        <v>0.05</v>
      </c>
      <c r="J54" s="559" t="n">
        <v>0</v>
      </c>
      <c r="K54" s="560" t="n">
        <v>0.04</v>
      </c>
      <c r="L54" s="561" t="n">
        <v>0.04</v>
      </c>
    </row>
    <row r="55" customFormat="false" ht="12.75" hidden="false" customHeight="false" outlineLevel="0" collapsed="false">
      <c r="A55" s="570" t="s">
        <v>476</v>
      </c>
      <c r="B55" s="42"/>
      <c r="C55" s="42"/>
      <c r="D55" s="571"/>
      <c r="F55" s="557" t="n">
        <v>14</v>
      </c>
      <c r="G55" s="138"/>
      <c r="H55" s="560" t="n">
        <v>0</v>
      </c>
      <c r="I55" s="560" t="n">
        <v>0</v>
      </c>
      <c r="J55" s="559" t="n">
        <v>0</v>
      </c>
      <c r="K55" s="560" t="n">
        <v>0.05</v>
      </c>
      <c r="L55" s="561" t="n">
        <v>0.04</v>
      </c>
    </row>
    <row r="56" customFormat="false" ht="13.5" hidden="false" customHeight="false" outlineLevel="0" collapsed="false">
      <c r="A56" s="30" t="s">
        <v>477</v>
      </c>
      <c r="B56" s="31"/>
      <c r="C56" s="31"/>
      <c r="D56" s="572" t="n">
        <v>13950</v>
      </c>
      <c r="F56" s="573" t="n">
        <v>15</v>
      </c>
      <c r="G56" s="574"/>
      <c r="H56" s="575" t="n">
        <v>0</v>
      </c>
      <c r="I56" s="575" t="n">
        <v>0</v>
      </c>
      <c r="J56" s="576" t="n">
        <v>0</v>
      </c>
      <c r="K56" s="575" t="n">
        <v>0</v>
      </c>
      <c r="L56" s="577" t="n">
        <v>0.05</v>
      </c>
    </row>
    <row r="57" customFormat="false" ht="13.5" hidden="false" customHeight="false" outlineLevel="0" collapsed="false">
      <c r="A57" s="30" t="s">
        <v>478</v>
      </c>
      <c r="B57" s="31"/>
      <c r="C57" s="31"/>
      <c r="D57" s="572" t="n">
        <v>289.616273998374</v>
      </c>
      <c r="F57" s="578" t="s">
        <v>479</v>
      </c>
      <c r="G57" s="574"/>
      <c r="H57" s="575" t="n">
        <f aca="false">SUM(H42:H56)</f>
        <v>1</v>
      </c>
      <c r="I57" s="575" t="n">
        <f aca="false">SUM(I42:I56)</f>
        <v>1</v>
      </c>
      <c r="J57" s="576" t="n">
        <f aca="false">SUM(J42:J56)</f>
        <v>1</v>
      </c>
      <c r="K57" s="575" t="n">
        <f aca="false">SUM(K42:K56)</f>
        <v>1</v>
      </c>
      <c r="L57" s="577" t="n">
        <f aca="false">SUM(L42:L56)</f>
        <v>1</v>
      </c>
    </row>
    <row r="58" customFormat="false" ht="13.5" hidden="false" customHeight="false" outlineLevel="0" collapsed="false">
      <c r="A58" s="33" t="s">
        <v>480</v>
      </c>
      <c r="B58" s="34"/>
      <c r="C58" s="34"/>
      <c r="D58" s="579" t="n">
        <v>20.8333333333333</v>
      </c>
      <c r="E58" s="145"/>
    </row>
    <row r="59" customFormat="false" ht="13.5" hidden="false" customHeight="false" outlineLevel="0" collapsed="false">
      <c r="A59" s="580" t="s">
        <v>481</v>
      </c>
      <c r="B59" s="581"/>
      <c r="C59" s="581"/>
      <c r="D59" s="582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83" t="s">
        <v>482</v>
      </c>
    </row>
    <row r="2" customFormat="false" ht="12.75" hidden="false" customHeight="false" outlineLevel="0" collapsed="false">
      <c r="C2" s="0" t="s">
        <v>483</v>
      </c>
      <c r="O2" s="0" t="s">
        <v>484</v>
      </c>
      <c r="AA2" s="0" t="s">
        <v>485</v>
      </c>
      <c r="AM2" s="0" t="s">
        <v>486</v>
      </c>
      <c r="AY2" s="0" t="s">
        <v>487</v>
      </c>
      <c r="BK2" s="0" t="s">
        <v>488</v>
      </c>
      <c r="BW2" s="0" t="s">
        <v>489</v>
      </c>
      <c r="CI2" s="0" t="s">
        <v>490</v>
      </c>
      <c r="CU2" s="0" t="s">
        <v>491</v>
      </c>
      <c r="DG2" s="0" t="s">
        <v>492</v>
      </c>
      <c r="DS2" s="0" t="s">
        <v>493</v>
      </c>
      <c r="EE2" s="0" t="s">
        <v>494</v>
      </c>
    </row>
    <row r="3" customFormat="false" ht="12.75" hidden="false" customHeight="false" outlineLevel="0" collapsed="false">
      <c r="B3" s="584" t="s">
        <v>180</v>
      </c>
      <c r="C3" s="585" t="s">
        <v>495</v>
      </c>
      <c r="D3" s="585" t="s">
        <v>496</v>
      </c>
      <c r="E3" s="585" t="s">
        <v>497</v>
      </c>
      <c r="F3" s="585" t="s">
        <v>498</v>
      </c>
      <c r="G3" s="585" t="s">
        <v>499</v>
      </c>
      <c r="H3" s="585" t="s">
        <v>500</v>
      </c>
      <c r="I3" s="585" t="s">
        <v>501</v>
      </c>
      <c r="J3" s="585" t="s">
        <v>502</v>
      </c>
      <c r="K3" s="585" t="s">
        <v>503</v>
      </c>
      <c r="L3" s="585" t="s">
        <v>504</v>
      </c>
      <c r="M3" s="585" t="s">
        <v>505</v>
      </c>
      <c r="N3" s="585" t="s">
        <v>506</v>
      </c>
      <c r="O3" s="585" t="s">
        <v>495</v>
      </c>
      <c r="P3" s="585" t="s">
        <v>496</v>
      </c>
      <c r="Q3" s="585" t="s">
        <v>497</v>
      </c>
      <c r="R3" s="585" t="s">
        <v>498</v>
      </c>
      <c r="S3" s="585" t="s">
        <v>499</v>
      </c>
      <c r="T3" s="585" t="s">
        <v>500</v>
      </c>
      <c r="U3" s="585" t="s">
        <v>501</v>
      </c>
      <c r="V3" s="585" t="s">
        <v>502</v>
      </c>
      <c r="W3" s="585" t="s">
        <v>503</v>
      </c>
      <c r="X3" s="585" t="s">
        <v>504</v>
      </c>
      <c r="Y3" s="585" t="s">
        <v>505</v>
      </c>
      <c r="Z3" s="585" t="s">
        <v>506</v>
      </c>
      <c r="AA3" s="585" t="s">
        <v>495</v>
      </c>
      <c r="AB3" s="585" t="s">
        <v>496</v>
      </c>
      <c r="AC3" s="585" t="s">
        <v>497</v>
      </c>
      <c r="AD3" s="585" t="s">
        <v>498</v>
      </c>
      <c r="AE3" s="585" t="s">
        <v>499</v>
      </c>
      <c r="AF3" s="585" t="s">
        <v>500</v>
      </c>
      <c r="AG3" s="585" t="s">
        <v>501</v>
      </c>
      <c r="AH3" s="585" t="s">
        <v>502</v>
      </c>
      <c r="AI3" s="585" t="s">
        <v>503</v>
      </c>
      <c r="AJ3" s="585" t="s">
        <v>504</v>
      </c>
      <c r="AK3" s="585" t="s">
        <v>505</v>
      </c>
      <c r="AL3" s="585" t="s">
        <v>506</v>
      </c>
      <c r="AM3" s="585" t="s">
        <v>495</v>
      </c>
      <c r="AN3" s="585" t="s">
        <v>496</v>
      </c>
      <c r="AO3" s="585" t="s">
        <v>497</v>
      </c>
      <c r="AP3" s="585" t="s">
        <v>498</v>
      </c>
      <c r="AQ3" s="585" t="s">
        <v>499</v>
      </c>
      <c r="AR3" s="585" t="s">
        <v>500</v>
      </c>
      <c r="AS3" s="585" t="s">
        <v>501</v>
      </c>
      <c r="AT3" s="585" t="s">
        <v>502</v>
      </c>
      <c r="AU3" s="585" t="s">
        <v>503</v>
      </c>
      <c r="AV3" s="585" t="s">
        <v>504</v>
      </c>
      <c r="AW3" s="585" t="s">
        <v>505</v>
      </c>
      <c r="AX3" s="585" t="s">
        <v>506</v>
      </c>
      <c r="AY3" s="585" t="s">
        <v>495</v>
      </c>
      <c r="AZ3" s="585" t="s">
        <v>496</v>
      </c>
      <c r="BA3" s="585" t="s">
        <v>497</v>
      </c>
      <c r="BB3" s="585" t="s">
        <v>498</v>
      </c>
      <c r="BC3" s="585" t="s">
        <v>499</v>
      </c>
      <c r="BD3" s="585" t="s">
        <v>500</v>
      </c>
      <c r="BE3" s="585" t="s">
        <v>501</v>
      </c>
      <c r="BF3" s="585" t="s">
        <v>502</v>
      </c>
      <c r="BG3" s="585" t="s">
        <v>503</v>
      </c>
      <c r="BH3" s="585" t="s">
        <v>504</v>
      </c>
      <c r="BI3" s="585" t="s">
        <v>505</v>
      </c>
      <c r="BJ3" s="585" t="s">
        <v>506</v>
      </c>
      <c r="BK3" s="585" t="s">
        <v>495</v>
      </c>
      <c r="BL3" s="585" t="s">
        <v>496</v>
      </c>
      <c r="BM3" s="585" t="s">
        <v>497</v>
      </c>
      <c r="BN3" s="585" t="s">
        <v>498</v>
      </c>
      <c r="BO3" s="585" t="s">
        <v>499</v>
      </c>
      <c r="BP3" s="585" t="s">
        <v>500</v>
      </c>
      <c r="BQ3" s="585" t="s">
        <v>501</v>
      </c>
      <c r="BR3" s="585" t="s">
        <v>502</v>
      </c>
      <c r="BS3" s="585" t="s">
        <v>503</v>
      </c>
      <c r="BT3" s="585" t="s">
        <v>504</v>
      </c>
      <c r="BU3" s="585" t="s">
        <v>505</v>
      </c>
      <c r="BV3" s="585" t="s">
        <v>506</v>
      </c>
      <c r="BW3" s="585" t="s">
        <v>495</v>
      </c>
      <c r="BX3" s="585" t="s">
        <v>496</v>
      </c>
      <c r="BY3" s="585" t="s">
        <v>497</v>
      </c>
      <c r="BZ3" s="585" t="s">
        <v>498</v>
      </c>
      <c r="CA3" s="585" t="s">
        <v>499</v>
      </c>
      <c r="CB3" s="585" t="s">
        <v>500</v>
      </c>
      <c r="CC3" s="585" t="s">
        <v>501</v>
      </c>
      <c r="CD3" s="585" t="s">
        <v>502</v>
      </c>
      <c r="CE3" s="585" t="s">
        <v>503</v>
      </c>
      <c r="CF3" s="585" t="s">
        <v>504</v>
      </c>
      <c r="CG3" s="585" t="s">
        <v>505</v>
      </c>
      <c r="CH3" s="585" t="s">
        <v>506</v>
      </c>
      <c r="CI3" s="585" t="s">
        <v>495</v>
      </c>
      <c r="CJ3" s="585" t="s">
        <v>496</v>
      </c>
      <c r="CK3" s="585" t="s">
        <v>497</v>
      </c>
      <c r="CL3" s="585" t="s">
        <v>498</v>
      </c>
      <c r="CM3" s="585" t="s">
        <v>499</v>
      </c>
      <c r="CN3" s="585" t="s">
        <v>500</v>
      </c>
      <c r="CO3" s="585" t="s">
        <v>501</v>
      </c>
      <c r="CP3" s="585" t="s">
        <v>502</v>
      </c>
      <c r="CQ3" s="585" t="s">
        <v>503</v>
      </c>
      <c r="CR3" s="585" t="s">
        <v>504</v>
      </c>
      <c r="CS3" s="585" t="s">
        <v>505</v>
      </c>
      <c r="CT3" s="585" t="s">
        <v>506</v>
      </c>
      <c r="CU3" s="585" t="s">
        <v>495</v>
      </c>
      <c r="CV3" s="585" t="s">
        <v>496</v>
      </c>
      <c r="CW3" s="585" t="s">
        <v>497</v>
      </c>
      <c r="CX3" s="585" t="s">
        <v>498</v>
      </c>
      <c r="CY3" s="585" t="s">
        <v>499</v>
      </c>
      <c r="CZ3" s="585" t="s">
        <v>500</v>
      </c>
      <c r="DA3" s="585" t="s">
        <v>501</v>
      </c>
      <c r="DB3" s="585" t="s">
        <v>502</v>
      </c>
      <c r="DC3" s="585" t="s">
        <v>503</v>
      </c>
      <c r="DD3" s="585" t="s">
        <v>504</v>
      </c>
      <c r="DE3" s="585" t="s">
        <v>505</v>
      </c>
      <c r="DF3" s="585" t="s">
        <v>506</v>
      </c>
      <c r="DG3" s="585" t="s">
        <v>495</v>
      </c>
      <c r="DH3" s="585" t="s">
        <v>496</v>
      </c>
      <c r="DI3" s="585" t="s">
        <v>497</v>
      </c>
      <c r="DJ3" s="585" t="s">
        <v>498</v>
      </c>
      <c r="DK3" s="585" t="s">
        <v>499</v>
      </c>
      <c r="DL3" s="585" t="s">
        <v>500</v>
      </c>
      <c r="DM3" s="585" t="s">
        <v>501</v>
      </c>
      <c r="DN3" s="585" t="s">
        <v>502</v>
      </c>
      <c r="DO3" s="585" t="s">
        <v>503</v>
      </c>
      <c r="DP3" s="585" t="s">
        <v>504</v>
      </c>
      <c r="DQ3" s="585" t="s">
        <v>505</v>
      </c>
      <c r="DR3" s="585" t="s">
        <v>506</v>
      </c>
      <c r="DS3" s="585" t="s">
        <v>495</v>
      </c>
      <c r="DT3" s="585" t="s">
        <v>496</v>
      </c>
      <c r="DU3" s="585" t="s">
        <v>497</v>
      </c>
      <c r="DV3" s="585" t="s">
        <v>498</v>
      </c>
      <c r="DW3" s="585" t="s">
        <v>499</v>
      </c>
      <c r="DX3" s="585" t="s">
        <v>500</v>
      </c>
      <c r="DY3" s="585" t="s">
        <v>501</v>
      </c>
      <c r="DZ3" s="585" t="s">
        <v>502</v>
      </c>
      <c r="EA3" s="585" t="s">
        <v>503</v>
      </c>
      <c r="EB3" s="585" t="s">
        <v>504</v>
      </c>
      <c r="EC3" s="585" t="s">
        <v>505</v>
      </c>
      <c r="ED3" s="585" t="s">
        <v>506</v>
      </c>
      <c r="EE3" s="585" t="s">
        <v>495</v>
      </c>
      <c r="EF3" s="585" t="s">
        <v>496</v>
      </c>
      <c r="EG3" s="585" t="s">
        <v>497</v>
      </c>
      <c r="EH3" s="585" t="s">
        <v>498</v>
      </c>
      <c r="EI3" s="585" t="s">
        <v>499</v>
      </c>
      <c r="EJ3" s="585" t="s">
        <v>500</v>
      </c>
      <c r="EK3" s="585" t="s">
        <v>501</v>
      </c>
      <c r="EL3" s="585" t="s">
        <v>502</v>
      </c>
      <c r="EM3" s="585" t="s">
        <v>503</v>
      </c>
      <c r="EN3" s="585" t="s">
        <v>504</v>
      </c>
      <c r="EO3" s="585" t="s">
        <v>505</v>
      </c>
      <c r="EP3" s="585" t="s">
        <v>506</v>
      </c>
    </row>
    <row r="4" customFormat="false" ht="12.75" hidden="false" customHeight="false" outlineLevel="0" collapsed="false">
      <c r="B4" s="586" t="n">
        <v>2000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 t="n">
        <v>-5.68371842394097</v>
      </c>
      <c r="AB4" s="587" t="n">
        <v>-11.5690543206092</v>
      </c>
      <c r="AC4" s="587" t="n">
        <v>-11.8924811608369</v>
      </c>
      <c r="AD4" s="587" t="n">
        <v>-11.7012241907501</v>
      </c>
      <c r="AE4" s="587" t="n">
        <v>-9.45170916415536</v>
      </c>
      <c r="AF4" s="587" t="n">
        <v>-6.4163112477083</v>
      </c>
      <c r="AG4" s="587" t="n">
        <v>-21.865920815097</v>
      </c>
      <c r="AH4" s="587" t="n">
        <v>-21.3278652097492</v>
      </c>
      <c r="AI4" s="587" t="n">
        <v>-25.6528835156879</v>
      </c>
      <c r="AJ4" s="587" t="n">
        <v>-21.7338397880828</v>
      </c>
      <c r="AK4" s="587" t="n">
        <v>-20.4297495299322</v>
      </c>
      <c r="AL4" s="587" t="n">
        <v>-21.8889926590586</v>
      </c>
      <c r="AM4" s="587" t="n">
        <v>-0.362142575919137</v>
      </c>
      <c r="AN4" s="587" t="n">
        <v>-0.662975369760737</v>
      </c>
      <c r="AO4" s="587" t="n">
        <v>-0.872016654033643</v>
      </c>
      <c r="AP4" s="587" t="n">
        <v>-0.944667382376332</v>
      </c>
      <c r="AQ4" s="587" t="n">
        <v>-0.763282549548636</v>
      </c>
      <c r="AR4" s="587" t="n">
        <v>-0.419734040711023</v>
      </c>
      <c r="AS4" s="587" t="n">
        <v>-0.865602084997538</v>
      </c>
      <c r="AT4" s="587" t="n">
        <v>-0.863047994694083</v>
      </c>
      <c r="AU4" s="587" t="n">
        <v>-1.18401684545468</v>
      </c>
      <c r="AV4" s="587" t="n">
        <v>-1.12964538990101</v>
      </c>
      <c r="AW4" s="587" t="n">
        <v>-0.817428174677909</v>
      </c>
      <c r="AX4" s="587" t="n">
        <v>-0.863057905176798</v>
      </c>
      <c r="AY4" s="587" t="n">
        <v>-0.735193392048806</v>
      </c>
      <c r="AZ4" s="587" t="n">
        <v>-1.87070152871224</v>
      </c>
      <c r="BA4" s="587" t="n">
        <v>-2.46060314176569</v>
      </c>
      <c r="BB4" s="587" t="n">
        <v>-2.56482308698441</v>
      </c>
      <c r="BC4" s="587" t="n">
        <v>-2.07704367847579</v>
      </c>
      <c r="BD4" s="587" t="n">
        <v>-0.921982711138853</v>
      </c>
      <c r="BE4" s="587" t="n">
        <v>-2.89691002959058</v>
      </c>
      <c r="BF4" s="587" t="n">
        <v>-2.85070617128468</v>
      </c>
      <c r="BG4" s="587" t="n">
        <v>-4.95388642527938</v>
      </c>
      <c r="BH4" s="587" t="n">
        <v>-4.06489490414194</v>
      </c>
      <c r="BI4" s="587" t="n">
        <v>-2.50329516441597</v>
      </c>
      <c r="BJ4" s="587" t="n">
        <v>-2.89174854961295</v>
      </c>
      <c r="BK4" s="587" t="n">
        <v>-0.173748037142907</v>
      </c>
      <c r="BL4" s="587" t="n">
        <v>-0.298834287922625</v>
      </c>
      <c r="BM4" s="587" t="n">
        <v>-0.480397556033391</v>
      </c>
      <c r="BN4" s="587" t="n">
        <v>-0.539964087706759</v>
      </c>
      <c r="BO4" s="587" t="n">
        <v>-0.479886357429346</v>
      </c>
      <c r="BP4" s="587" t="n">
        <v>-0.220864110443261</v>
      </c>
      <c r="BQ4" s="587" t="n">
        <v>-0.413137643105215</v>
      </c>
      <c r="BR4" s="587" t="n">
        <v>-0.411414793282869</v>
      </c>
      <c r="BS4" s="587" t="n">
        <v>-0.733862290641029</v>
      </c>
      <c r="BT4" s="587" t="n">
        <v>-0.718954806084697</v>
      </c>
      <c r="BU4" s="587" t="n">
        <v>-0.470970100892947</v>
      </c>
      <c r="BV4" s="587" t="n">
        <v>-0.429765540378159</v>
      </c>
      <c r="BW4" s="587" t="n">
        <v>-0.298272358290536</v>
      </c>
      <c r="BX4" s="587" t="n">
        <v>-0.634648448237119</v>
      </c>
      <c r="BY4" s="587" t="n">
        <v>-0.896517276689121</v>
      </c>
      <c r="BZ4" s="587" t="n">
        <v>-0.95932132695537</v>
      </c>
      <c r="CA4" s="587" t="n">
        <v>-0.836856505794872</v>
      </c>
      <c r="CB4" s="587" t="n">
        <v>-0.373141628549683</v>
      </c>
      <c r="CC4" s="587" t="n">
        <v>-0.629779877952851</v>
      </c>
      <c r="CD4" s="587" t="n">
        <v>-0.633618086795865</v>
      </c>
      <c r="CE4" s="587" t="n">
        <v>-1.34788953570771</v>
      </c>
      <c r="CF4" s="587" t="n">
        <v>-1.15452780730892</v>
      </c>
      <c r="CG4" s="587" t="n">
        <v>-0.625733436013627</v>
      </c>
      <c r="CH4" s="587" t="n">
        <v>-0.635642681112859</v>
      </c>
      <c r="CI4" s="587" t="n">
        <v>-0.339795684238738</v>
      </c>
      <c r="CJ4" s="587" t="n">
        <v>-0.815506044119602</v>
      </c>
      <c r="CK4" s="587" t="n">
        <v>-1.16092427995273</v>
      </c>
      <c r="CL4" s="587" t="n">
        <v>-1.23710231766656</v>
      </c>
      <c r="CM4" s="587" t="n">
        <v>-1.04621708740505</v>
      </c>
      <c r="CN4" s="587" t="n">
        <v>-0.435194456183197</v>
      </c>
      <c r="CO4" s="587" t="n">
        <v>-1.30973640830447</v>
      </c>
      <c r="CP4" s="587" t="n">
        <v>-1.29552790815732</v>
      </c>
      <c r="CQ4" s="587" t="n">
        <v>-2.51096977668846</v>
      </c>
      <c r="CR4" s="587" t="n">
        <v>-2.14190578811734</v>
      </c>
      <c r="CS4" s="587" t="n">
        <v>-1.18807313832863</v>
      </c>
      <c r="CT4" s="587" t="n">
        <v>-1.32205392297544</v>
      </c>
      <c r="CU4" s="587" t="n">
        <v>-0.333910234644354</v>
      </c>
      <c r="CV4" s="587" t="n">
        <v>-0.778918494375729</v>
      </c>
      <c r="CW4" s="587" t="n">
        <v>-1.06271309359649</v>
      </c>
      <c r="CX4" s="587" t="n">
        <v>-1.15255370728085</v>
      </c>
      <c r="CY4" s="587" t="n">
        <v>-0.978636390602507</v>
      </c>
      <c r="CZ4" s="587" t="n">
        <v>-0.426829437280383</v>
      </c>
      <c r="DA4" s="587" t="n">
        <v>-0.909835535388887</v>
      </c>
      <c r="DB4" s="587" t="n">
        <v>-0.917364439460261</v>
      </c>
      <c r="DC4" s="587" t="n">
        <v>-1.6844448559848</v>
      </c>
      <c r="DD4" s="587" t="n">
        <v>-1.46593154132054</v>
      </c>
      <c r="DE4" s="587" t="n">
        <v>-0.865830985045193</v>
      </c>
      <c r="DF4" s="587" t="n">
        <v>-0.912677784791712</v>
      </c>
      <c r="DG4" s="587" t="n">
        <v>-1.62516032354467</v>
      </c>
      <c r="DH4" s="587" t="n">
        <v>-4.20407565067438</v>
      </c>
      <c r="DI4" s="587" t="n">
        <v>-4.86155573362381</v>
      </c>
      <c r="DJ4" s="587" t="n">
        <v>-5.00304125062497</v>
      </c>
      <c r="DK4" s="587" t="n">
        <v>-4.03644388982919</v>
      </c>
      <c r="DL4" s="587" t="n">
        <v>-1.99729995083569</v>
      </c>
      <c r="DM4" s="587" t="n">
        <v>-6.10040412701567</v>
      </c>
      <c r="DN4" s="587" t="n">
        <v>-6.42598375412996</v>
      </c>
      <c r="DO4" s="587" t="n">
        <v>-10.1122555279437</v>
      </c>
      <c r="DP4" s="587" t="n">
        <v>-8.29223405308898</v>
      </c>
      <c r="DQ4" s="587" t="n">
        <v>-5.58926928905534</v>
      </c>
      <c r="DR4" s="587" t="n">
        <v>-6.12984659066319</v>
      </c>
      <c r="DS4" s="587" t="n">
        <v>-1.39872741699043</v>
      </c>
      <c r="DT4" s="587" t="n">
        <v>-2.6815092783046</v>
      </c>
      <c r="DU4" s="587" t="n">
        <v>-2.82103368546081</v>
      </c>
      <c r="DV4" s="587" t="n">
        <v>-2.79036300249099</v>
      </c>
      <c r="DW4" s="587" t="n">
        <v>-2.3469489145047</v>
      </c>
      <c r="DX4" s="587" t="n">
        <v>-1.57256706277179</v>
      </c>
      <c r="DY4" s="587" t="n">
        <v>-4.04264007632289</v>
      </c>
      <c r="DZ4" s="587" t="n">
        <v>-4.05730804016542</v>
      </c>
      <c r="EA4" s="587" t="n">
        <v>-4.801413704457</v>
      </c>
      <c r="EB4" s="587" t="n">
        <v>-4.20312362919951</v>
      </c>
      <c r="EC4" s="587" t="n">
        <v>-3.95006575107339</v>
      </c>
      <c r="ED4" s="587" t="n">
        <v>-4.05431607508167</v>
      </c>
      <c r="EE4" s="587" t="n">
        <v>-0.811274793676076</v>
      </c>
      <c r="EF4" s="587" t="n">
        <v>-1.55988284251192</v>
      </c>
      <c r="EG4" s="587" t="n">
        <v>-1.67284474041403</v>
      </c>
      <c r="EH4" s="587" t="n">
        <v>-1.65184630170867</v>
      </c>
      <c r="EI4" s="587" t="n">
        <v>-1.43156425999494</v>
      </c>
      <c r="EJ4" s="587" t="n">
        <v>-0.913667498595464</v>
      </c>
      <c r="EK4" s="587" t="n">
        <v>-1.7886644590367</v>
      </c>
      <c r="EL4" s="587" t="n">
        <v>-1.83688274950307</v>
      </c>
      <c r="EM4" s="587" t="n">
        <v>-2.26709025541724</v>
      </c>
      <c r="EN4" s="587" t="n">
        <v>-1.98707394813371</v>
      </c>
      <c r="EO4" s="587" t="n">
        <v>-1.76425221115108</v>
      </c>
      <c r="EP4" s="587" t="n">
        <v>-1.78804355130354</v>
      </c>
    </row>
    <row r="5" customFormat="false" ht="12.75" hidden="false" customHeight="false" outlineLevel="0" collapsed="false">
      <c r="B5" s="586" t="n">
        <v>2001</v>
      </c>
      <c r="C5" s="587" t="n">
        <v>-5.3867534407377</v>
      </c>
      <c r="D5" s="587" t="n">
        <v>-10.7211208947282</v>
      </c>
      <c r="E5" s="587" t="n">
        <v>-10.7998310825414</v>
      </c>
      <c r="F5" s="587" t="n">
        <v>-10.6921484937833</v>
      </c>
      <c r="G5" s="587" t="n">
        <v>-9.43680923780581</v>
      </c>
      <c r="H5" s="587" t="n">
        <v>-6.967589191165</v>
      </c>
      <c r="I5" s="587" t="n">
        <v>-13.1908952566</v>
      </c>
      <c r="J5" s="587" t="n">
        <v>-14.1031216974914</v>
      </c>
      <c r="K5" s="587" t="n">
        <v>-16.8230329223148</v>
      </c>
      <c r="L5" s="587" t="n">
        <v>-14.394645994452</v>
      </c>
      <c r="M5" s="587" t="n">
        <v>-13.3734985244932</v>
      </c>
      <c r="N5" s="587" t="n">
        <v>-13.5968161124117</v>
      </c>
      <c r="O5" s="587" t="n">
        <v>-6.39634844709896</v>
      </c>
      <c r="P5" s="587" t="n">
        <v>-11.7698195772196</v>
      </c>
      <c r="Q5" s="587" t="n">
        <v>-11.8936713108376</v>
      </c>
      <c r="R5" s="587" t="n">
        <v>-11.7655183839898</v>
      </c>
      <c r="S5" s="587" t="n">
        <v>-10.1500082518588</v>
      </c>
      <c r="T5" s="587" t="n">
        <v>-7.69997297711365</v>
      </c>
      <c r="U5" s="587" t="n">
        <v>-15.8284121688412</v>
      </c>
      <c r="V5" s="587" t="n">
        <v>-16.3052239099863</v>
      </c>
      <c r="W5" s="587" t="n">
        <v>-19.4348068754559</v>
      </c>
      <c r="X5" s="587" t="n">
        <v>-16.7273707437374</v>
      </c>
      <c r="Y5" s="587" t="n">
        <v>-15.3737928149609</v>
      </c>
      <c r="Z5" s="587" t="n">
        <v>-16.1522369925901</v>
      </c>
      <c r="AA5" s="587" t="n">
        <v>-5.1104423245666</v>
      </c>
      <c r="AB5" s="587" t="n">
        <v>-10.0949263349183</v>
      </c>
      <c r="AC5" s="587" t="n">
        <v>-10.4171821959156</v>
      </c>
      <c r="AD5" s="587" t="n">
        <v>-10.3646549794123</v>
      </c>
      <c r="AE5" s="587" t="n">
        <v>-8.97459265245596</v>
      </c>
      <c r="AF5" s="587" t="n">
        <v>-6.67344809049955</v>
      </c>
      <c r="AG5" s="587" t="n">
        <v>-12.9827508260896</v>
      </c>
      <c r="AH5" s="587" t="n">
        <v>-13.0368871426015</v>
      </c>
      <c r="AI5" s="587" t="n">
        <v>-15.4694955094387</v>
      </c>
      <c r="AJ5" s="587" t="n">
        <v>-13.4461706378036</v>
      </c>
      <c r="AK5" s="587" t="n">
        <v>-12.7114445101967</v>
      </c>
      <c r="AL5" s="587" t="n">
        <v>-13.2993906538969</v>
      </c>
      <c r="AM5" s="587" t="n">
        <v>-4.06464173253114</v>
      </c>
      <c r="AN5" s="587" t="n">
        <v>-7.66353612476488</v>
      </c>
      <c r="AO5" s="587" t="n">
        <v>-8.35350936127057</v>
      </c>
      <c r="AP5" s="587" t="n">
        <v>-8.61268930357054</v>
      </c>
      <c r="AQ5" s="587" t="n">
        <v>-7.15895433827145</v>
      </c>
      <c r="AR5" s="587" t="n">
        <v>-5.15107853483989</v>
      </c>
      <c r="AS5" s="587" t="n">
        <v>-9.68107994207844</v>
      </c>
      <c r="AT5" s="587" t="n">
        <v>-9.83641538182997</v>
      </c>
      <c r="AU5" s="587" t="n">
        <v>-12.1879884486226</v>
      </c>
      <c r="AV5" s="587" t="n">
        <v>-10.7252408921139</v>
      </c>
      <c r="AW5" s="587" t="n">
        <v>-8.97687362673959</v>
      </c>
      <c r="AX5" s="587" t="n">
        <v>-9.82163707207444</v>
      </c>
      <c r="AY5" s="587" t="n">
        <v>-3.2640963751799</v>
      </c>
      <c r="AZ5" s="587" t="n">
        <v>-7.06958805679811</v>
      </c>
      <c r="BA5" s="587" t="n">
        <v>-8.43775969577482</v>
      </c>
      <c r="BB5" s="587" t="n">
        <v>-8.71101791147049</v>
      </c>
      <c r="BC5" s="587" t="n">
        <v>-7.43724949780314</v>
      </c>
      <c r="BD5" s="587" t="n">
        <v>-4.38537099552661</v>
      </c>
      <c r="BE5" s="587" t="n">
        <v>-8.80776741687642</v>
      </c>
      <c r="BF5" s="587" t="n">
        <v>-8.9032721221293</v>
      </c>
      <c r="BG5" s="587" t="n">
        <v>-14.3557764819963</v>
      </c>
      <c r="BH5" s="587" t="n">
        <v>-11.9571805468251</v>
      </c>
      <c r="BI5" s="587" t="n">
        <v>-8.01479093195427</v>
      </c>
      <c r="BJ5" s="587" t="n">
        <v>-8.96809602429329</v>
      </c>
      <c r="BK5" s="587" t="n">
        <v>-1.87039677285588</v>
      </c>
      <c r="BL5" s="587" t="n">
        <v>-2.73192905401447</v>
      </c>
      <c r="BM5" s="587" t="n">
        <v>-3.06021384385452</v>
      </c>
      <c r="BN5" s="587" t="n">
        <v>-3.22247046490708</v>
      </c>
      <c r="BO5" s="587" t="n">
        <v>-3.07668827269066</v>
      </c>
      <c r="BP5" s="587" t="n">
        <v>-2.46924544271063</v>
      </c>
      <c r="BQ5" s="587" t="n">
        <v>-2.21198882029736</v>
      </c>
      <c r="BR5" s="587" t="n">
        <v>-2.35895874472291</v>
      </c>
      <c r="BS5" s="587" t="n">
        <v>-2.95030524723456</v>
      </c>
      <c r="BT5" s="587" t="n">
        <v>-2.9313718332932</v>
      </c>
      <c r="BU5" s="587" t="n">
        <v>-2.49955354074011</v>
      </c>
      <c r="BV5" s="587" t="n">
        <v>-2.36353386149936</v>
      </c>
      <c r="BW5" s="587" t="n">
        <v>-88.7496360060778</v>
      </c>
      <c r="BX5" s="587" t="n">
        <v>-91.8166517946121</v>
      </c>
      <c r="BY5" s="587" t="n">
        <v>-97.5029374981401</v>
      </c>
      <c r="BZ5" s="587" t="n">
        <v>-97.8625492665679</v>
      </c>
      <c r="CA5" s="587" t="n">
        <v>-95.1980648222743</v>
      </c>
      <c r="CB5" s="587" t="n">
        <v>-91.3052462736541</v>
      </c>
      <c r="CC5" s="587" t="n">
        <v>-85.8107996442539</v>
      </c>
      <c r="CD5" s="587" t="n">
        <v>-87.1152166137397</v>
      </c>
      <c r="CE5" s="587" t="n">
        <v>-93.1183960034275</v>
      </c>
      <c r="CF5" s="587" t="n">
        <v>-94.1478123852299</v>
      </c>
      <c r="CG5" s="587" t="n">
        <v>-91.4974093148122</v>
      </c>
      <c r="CH5" s="587" t="n">
        <v>-88.5881457559445</v>
      </c>
      <c r="CI5" s="587" t="n">
        <v>-90.7358018286408</v>
      </c>
      <c r="CJ5" s="587" t="n">
        <v>-93.9561533217258</v>
      </c>
      <c r="CK5" s="587" t="n">
        <v>-100.331012327036</v>
      </c>
      <c r="CL5" s="587" t="n">
        <v>-101.516762903013</v>
      </c>
      <c r="CM5" s="587" t="n">
        <v>-98.1403679214099</v>
      </c>
      <c r="CN5" s="587" t="n">
        <v>-93.4666403418408</v>
      </c>
      <c r="CO5" s="587" t="n">
        <v>-90.3189833247488</v>
      </c>
      <c r="CP5" s="587" t="n">
        <v>-91.9188457614014</v>
      </c>
      <c r="CQ5" s="587" t="n">
        <v>-99.7824360688718</v>
      </c>
      <c r="CR5" s="587" t="n">
        <v>-101.117964176597</v>
      </c>
      <c r="CS5" s="587" t="n">
        <v>-97.6376798433434</v>
      </c>
      <c r="CT5" s="587" t="n">
        <v>-93.974757977275</v>
      </c>
      <c r="CU5" s="587" t="n">
        <v>-90.3599655200464</v>
      </c>
      <c r="CV5" s="587" t="n">
        <v>-93.3167761787802</v>
      </c>
      <c r="CW5" s="587" t="n">
        <v>-98.7316042901546</v>
      </c>
      <c r="CX5" s="587" t="n">
        <v>-99.552988648555</v>
      </c>
      <c r="CY5" s="587" t="n">
        <v>-96.1361817726804</v>
      </c>
      <c r="CZ5" s="587" t="n">
        <v>-91.8061395251277</v>
      </c>
      <c r="DA5" s="587" t="n">
        <v>-91.6613194079238</v>
      </c>
      <c r="DB5" s="587" t="n">
        <v>-92.5197374870267</v>
      </c>
      <c r="DC5" s="587" t="n">
        <v>-99.8685532019149</v>
      </c>
      <c r="DD5" s="587" t="n">
        <v>-101.648698025508</v>
      </c>
      <c r="DE5" s="587" t="n">
        <v>-98.4562170551986</v>
      </c>
      <c r="DF5" s="587" t="n">
        <v>-95.4420579477906</v>
      </c>
      <c r="DG5" s="587" t="n">
        <v>-86.6501406600057</v>
      </c>
      <c r="DH5" s="587" t="n">
        <v>-93.0461086660189</v>
      </c>
      <c r="DI5" s="587" t="n">
        <v>-98.3321115377577</v>
      </c>
      <c r="DJ5" s="587" t="n">
        <v>-99.0947543613562</v>
      </c>
      <c r="DK5" s="587" t="n">
        <v>-94.7201488378427</v>
      </c>
      <c r="DL5" s="587" t="n">
        <v>-88.8546535265847</v>
      </c>
      <c r="DM5" s="587" t="n">
        <v>-95.0935216372144</v>
      </c>
      <c r="DN5" s="587" t="n">
        <v>-96.7083521547164</v>
      </c>
      <c r="DO5" s="587" t="n">
        <v>-107.70904484399</v>
      </c>
      <c r="DP5" s="587" t="n">
        <v>-106.554740834102</v>
      </c>
      <c r="DQ5" s="587" t="n">
        <v>-99.5230992045764</v>
      </c>
      <c r="DR5" s="587" t="n">
        <v>-97.0608122017185</v>
      </c>
      <c r="DS5" s="587" t="n">
        <v>-83.1869769606556</v>
      </c>
      <c r="DT5" s="587" t="n">
        <v>-88.0343671117252</v>
      </c>
      <c r="DU5" s="587" t="n">
        <v>-91.5915830079301</v>
      </c>
      <c r="DV5" s="587" t="n">
        <v>-92.256573161712</v>
      </c>
      <c r="DW5" s="587" t="n">
        <v>-89.247883443684</v>
      </c>
      <c r="DX5" s="587" t="n">
        <v>-85.1126939116503</v>
      </c>
      <c r="DY5" s="587" t="n">
        <v>-87.9448123562694</v>
      </c>
      <c r="DZ5" s="587" t="n">
        <v>-89.3686532444193</v>
      </c>
      <c r="EA5" s="587" t="n">
        <v>-94.0850461854944</v>
      </c>
      <c r="EB5" s="587" t="n">
        <v>-94.5336206775425</v>
      </c>
      <c r="EC5" s="587" t="n">
        <v>-91.5968185529063</v>
      </c>
      <c r="ED5" s="587" t="n">
        <v>-89.2038762270325</v>
      </c>
      <c r="EE5" s="587" t="n">
        <v>-80.6451708467149</v>
      </c>
      <c r="EF5" s="587" t="n">
        <v>-85.9664839618469</v>
      </c>
      <c r="EG5" s="587" t="n">
        <v>-89.491366638915</v>
      </c>
      <c r="EH5" s="587" t="n">
        <v>-89.2982749094174</v>
      </c>
      <c r="EI5" s="587" t="n">
        <v>-86.3223493555519</v>
      </c>
      <c r="EJ5" s="587" t="n">
        <v>-82.825330114893</v>
      </c>
      <c r="EK5" s="587" t="n">
        <v>-82.3161498119594</v>
      </c>
      <c r="EL5" s="587" t="n">
        <v>-84.1985577277818</v>
      </c>
      <c r="EM5" s="587" t="n">
        <v>-88.0045528654565</v>
      </c>
      <c r="EN5" s="587" t="n">
        <v>-87.6370285404552</v>
      </c>
      <c r="EO5" s="587" t="n">
        <v>-85.6717313458821</v>
      </c>
      <c r="EP5" s="587" t="n">
        <v>-84.0664642647206</v>
      </c>
    </row>
    <row r="6" customFormat="false" ht="12.75" hidden="false" customHeight="false" outlineLevel="0" collapsed="false">
      <c r="B6" s="586" t="n">
        <v>2002</v>
      </c>
      <c r="C6" s="587" t="n">
        <v>-76.1826494268017</v>
      </c>
      <c r="D6" s="587" t="n">
        <v>-82.6531449390523</v>
      </c>
      <c r="E6" s="587" t="n">
        <v>-86.0238937667321</v>
      </c>
      <c r="F6" s="587" t="n">
        <v>-85.8935275891282</v>
      </c>
      <c r="G6" s="587" t="n">
        <v>-82.490565782357</v>
      </c>
      <c r="H6" s="587" t="n">
        <v>-78.4687490128353</v>
      </c>
      <c r="I6" s="587" t="n">
        <v>-82.621063683994</v>
      </c>
      <c r="J6" s="587" t="n">
        <v>-84.9272399354476</v>
      </c>
      <c r="K6" s="587" t="n">
        <v>-90.268673892974</v>
      </c>
      <c r="L6" s="587" t="n">
        <v>-88.467271395986</v>
      </c>
      <c r="M6" s="587" t="n">
        <v>-85.3110672277725</v>
      </c>
      <c r="N6" s="587" t="n">
        <v>-83.5421496152287</v>
      </c>
      <c r="O6" s="587" t="n">
        <v>-75.2436333547664</v>
      </c>
      <c r="P6" s="587" t="n">
        <v>-81.4881142515453</v>
      </c>
      <c r="Q6" s="587" t="n">
        <v>-84.4848703576612</v>
      </c>
      <c r="R6" s="587" t="n">
        <v>-83.9840365649222</v>
      </c>
      <c r="S6" s="587" t="n">
        <v>-80.5208012049657</v>
      </c>
      <c r="T6" s="587" t="n">
        <v>-76.7478640668607</v>
      </c>
      <c r="U6" s="587" t="n">
        <v>-82.5111819653888</v>
      </c>
      <c r="V6" s="587" t="n">
        <v>-84.1554652437771</v>
      </c>
      <c r="W6" s="587" t="n">
        <v>-89.3150872350913</v>
      </c>
      <c r="X6" s="587" t="n">
        <v>-86.9646021743985</v>
      </c>
      <c r="Y6" s="587" t="n">
        <v>-84.3367680717018</v>
      </c>
      <c r="Z6" s="587" t="n">
        <v>-83.4168822794435</v>
      </c>
      <c r="AA6" s="587" t="n">
        <v>-70.558814918093</v>
      </c>
      <c r="AB6" s="587" t="n">
        <v>-75.997815157179</v>
      </c>
      <c r="AC6" s="587" t="n">
        <v>-80.0691215975178</v>
      </c>
      <c r="AD6" s="587" t="n">
        <v>-81.0483026722251</v>
      </c>
      <c r="AE6" s="587" t="n">
        <v>-77.9280899885643</v>
      </c>
      <c r="AF6" s="587" t="n">
        <v>-74.1831135364672</v>
      </c>
      <c r="AG6" s="587" t="n">
        <v>-77.8739446916701</v>
      </c>
      <c r="AH6" s="587" t="n">
        <v>-78.9374522436547</v>
      </c>
      <c r="AI6" s="587" t="n">
        <v>-83.1541970776421</v>
      </c>
      <c r="AJ6" s="587" t="n">
        <v>-81.8394258012198</v>
      </c>
      <c r="AK6" s="587" t="n">
        <v>-79.8829693431299</v>
      </c>
      <c r="AL6" s="587" t="n">
        <v>-78.4742679868265</v>
      </c>
      <c r="AM6" s="587" t="n">
        <v>-78.411440817599</v>
      </c>
      <c r="AN6" s="587" t="n">
        <v>-84.1391529866306</v>
      </c>
      <c r="AO6" s="587" t="n">
        <v>-88.9429148047641</v>
      </c>
      <c r="AP6" s="587" t="n">
        <v>-90.2632789724036</v>
      </c>
      <c r="AQ6" s="587" t="n">
        <v>-86.0804360179417</v>
      </c>
      <c r="AR6" s="587" t="n">
        <v>-80.975827739805</v>
      </c>
      <c r="AS6" s="587" t="n">
        <v>-85.5522572962228</v>
      </c>
      <c r="AT6" s="587" t="n">
        <v>-86.8362158735952</v>
      </c>
      <c r="AU6" s="587" t="n">
        <v>-92.9308604593557</v>
      </c>
      <c r="AV6" s="587" t="n">
        <v>-91.0444845158234</v>
      </c>
      <c r="AW6" s="587" t="n">
        <v>-87.2065599372327</v>
      </c>
      <c r="AX6" s="587" t="n">
        <v>-86.0815450417055</v>
      </c>
      <c r="AY6" s="587" t="n">
        <v>-84.051490924516</v>
      </c>
      <c r="AZ6" s="587" t="n">
        <v>-90.4730391590533</v>
      </c>
      <c r="BA6" s="587" t="n">
        <v>-96.8141392465637</v>
      </c>
      <c r="BB6" s="587" t="n">
        <v>-98.0274693492832</v>
      </c>
      <c r="BC6" s="587" t="n">
        <v>-93.7201436054157</v>
      </c>
      <c r="BD6" s="587" t="n">
        <v>-87.1920793204724</v>
      </c>
      <c r="BE6" s="587" t="n">
        <v>-92.0913004684595</v>
      </c>
      <c r="BF6" s="587" t="n">
        <v>-93.4908789354977</v>
      </c>
      <c r="BG6" s="587" t="n">
        <v>-104.636078104071</v>
      </c>
      <c r="BH6" s="587" t="n">
        <v>-102.384292862206</v>
      </c>
      <c r="BI6" s="587" t="n">
        <v>-95.5829145397425</v>
      </c>
      <c r="BJ6" s="587" t="n">
        <v>-93.9769105734271</v>
      </c>
      <c r="BK6" s="587" t="n">
        <v>-86.9425839131425</v>
      </c>
      <c r="BL6" s="587" t="n">
        <v>-89.9906835258448</v>
      </c>
      <c r="BM6" s="587" t="n">
        <v>-94.9466859088855</v>
      </c>
      <c r="BN6" s="587" t="n">
        <v>-95.5003431176935</v>
      </c>
      <c r="BO6" s="587" t="n">
        <v>-92.7634033862482</v>
      </c>
      <c r="BP6" s="587" t="n">
        <v>-89.5531794074927</v>
      </c>
      <c r="BQ6" s="587" t="n">
        <v>-88.458600332037</v>
      </c>
      <c r="BR6" s="587" t="n">
        <v>-89.4165462709088</v>
      </c>
      <c r="BS6" s="587" t="n">
        <v>-94.0114031370742</v>
      </c>
      <c r="BT6" s="587" t="n">
        <v>-94.8544073180614</v>
      </c>
      <c r="BU6" s="587" t="n">
        <v>-92.6331723793343</v>
      </c>
      <c r="BV6" s="587" t="n">
        <v>-89.7042370000708</v>
      </c>
      <c r="BW6" s="587" t="n">
        <v>-88.7915137342184</v>
      </c>
      <c r="BX6" s="587" t="n">
        <v>-91.9646847380724</v>
      </c>
      <c r="BY6" s="587" t="n">
        <v>-97.6950280489228</v>
      </c>
      <c r="BZ6" s="587" t="n">
        <v>-98.0606137649424</v>
      </c>
      <c r="CA6" s="587" t="n">
        <v>-95.3596292935087</v>
      </c>
      <c r="CB6" s="587" t="n">
        <v>-91.3608036707848</v>
      </c>
      <c r="CC6" s="587" t="n">
        <v>-86.1773372967257</v>
      </c>
      <c r="CD6" s="587" t="n">
        <v>-87.4746187310675</v>
      </c>
      <c r="CE6" s="587" t="n">
        <v>-93.9290144053846</v>
      </c>
      <c r="CF6" s="587" t="n">
        <v>-94.7638417773233</v>
      </c>
      <c r="CG6" s="587" t="n">
        <v>-91.799657713613</v>
      </c>
      <c r="CH6" s="587" t="n">
        <v>-88.9523985973129</v>
      </c>
      <c r="CI6" s="587" t="n">
        <v>-90.7339389388622</v>
      </c>
      <c r="CJ6" s="587" t="n">
        <v>-93.958576675392</v>
      </c>
      <c r="CK6" s="587" t="n">
        <v>-100.332194694334</v>
      </c>
      <c r="CL6" s="587" t="n">
        <v>-101.517150306385</v>
      </c>
      <c r="CM6" s="587" t="n">
        <v>-98.139505819562</v>
      </c>
      <c r="CN6" s="587" t="n">
        <v>-93.4645743496987</v>
      </c>
      <c r="CO6" s="587" t="n">
        <v>-90.0953746189611</v>
      </c>
      <c r="CP6" s="587" t="n">
        <v>-91.6990820553253</v>
      </c>
      <c r="CQ6" s="587" t="n">
        <v>-99.3522227295052</v>
      </c>
      <c r="CR6" s="587" t="n">
        <v>-100.767832894604</v>
      </c>
      <c r="CS6" s="587" t="n">
        <v>-97.4491123188042</v>
      </c>
      <c r="CT6" s="587" t="n">
        <v>-93.7518887204766</v>
      </c>
      <c r="CU6" s="587" t="n">
        <v>-90.6613126416582</v>
      </c>
      <c r="CV6" s="587" t="n">
        <v>-94.2264569523164</v>
      </c>
      <c r="CW6" s="587" t="n">
        <v>-99.8286110052409</v>
      </c>
      <c r="CX6" s="587" t="n">
        <v>-100.688152833129</v>
      </c>
      <c r="CY6" s="587" t="n">
        <v>-97.0700997386501</v>
      </c>
      <c r="CZ6" s="587" t="n">
        <v>-92.1911504481933</v>
      </c>
      <c r="DA6" s="587" t="n">
        <v>-93.0779221917895</v>
      </c>
      <c r="DB6" s="587" t="n">
        <v>-93.9598514087688</v>
      </c>
      <c r="DC6" s="587" t="n">
        <v>-102.470967794651</v>
      </c>
      <c r="DD6" s="587" t="n">
        <v>-103.693834482944</v>
      </c>
      <c r="DE6" s="587" t="n">
        <v>-99.6818487351461</v>
      </c>
      <c r="DF6" s="587" t="n">
        <v>-96.8573451122748</v>
      </c>
      <c r="DG6" s="587" t="n">
        <v>-86.2124748354249</v>
      </c>
      <c r="DH6" s="587" t="n">
        <v>-91.8838116588844</v>
      </c>
      <c r="DI6" s="587" t="n">
        <v>-97.0206793366283</v>
      </c>
      <c r="DJ6" s="587" t="n">
        <v>-97.7578129072952</v>
      </c>
      <c r="DK6" s="587" t="n">
        <v>-93.6495188100114</v>
      </c>
      <c r="DL6" s="587" t="n">
        <v>-88.3181521744307</v>
      </c>
      <c r="DM6" s="587" t="n">
        <v>-93.098088012152</v>
      </c>
      <c r="DN6" s="587" t="n">
        <v>-94.605707145647</v>
      </c>
      <c r="DO6" s="587" t="n">
        <v>-104.417468556195</v>
      </c>
      <c r="DP6" s="587" t="n">
        <v>-103.89470564234</v>
      </c>
      <c r="DQ6" s="587" t="n">
        <v>-97.7162594394235</v>
      </c>
      <c r="DR6" s="587" t="n">
        <v>-95.0577109361478</v>
      </c>
      <c r="DS6" s="587" t="n">
        <v>-83.1898484669779</v>
      </c>
      <c r="DT6" s="587" t="n">
        <v>-88.0421575806467</v>
      </c>
      <c r="DU6" s="587" t="n">
        <v>-91.5956380146583</v>
      </c>
      <c r="DV6" s="587" t="n">
        <v>-92.2590609987882</v>
      </c>
      <c r="DW6" s="587" t="n">
        <v>-89.2491223437189</v>
      </c>
      <c r="DX6" s="587" t="n">
        <v>-85.1157039991368</v>
      </c>
      <c r="DY6" s="587" t="n">
        <v>-86.8936298484253</v>
      </c>
      <c r="DZ6" s="587" t="n">
        <v>-88.3132451257284</v>
      </c>
      <c r="EA6" s="587" t="n">
        <v>-92.8571156152237</v>
      </c>
      <c r="EB6" s="587" t="n">
        <v>-93.4811108216758</v>
      </c>
      <c r="EC6" s="587" t="n">
        <v>-90.5820967536237</v>
      </c>
      <c r="ED6" s="587" t="n">
        <v>-88.1496558045214</v>
      </c>
      <c r="EE6" s="587" t="n">
        <v>-80.995465865002</v>
      </c>
      <c r="EF6" s="587" t="n">
        <v>-86.6741347946467</v>
      </c>
      <c r="EG6" s="587" t="n">
        <v>-90.1869066833971</v>
      </c>
      <c r="EH6" s="587" t="n">
        <v>-89.9723651882681</v>
      </c>
      <c r="EI6" s="587" t="n">
        <v>-86.8865631023123</v>
      </c>
      <c r="EJ6" s="587" t="n">
        <v>-83.2169273928888</v>
      </c>
      <c r="EK6" s="587" t="n">
        <v>-83.9431177578355</v>
      </c>
      <c r="EL6" s="587" t="n">
        <v>-85.8699585511413</v>
      </c>
      <c r="EM6" s="587" t="n">
        <v>-89.9905188575068</v>
      </c>
      <c r="EN6" s="587" t="n">
        <v>-89.3010068628077</v>
      </c>
      <c r="EO6" s="587" t="n">
        <v>-87.2307103148892</v>
      </c>
      <c r="EP6" s="587" t="n">
        <v>-85.6930335858532</v>
      </c>
    </row>
    <row r="7" customFormat="false" ht="12.75" hidden="false" customHeight="false" outlineLevel="0" collapsed="false">
      <c r="B7" s="586" t="n">
        <v>2003</v>
      </c>
      <c r="C7" s="587" t="n">
        <v>-75.7449917562492</v>
      </c>
      <c r="D7" s="587" t="n">
        <v>-81.7531926200543</v>
      </c>
      <c r="E7" s="587" t="n">
        <v>-85.1374465602503</v>
      </c>
      <c r="F7" s="587" t="n">
        <v>-85.0299992725448</v>
      </c>
      <c r="G7" s="587" t="n">
        <v>-81.7770259576872</v>
      </c>
      <c r="H7" s="587" t="n">
        <v>-77.9796513087332</v>
      </c>
      <c r="I7" s="587" t="n">
        <v>-81.2475610149187</v>
      </c>
      <c r="J7" s="587" t="n">
        <v>-83.4994442968639</v>
      </c>
      <c r="K7" s="587" t="n">
        <v>-88.5444462309903</v>
      </c>
      <c r="L7" s="587" t="n">
        <v>-87.0380811579351</v>
      </c>
      <c r="M7" s="587" t="n">
        <v>-83.9875982203803</v>
      </c>
      <c r="N7" s="587" t="n">
        <v>-82.1598312386582</v>
      </c>
      <c r="O7" s="587" t="n">
        <v>-74.3993351951903</v>
      </c>
      <c r="P7" s="587" t="n">
        <v>-79.774135498212</v>
      </c>
      <c r="Q7" s="587" t="n">
        <v>-82.7819736228894</v>
      </c>
      <c r="R7" s="587" t="n">
        <v>-82.3190893581444</v>
      </c>
      <c r="S7" s="587" t="n">
        <v>-79.178500124408</v>
      </c>
      <c r="T7" s="587" t="n">
        <v>-75.8047824116296</v>
      </c>
      <c r="U7" s="587" t="n">
        <v>-79.7827848927427</v>
      </c>
      <c r="V7" s="587" t="n">
        <v>-81.3889251542665</v>
      </c>
      <c r="W7" s="587" t="n">
        <v>-85.9639638153618</v>
      </c>
      <c r="X7" s="587" t="n">
        <v>-84.163017298376</v>
      </c>
      <c r="Y7" s="587" t="n">
        <v>-81.7793478586524</v>
      </c>
      <c r="Z7" s="587" t="n">
        <v>-80.6689640550699</v>
      </c>
      <c r="AA7" s="587" t="n">
        <v>-70.1303880721152</v>
      </c>
      <c r="AB7" s="587" t="n">
        <v>-75.1185915181663</v>
      </c>
      <c r="AC7" s="587" t="n">
        <v>-79.1774078887634</v>
      </c>
      <c r="AD7" s="587" t="n">
        <v>-80.1745638565432</v>
      </c>
      <c r="AE7" s="587" t="n">
        <v>-77.2259710749257</v>
      </c>
      <c r="AF7" s="587" t="n">
        <v>-73.6998923771871</v>
      </c>
      <c r="AG7" s="587" t="n">
        <v>-76.6555086458179</v>
      </c>
      <c r="AH7" s="587" t="n">
        <v>-77.7491576262708</v>
      </c>
      <c r="AI7" s="587" t="n">
        <v>-81.730722727509</v>
      </c>
      <c r="AJ7" s="587" t="n">
        <v>-80.6393650022017</v>
      </c>
      <c r="AK7" s="587" t="n">
        <v>-78.7479448356043</v>
      </c>
      <c r="AL7" s="587" t="n">
        <v>-77.2545208617047</v>
      </c>
      <c r="AM7" s="587" t="n">
        <v>-84.5278324690853</v>
      </c>
      <c r="AN7" s="587" t="n">
        <v>-92.7724238419467</v>
      </c>
      <c r="AO7" s="587" t="n">
        <v>-102.70556745241</v>
      </c>
      <c r="AP7" s="587" t="n">
        <v>-105.179254355782</v>
      </c>
      <c r="AQ7" s="587" t="n">
        <v>-98.3589374228537</v>
      </c>
      <c r="AR7" s="587" t="n">
        <v>-88.4671001726605</v>
      </c>
      <c r="AS7" s="587" t="n">
        <v>-89.5903234989604</v>
      </c>
      <c r="AT7" s="587" t="n">
        <v>-91.0475118660325</v>
      </c>
      <c r="AU7" s="587" t="n">
        <v>-97.7918250180905</v>
      </c>
      <c r="AV7" s="587" t="n">
        <v>-96.880235392369</v>
      </c>
      <c r="AW7" s="587" t="n">
        <v>-92.0721962597927</v>
      </c>
      <c r="AX7" s="587" t="n">
        <v>-90.3323062000908</v>
      </c>
      <c r="AY7" s="587" t="n">
        <v>-90.3579464704178</v>
      </c>
      <c r="AZ7" s="587" t="n">
        <v>-100.270807983324</v>
      </c>
      <c r="BA7" s="587" t="n">
        <v>-112.564201992346</v>
      </c>
      <c r="BB7" s="587" t="n">
        <v>-115.138999657993</v>
      </c>
      <c r="BC7" s="587" t="n">
        <v>-107.698933393132</v>
      </c>
      <c r="BD7" s="587" t="n">
        <v>-95.0677758163938</v>
      </c>
      <c r="BE7" s="587" t="n">
        <v>-96.1875868180314</v>
      </c>
      <c r="BF7" s="587" t="n">
        <v>-97.6375652180184</v>
      </c>
      <c r="BG7" s="587" t="n">
        <v>-109.434342928591</v>
      </c>
      <c r="BH7" s="587" t="n">
        <v>-108.649006498097</v>
      </c>
      <c r="BI7" s="587" t="n">
        <v>-100.726078267221</v>
      </c>
      <c r="BJ7" s="587" t="n">
        <v>-98.2794253471804</v>
      </c>
      <c r="BK7" s="587" t="n">
        <v>-93.2988516057129</v>
      </c>
      <c r="BL7" s="587" t="n">
        <v>-102.449214074272</v>
      </c>
      <c r="BM7" s="587" t="n">
        <v>-115.057696184991</v>
      </c>
      <c r="BN7" s="587" t="n">
        <v>-116.767986799213</v>
      </c>
      <c r="BO7" s="587" t="n">
        <v>-109.86033021031</v>
      </c>
      <c r="BP7" s="587" t="n">
        <v>-97.911698800724</v>
      </c>
      <c r="BQ7" s="587" t="n">
        <v>-94.8556974771458</v>
      </c>
      <c r="BR7" s="587" t="n">
        <v>-95.7740248367299</v>
      </c>
      <c r="BS7" s="587" t="n">
        <v>-103.452826996994</v>
      </c>
      <c r="BT7" s="587" t="n">
        <v>-104.645131499239</v>
      </c>
      <c r="BU7" s="587" t="n">
        <v>-99.9692439074494</v>
      </c>
      <c r="BV7" s="587" t="n">
        <v>-96.4481162822434</v>
      </c>
      <c r="BW7" s="587" t="n">
        <v>-95.6831248909712</v>
      </c>
      <c r="BX7" s="587" t="n">
        <v>-105.000243489248</v>
      </c>
      <c r="BY7" s="587" t="n">
        <v>-117.809754491156</v>
      </c>
      <c r="BZ7" s="587" t="n">
        <v>-119.01354443982</v>
      </c>
      <c r="CA7" s="587" t="n">
        <v>-112.426707876601</v>
      </c>
      <c r="CB7" s="587" t="n">
        <v>-100.107505675134</v>
      </c>
      <c r="CC7" s="587" t="n">
        <v>-92.0609474702369</v>
      </c>
      <c r="CD7" s="587" t="n">
        <v>-93.3498315379245</v>
      </c>
      <c r="CE7" s="587" t="n">
        <v>-102.055431404349</v>
      </c>
      <c r="CF7" s="587" t="n">
        <v>-103.614061000409</v>
      </c>
      <c r="CG7" s="587" t="n">
        <v>-98.5164259743552</v>
      </c>
      <c r="CH7" s="587" t="n">
        <v>-95.0338575061006</v>
      </c>
      <c r="CI7" s="587" t="n">
        <v>-97.6166809515836</v>
      </c>
      <c r="CJ7" s="587" t="n">
        <v>-106.816556638609</v>
      </c>
      <c r="CK7" s="587" t="n">
        <v>-120.572990511672</v>
      </c>
      <c r="CL7" s="587" t="n">
        <v>-122.705200477893</v>
      </c>
      <c r="CM7" s="587" t="n">
        <v>-115.261436868307</v>
      </c>
      <c r="CN7" s="587" t="n">
        <v>-102.22985883498</v>
      </c>
      <c r="CO7" s="587" t="n">
        <v>-96.0170797482616</v>
      </c>
      <c r="CP7" s="587" t="n">
        <v>-97.6615678366506</v>
      </c>
      <c r="CQ7" s="587" t="n">
        <v>-107.575786094704</v>
      </c>
      <c r="CR7" s="587" t="n">
        <v>-109.639657421812</v>
      </c>
      <c r="CS7" s="587" t="n">
        <v>-104.242387336121</v>
      </c>
      <c r="CT7" s="587" t="n">
        <v>-100.003640269605</v>
      </c>
      <c r="CU7" s="587" t="n">
        <v>-98.8964902484057</v>
      </c>
      <c r="CV7" s="587" t="n">
        <v>-108.283465638199</v>
      </c>
      <c r="CW7" s="587" t="n">
        <v>-120.821975519052</v>
      </c>
      <c r="CX7" s="587" t="n">
        <v>-122.896076088114</v>
      </c>
      <c r="CY7" s="587" t="n">
        <v>-115.314718744876</v>
      </c>
      <c r="CZ7" s="587" t="n">
        <v>-102.386990874476</v>
      </c>
      <c r="DA7" s="587" t="n">
        <v>-104.022824300147</v>
      </c>
      <c r="DB7" s="587" t="n">
        <v>-104.908706053024</v>
      </c>
      <c r="DC7" s="587" t="n">
        <v>-118.567788359335</v>
      </c>
      <c r="DD7" s="587" t="n">
        <v>-119.088123797943</v>
      </c>
      <c r="DE7" s="587" t="n">
        <v>-110.891758237484</v>
      </c>
      <c r="DF7" s="587" t="n">
        <v>-108.02232204592</v>
      </c>
      <c r="DG7" s="587" t="n">
        <v>-92.3606832535418</v>
      </c>
      <c r="DH7" s="587" t="n">
        <v>-102.226062959926</v>
      </c>
      <c r="DI7" s="587" t="n">
        <v>-113.550421383462</v>
      </c>
      <c r="DJ7" s="587" t="n">
        <v>-115.615669694779</v>
      </c>
      <c r="DK7" s="587" t="n">
        <v>-108.146325379231</v>
      </c>
      <c r="DL7" s="587" t="n">
        <v>-96.2236528382684</v>
      </c>
      <c r="DM7" s="587" t="n">
        <v>-98.6607738409893</v>
      </c>
      <c r="DN7" s="587" t="n">
        <v>-100.172252754777</v>
      </c>
      <c r="DO7" s="587" t="n">
        <v>-111.740929257257</v>
      </c>
      <c r="DP7" s="587" t="n">
        <v>-111.880146388784</v>
      </c>
      <c r="DQ7" s="587" t="n">
        <v>-104.011611220295</v>
      </c>
      <c r="DR7" s="587" t="n">
        <v>-100.839320861744</v>
      </c>
      <c r="DS7" s="587" t="n">
        <v>-90.8627083098754</v>
      </c>
      <c r="DT7" s="587" t="n">
        <v>-99.923057558702</v>
      </c>
      <c r="DU7" s="587" t="n">
        <v>-108.362464154524</v>
      </c>
      <c r="DV7" s="587" t="n">
        <v>-109.782082287813</v>
      </c>
      <c r="DW7" s="587" t="n">
        <v>-103.70952336275</v>
      </c>
      <c r="DX7" s="587" t="n">
        <v>-94.3705650853601</v>
      </c>
      <c r="DY7" s="587" t="n">
        <v>-94.1893870429725</v>
      </c>
      <c r="DZ7" s="587" t="n">
        <v>-95.6050977785857</v>
      </c>
      <c r="EA7" s="587" t="n">
        <v>-101.651912337947</v>
      </c>
      <c r="EB7" s="587" t="n">
        <v>-102.586641475855</v>
      </c>
      <c r="EC7" s="587" t="n">
        <v>-98.4044041212106</v>
      </c>
      <c r="ED7" s="587" t="n">
        <v>-95.569336068895</v>
      </c>
      <c r="EE7" s="587" t="n">
        <v>-87.8613619416893</v>
      </c>
      <c r="EF7" s="587" t="n">
        <v>-97.9417750208006</v>
      </c>
      <c r="EG7" s="587" t="n">
        <v>-106.274552553979</v>
      </c>
      <c r="EH7" s="587" t="n">
        <v>-106.654100949883</v>
      </c>
      <c r="EI7" s="587" t="n">
        <v>-100.568316734057</v>
      </c>
      <c r="EJ7" s="587" t="n">
        <v>-91.7037805218683</v>
      </c>
      <c r="EK7" s="587" t="n">
        <v>-92.2054151777797</v>
      </c>
      <c r="EL7" s="587" t="n">
        <v>-94.2567234196719</v>
      </c>
      <c r="EM7" s="587" t="n">
        <v>-100.34707205773</v>
      </c>
      <c r="EN7" s="587" t="n">
        <v>-99.3783772888647</v>
      </c>
      <c r="EO7" s="587" t="n">
        <v>-95.9017205223757</v>
      </c>
      <c r="EP7" s="587" t="n">
        <v>-94.0636922945876</v>
      </c>
    </row>
    <row r="8" customFormat="false" ht="12.75" hidden="false" customHeight="false" outlineLevel="0" collapsed="false">
      <c r="B8" s="586" t="n">
        <v>2004</v>
      </c>
      <c r="C8" s="587" t="n">
        <v>-83.9530411370267</v>
      </c>
      <c r="D8" s="587" t="n">
        <v>-94.2438893392583</v>
      </c>
      <c r="E8" s="587" t="n">
        <v>-103.019897742482</v>
      </c>
      <c r="F8" s="587" t="n">
        <v>-104.708431095665</v>
      </c>
      <c r="G8" s="587" t="n">
        <v>-98.4739460306025</v>
      </c>
      <c r="H8" s="587" t="n">
        <v>-88.3942835179573</v>
      </c>
      <c r="I8" s="587" t="n">
        <v>-88.163219835334</v>
      </c>
      <c r="J8" s="587" t="n">
        <v>-90.4560038366321</v>
      </c>
      <c r="K8" s="587" t="n">
        <v>-97.3991316671892</v>
      </c>
      <c r="L8" s="587" t="n">
        <v>-97.8294236048539</v>
      </c>
      <c r="M8" s="587" t="n">
        <v>-92.7817657077771</v>
      </c>
      <c r="N8" s="587" t="n">
        <v>-89.230284394098</v>
      </c>
      <c r="O8" s="587" t="n">
        <v>-82.5787498045417</v>
      </c>
      <c r="P8" s="587" t="n">
        <v>-92.4181451005949</v>
      </c>
      <c r="Q8" s="587" t="n">
        <v>-101.03779002141</v>
      </c>
      <c r="R8" s="587" t="n">
        <v>-102.416318101459</v>
      </c>
      <c r="S8" s="587" t="n">
        <v>-96.2999330270866</v>
      </c>
      <c r="T8" s="587" t="n">
        <v>-86.3234375238026</v>
      </c>
      <c r="U8" s="587" t="n">
        <v>-87.1224777051101</v>
      </c>
      <c r="V8" s="587" t="n">
        <v>-88.7465956638688</v>
      </c>
      <c r="W8" s="587" t="n">
        <v>-95.2014547299748</v>
      </c>
      <c r="X8" s="587" t="n">
        <v>-95.3887339248727</v>
      </c>
      <c r="Y8" s="587" t="n">
        <v>-91.0553547868969</v>
      </c>
      <c r="Z8" s="587" t="n">
        <v>-88.0885170061346</v>
      </c>
      <c r="AA8" s="587" t="n">
        <v>-78.2227814500916</v>
      </c>
      <c r="AB8" s="587" t="n">
        <v>-86.5574680119396</v>
      </c>
      <c r="AC8" s="587" t="n">
        <v>-96.5464448536265</v>
      </c>
      <c r="AD8" s="587" t="n">
        <v>-99.6933302358254</v>
      </c>
      <c r="AE8" s="587" t="n">
        <v>-94.0430606239067</v>
      </c>
      <c r="AF8" s="587" t="n">
        <v>-84.0525285101665</v>
      </c>
      <c r="AG8" s="587" t="n">
        <v>-87.4960665754547</v>
      </c>
      <c r="AH8" s="587" t="n">
        <v>-88.5656368231795</v>
      </c>
      <c r="AI8" s="587" t="n">
        <v>-94.9314205806998</v>
      </c>
      <c r="AJ8" s="587" t="n">
        <v>-95.4261840424439</v>
      </c>
      <c r="AK8" s="587" t="n">
        <v>-91.3626207213652</v>
      </c>
      <c r="AL8" s="587" t="n">
        <v>-88.2576932630724</v>
      </c>
      <c r="AM8" s="587" t="n">
        <v>-85.2632128129031</v>
      </c>
      <c r="AN8" s="587" t="n">
        <v>-93.3029297873168</v>
      </c>
      <c r="AO8" s="587" t="n">
        <v>-103.941397573564</v>
      </c>
      <c r="AP8" s="587" t="n">
        <v>-107.827997416388</v>
      </c>
      <c r="AQ8" s="587" t="n">
        <v>-101.133322801597</v>
      </c>
      <c r="AR8" s="587" t="n">
        <v>-89.9493768228312</v>
      </c>
      <c r="AS8" s="587" t="n">
        <v>-89.7564380897605</v>
      </c>
      <c r="AT8" s="587" t="n">
        <v>-91.2523569209769</v>
      </c>
      <c r="AU8" s="587" t="n">
        <v>-98.1612113839871</v>
      </c>
      <c r="AV8" s="587" t="n">
        <v>-99.1707179083641</v>
      </c>
      <c r="AW8" s="587" t="n">
        <v>-93.8812345508346</v>
      </c>
      <c r="AX8" s="587" t="n">
        <v>-90.4785893951108</v>
      </c>
      <c r="AY8" s="587" t="n">
        <v>-91.1998341978501</v>
      </c>
      <c r="AZ8" s="587" t="n">
        <v>-100.668817103502</v>
      </c>
      <c r="BA8" s="587" t="n">
        <v>-113.628363013788</v>
      </c>
      <c r="BB8" s="587" t="n">
        <v>-117.707199696767</v>
      </c>
      <c r="BC8" s="587" t="n">
        <v>-110.442209705707</v>
      </c>
      <c r="BD8" s="587" t="n">
        <v>-96.714553281585</v>
      </c>
      <c r="BE8" s="587" t="n">
        <v>-95.5989741921142</v>
      </c>
      <c r="BF8" s="587" t="n">
        <v>-97.0439942082487</v>
      </c>
      <c r="BG8" s="587" t="n">
        <v>-108.097982947467</v>
      </c>
      <c r="BH8" s="587" t="n">
        <v>-109.714875113007</v>
      </c>
      <c r="BI8" s="587" t="n">
        <v>-102.190352776636</v>
      </c>
      <c r="BJ8" s="587" t="n">
        <v>-97.8491903401376</v>
      </c>
      <c r="BK8" s="587" t="n">
        <v>-94.8612999559533</v>
      </c>
      <c r="BL8" s="587" t="n">
        <v>-104.009601934788</v>
      </c>
      <c r="BM8" s="587" t="n">
        <v>-117.484909871933</v>
      </c>
      <c r="BN8" s="587" t="n">
        <v>-120.490141064229</v>
      </c>
      <c r="BO8" s="587" t="n">
        <v>-113.670166241988</v>
      </c>
      <c r="BP8" s="587" t="n">
        <v>-100.384898386171</v>
      </c>
      <c r="BQ8" s="587" t="n">
        <v>-96.5699219551036</v>
      </c>
      <c r="BR8" s="587" t="n">
        <v>-97.4634788390226</v>
      </c>
      <c r="BS8" s="587" t="n">
        <v>-105.960918554394</v>
      </c>
      <c r="BT8" s="587" t="n">
        <v>-108.788039084506</v>
      </c>
      <c r="BU8" s="587" t="n">
        <v>-103.644743118213</v>
      </c>
      <c r="BV8" s="587" t="n">
        <v>-98.588073864146</v>
      </c>
      <c r="BW8" s="587" t="n">
        <v>-97.6640550132466</v>
      </c>
      <c r="BX8" s="587" t="n">
        <v>-107.00186543627</v>
      </c>
      <c r="BY8" s="587" t="n">
        <v>-120.665083042937</v>
      </c>
      <c r="BZ8" s="587" t="n">
        <v>-122.982689550901</v>
      </c>
      <c r="CA8" s="587" t="n">
        <v>-116.531967574417</v>
      </c>
      <c r="CB8" s="587" t="n">
        <v>-102.983686191271</v>
      </c>
      <c r="CC8" s="587" t="n">
        <v>-93.7226044112713</v>
      </c>
      <c r="CD8" s="587" t="n">
        <v>-95.0062608658006</v>
      </c>
      <c r="CE8" s="587" t="n">
        <v>-104.306246087209</v>
      </c>
      <c r="CF8" s="587" t="n">
        <v>-107.417651603461</v>
      </c>
      <c r="CG8" s="587" t="n">
        <v>-101.948876312125</v>
      </c>
      <c r="CH8" s="587" t="n">
        <v>-96.8851191790715</v>
      </c>
      <c r="CI8" s="587" t="n">
        <v>-99.4473693825273</v>
      </c>
      <c r="CJ8" s="587" t="n">
        <v>-108.62679501697</v>
      </c>
      <c r="CK8" s="587" t="n">
        <v>-123.334424100382</v>
      </c>
      <c r="CL8" s="587" t="n">
        <v>-126.653370812041</v>
      </c>
      <c r="CM8" s="587" t="n">
        <v>-119.305688788499</v>
      </c>
      <c r="CN8" s="587" t="n">
        <v>-104.965192403578</v>
      </c>
      <c r="CO8" s="587" t="n">
        <v>-97.8323790268485</v>
      </c>
      <c r="CP8" s="587" t="n">
        <v>-99.3849165934888</v>
      </c>
      <c r="CQ8" s="587" t="n">
        <v>-109.993997316244</v>
      </c>
      <c r="CR8" s="587" t="n">
        <v>-113.584068546483</v>
      </c>
      <c r="CS8" s="587" t="n">
        <v>-107.677828474675</v>
      </c>
      <c r="CT8" s="587" t="n">
        <v>-102.065517988842</v>
      </c>
      <c r="CU8" s="587" t="n">
        <v>-100.10984215701</v>
      </c>
      <c r="CV8" s="587" t="n">
        <v>-109.146122336465</v>
      </c>
      <c r="CW8" s="587" t="n">
        <v>-122.39360648984</v>
      </c>
      <c r="CX8" s="587" t="n">
        <v>-125.992982948114</v>
      </c>
      <c r="CY8" s="587" t="n">
        <v>-118.525267715628</v>
      </c>
      <c r="CZ8" s="587" t="n">
        <v>-104.486715790297</v>
      </c>
      <c r="DA8" s="587" t="n">
        <v>-104.689496617297</v>
      </c>
      <c r="DB8" s="587" t="n">
        <v>-105.452238799866</v>
      </c>
      <c r="DC8" s="587" t="n">
        <v>-118.990023218745</v>
      </c>
      <c r="DD8" s="587" t="n">
        <v>-121.62312278989</v>
      </c>
      <c r="DE8" s="587" t="n">
        <v>-113.259320540347</v>
      </c>
      <c r="DF8" s="587" t="n">
        <v>-108.766512456882</v>
      </c>
      <c r="DG8" s="587" t="n">
        <v>-93.3357416102862</v>
      </c>
      <c r="DH8" s="587" t="n">
        <v>-103.260776987066</v>
      </c>
      <c r="DI8" s="587" t="n">
        <v>-115.389614634397</v>
      </c>
      <c r="DJ8" s="587" t="n">
        <v>-118.988373566536</v>
      </c>
      <c r="DK8" s="587" t="n">
        <v>-111.495755190364</v>
      </c>
      <c r="DL8" s="587" t="n">
        <v>-98.1261415405052</v>
      </c>
      <c r="DM8" s="587" t="n">
        <v>-97.4473609845296</v>
      </c>
      <c r="DN8" s="587" t="n">
        <v>-98.8092146336116</v>
      </c>
      <c r="DO8" s="587" t="n">
        <v>-109.468252718873</v>
      </c>
      <c r="DP8" s="587" t="n">
        <v>-112.187774979743</v>
      </c>
      <c r="DQ8" s="587" t="n">
        <v>-104.673134167326</v>
      </c>
      <c r="DR8" s="587" t="n">
        <v>-99.7512029607431</v>
      </c>
      <c r="DS8" s="587" t="n">
        <v>-91.4321132155121</v>
      </c>
      <c r="DT8" s="587" t="n">
        <v>-100.094307835815</v>
      </c>
      <c r="DU8" s="587" t="n">
        <v>-109.267983607931</v>
      </c>
      <c r="DV8" s="587" t="n">
        <v>-112.096681134636</v>
      </c>
      <c r="DW8" s="587" t="n">
        <v>-106.241965235685</v>
      </c>
      <c r="DX8" s="587" t="n">
        <v>-95.7036986852477</v>
      </c>
      <c r="DY8" s="587" t="n">
        <v>-96.30598087963</v>
      </c>
      <c r="DZ8" s="587" t="n">
        <v>-97.7224155371766</v>
      </c>
      <c r="EA8" s="587" t="n">
        <v>-104.266270581955</v>
      </c>
      <c r="EB8" s="587" t="n">
        <v>-106.757464419012</v>
      </c>
      <c r="EC8" s="587" t="n">
        <v>-101.960466683031</v>
      </c>
      <c r="ED8" s="587" t="n">
        <v>-97.7111894258047</v>
      </c>
      <c r="EE8" s="587" t="n">
        <v>-88.541618222603</v>
      </c>
      <c r="EF8" s="587" t="n">
        <v>-98.380957319978</v>
      </c>
      <c r="EG8" s="587" t="n">
        <v>-107.468976066325</v>
      </c>
      <c r="EH8" s="587" t="n">
        <v>-109.050201992539</v>
      </c>
      <c r="EI8" s="587" t="n">
        <v>-103.145702268919</v>
      </c>
      <c r="EJ8" s="587" t="n">
        <v>-93.1764686142174</v>
      </c>
      <c r="EK8" s="587" t="n">
        <v>-93.6111695717457</v>
      </c>
      <c r="EL8" s="587" t="n">
        <v>-95.684261394337</v>
      </c>
      <c r="EM8" s="587" t="n">
        <v>-102.17594129353</v>
      </c>
      <c r="EN8" s="587" t="n">
        <v>-102.766965024419</v>
      </c>
      <c r="EO8" s="587" t="n">
        <v>-98.6370273258235</v>
      </c>
      <c r="EP8" s="587" t="n">
        <v>-95.4858094827248</v>
      </c>
    </row>
    <row r="9" customFormat="false" ht="12.75" hidden="false" customHeight="false" outlineLevel="0" collapsed="false">
      <c r="B9" s="586" t="n">
        <v>2005</v>
      </c>
      <c r="C9" s="587" t="n">
        <v>-83.9406113787584</v>
      </c>
      <c r="D9" s="587" t="n">
        <v>-94.2183316689761</v>
      </c>
      <c r="E9" s="587" t="n">
        <v>-102.99472306676</v>
      </c>
      <c r="F9" s="587" t="n">
        <v>-104.683914348816</v>
      </c>
      <c r="G9" s="587" t="n">
        <v>-98.4536869999944</v>
      </c>
      <c r="H9" s="587" t="n">
        <v>-88.380394585652</v>
      </c>
      <c r="I9" s="587" t="n">
        <v>-88.1297169584356</v>
      </c>
      <c r="J9" s="587" t="n">
        <v>-90.4211730999598</v>
      </c>
      <c r="K9" s="587" t="n">
        <v>-97.3570724828202</v>
      </c>
      <c r="L9" s="587" t="n">
        <v>-97.7945591372728</v>
      </c>
      <c r="M9" s="587" t="n">
        <v>-92.7494737245761</v>
      </c>
      <c r="N9" s="587" t="n">
        <v>-89.1965633368875</v>
      </c>
      <c r="O9" s="587" t="n">
        <v>-82.3359879680542</v>
      </c>
      <c r="P9" s="587" t="n">
        <v>-91.9403223548767</v>
      </c>
      <c r="Q9" s="587" t="n">
        <v>-100.561221535533</v>
      </c>
      <c r="R9" s="587" t="n">
        <v>-101.949643510913</v>
      </c>
      <c r="S9" s="587" t="n">
        <v>-95.9209585577268</v>
      </c>
      <c r="T9" s="587" t="n">
        <v>-86.0534526146228</v>
      </c>
      <c r="U9" s="587" t="n">
        <v>-87.5064067575649</v>
      </c>
      <c r="V9" s="587" t="n">
        <v>-89.1358105639</v>
      </c>
      <c r="W9" s="587" t="n">
        <v>-95.6753693471047</v>
      </c>
      <c r="X9" s="587" t="n">
        <v>-95.7817811419572</v>
      </c>
      <c r="Y9" s="587" t="n">
        <v>-91.4133485520183</v>
      </c>
      <c r="Z9" s="587" t="n">
        <v>-88.4751261863759</v>
      </c>
      <c r="AA9" s="587" t="n">
        <v>-78.2432960465112</v>
      </c>
      <c r="AB9" s="587" t="n">
        <v>-86.5995642945092</v>
      </c>
      <c r="AC9" s="587" t="n">
        <v>-96.5891409197345</v>
      </c>
      <c r="AD9" s="587" t="n">
        <v>-99.7351611771988</v>
      </c>
      <c r="AE9" s="587" t="n">
        <v>-94.0766792660268</v>
      </c>
      <c r="AF9" s="587" t="n">
        <v>-84.0756703870222</v>
      </c>
      <c r="AG9" s="587" t="n">
        <v>-87.5759426257977</v>
      </c>
      <c r="AH9" s="587" t="n">
        <v>-88.6435363167605</v>
      </c>
      <c r="AI9" s="587" t="n">
        <v>-95.0247355110304</v>
      </c>
      <c r="AJ9" s="587" t="n">
        <v>-95.5048522414636</v>
      </c>
      <c r="AK9" s="587" t="n">
        <v>-91.4370260394556</v>
      </c>
      <c r="AL9" s="587" t="n">
        <v>-88.3376538522415</v>
      </c>
      <c r="AM9" s="587" t="n">
        <v>-85.2129370754719</v>
      </c>
      <c r="AN9" s="587" t="n">
        <v>-93.1981306021158</v>
      </c>
      <c r="AO9" s="587" t="n">
        <v>-103.826638779653</v>
      </c>
      <c r="AP9" s="587" t="n">
        <v>-107.710401618156</v>
      </c>
      <c r="AQ9" s="587" t="n">
        <v>-101.043827600102</v>
      </c>
      <c r="AR9" s="587" t="n">
        <v>-89.8921145793164</v>
      </c>
      <c r="AS9" s="587" t="n">
        <v>-88.2288358720971</v>
      </c>
      <c r="AT9" s="587" t="n">
        <v>-89.7428376178563</v>
      </c>
      <c r="AU9" s="587" t="n">
        <v>-96.2468259778254</v>
      </c>
      <c r="AV9" s="587" t="n">
        <v>-97.5507128296869</v>
      </c>
      <c r="AW9" s="587" t="n">
        <v>-92.5480437145813</v>
      </c>
      <c r="AX9" s="587" t="n">
        <v>-88.9565045353204</v>
      </c>
      <c r="AY9" s="587" t="n">
        <v>-90.9753793979965</v>
      </c>
      <c r="AZ9" s="587" t="n">
        <v>-100.050100352115</v>
      </c>
      <c r="BA9" s="587" t="n">
        <v>-112.857937477461</v>
      </c>
      <c r="BB9" s="587" t="n">
        <v>-116.920455667358</v>
      </c>
      <c r="BC9" s="587" t="n">
        <v>-109.815784654658</v>
      </c>
      <c r="BD9" s="587" t="n">
        <v>-96.4349517214634</v>
      </c>
      <c r="BE9" s="587" t="n">
        <v>-95.6486005644148</v>
      </c>
      <c r="BF9" s="587" t="n">
        <v>-97.0927152155764</v>
      </c>
      <c r="BG9" s="587" t="n">
        <v>-108.181886298802</v>
      </c>
      <c r="BH9" s="587" t="n">
        <v>-109.781397584326</v>
      </c>
      <c r="BI9" s="587" t="n">
        <v>-102.231629266167</v>
      </c>
      <c r="BJ9" s="587" t="n">
        <v>-97.8985395571398</v>
      </c>
      <c r="BK9" s="587" t="n">
        <v>-94.8489299401283</v>
      </c>
      <c r="BL9" s="587" t="n">
        <v>-103.968056416541</v>
      </c>
      <c r="BM9" s="587" t="n">
        <v>-117.430282867099</v>
      </c>
      <c r="BN9" s="587" t="n">
        <v>-120.432868079816</v>
      </c>
      <c r="BO9" s="587" t="n">
        <v>-113.623681625441</v>
      </c>
      <c r="BP9" s="587" t="n">
        <v>-100.36885186712</v>
      </c>
      <c r="BQ9" s="587" t="n">
        <v>-96.4922262615029</v>
      </c>
      <c r="BR9" s="587" t="n">
        <v>-97.3902301980276</v>
      </c>
      <c r="BS9" s="587" t="n">
        <v>-105.835112824073</v>
      </c>
      <c r="BT9" s="587" t="n">
        <v>-108.685284467938</v>
      </c>
      <c r="BU9" s="587" t="n">
        <v>-103.580495054599</v>
      </c>
      <c r="BV9" s="587" t="n">
        <v>-98.5132898602107</v>
      </c>
      <c r="BW9" s="587" t="n">
        <v>-97.6304249878762</v>
      </c>
      <c r="BX9" s="587" t="n">
        <v>-106.890298364011</v>
      </c>
      <c r="BY9" s="587" t="n">
        <v>-120.519048471696</v>
      </c>
      <c r="BZ9" s="587" t="n">
        <v>-122.831496076938</v>
      </c>
      <c r="CA9" s="587" t="n">
        <v>-116.407690952795</v>
      </c>
      <c r="CB9" s="587" t="n">
        <v>-102.939465361709</v>
      </c>
      <c r="CC9" s="587" t="n">
        <v>-93.5305137974118</v>
      </c>
      <c r="CD9" s="587" t="n">
        <v>-94.8177003924078</v>
      </c>
      <c r="CE9" s="587" t="n">
        <v>-103.882012723402</v>
      </c>
      <c r="CF9" s="587" t="n">
        <v>-107.09357721948</v>
      </c>
      <c r="CG9" s="587" t="n">
        <v>-101.789107565229</v>
      </c>
      <c r="CH9" s="587" t="n">
        <v>-96.6940944970971</v>
      </c>
      <c r="CI9" s="587" t="n">
        <v>-99.4043304906856</v>
      </c>
      <c r="CJ9" s="587" t="n">
        <v>-108.480927612328</v>
      </c>
      <c r="CK9" s="587" t="n">
        <v>-123.14069385641</v>
      </c>
      <c r="CL9" s="587" t="n">
        <v>-126.45230284592</v>
      </c>
      <c r="CM9" s="587" t="n">
        <v>-119.14305059032</v>
      </c>
      <c r="CN9" s="587" t="n">
        <v>-104.90804483343</v>
      </c>
      <c r="CO9" s="587" t="n">
        <v>-97.6907811808141</v>
      </c>
      <c r="CP9" s="587" t="n">
        <v>-99.2459164736316</v>
      </c>
      <c r="CQ9" s="587" t="n">
        <v>-109.721397385038</v>
      </c>
      <c r="CR9" s="587" t="n">
        <v>-113.364125856227</v>
      </c>
      <c r="CS9" s="587" t="n">
        <v>-107.560055312446</v>
      </c>
      <c r="CT9" s="587" t="n">
        <v>-101.924703116502</v>
      </c>
      <c r="CU9" s="587" t="n">
        <v>-100.034358346396</v>
      </c>
      <c r="CV9" s="587" t="n">
        <v>-108.919741715306</v>
      </c>
      <c r="CW9" s="587" t="n">
        <v>-122.119813367173</v>
      </c>
      <c r="CX9" s="587" t="n">
        <v>-125.709318489142</v>
      </c>
      <c r="CY9" s="587" t="n">
        <v>-118.291692145784</v>
      </c>
      <c r="CZ9" s="587" t="n">
        <v>-104.390277882794</v>
      </c>
      <c r="DA9" s="587" t="n">
        <v>-104.369693182814</v>
      </c>
      <c r="DB9" s="587" t="n">
        <v>-105.127168981931</v>
      </c>
      <c r="DC9" s="587" t="n">
        <v>-118.402436719235</v>
      </c>
      <c r="DD9" s="587" t="n">
        <v>-121.160529318784</v>
      </c>
      <c r="DE9" s="587" t="n">
        <v>-112.982163307315</v>
      </c>
      <c r="DF9" s="587" t="n">
        <v>-108.446979735252</v>
      </c>
      <c r="DG9" s="587" t="n">
        <v>-93.2511400734913</v>
      </c>
      <c r="DH9" s="587" t="n">
        <v>-103.035446288329</v>
      </c>
      <c r="DI9" s="587" t="n">
        <v>-115.136057866663</v>
      </c>
      <c r="DJ9" s="587" t="n">
        <v>-118.73015676057</v>
      </c>
      <c r="DK9" s="587" t="n">
        <v>-111.289147177583</v>
      </c>
      <c r="DL9" s="587" t="n">
        <v>-98.0224561165572</v>
      </c>
      <c r="DM9" s="587" t="n">
        <v>-97.1645497399907</v>
      </c>
      <c r="DN9" s="587" t="n">
        <v>-98.5111955388131</v>
      </c>
      <c r="DO9" s="587" t="n">
        <v>-109.001941735151</v>
      </c>
      <c r="DP9" s="587" t="n">
        <v>-111.811433592821</v>
      </c>
      <c r="DQ9" s="587" t="n">
        <v>-104.417329941503</v>
      </c>
      <c r="DR9" s="587" t="n">
        <v>-99.4673271765367</v>
      </c>
      <c r="DS9" s="587" t="n">
        <v>-91.2740930640964</v>
      </c>
      <c r="DT9" s="587" t="n">
        <v>-99.7826263400083</v>
      </c>
      <c r="DU9" s="587" t="n">
        <v>-108.955885289144</v>
      </c>
      <c r="DV9" s="587" t="n">
        <v>-111.793866794009</v>
      </c>
      <c r="DW9" s="587" t="n">
        <v>-105.99051269823</v>
      </c>
      <c r="DX9" s="587" t="n">
        <v>-95.5268773246837</v>
      </c>
      <c r="DY9" s="587" t="n">
        <v>-95.8306865646235</v>
      </c>
      <c r="DZ9" s="587" t="n">
        <v>-97.2451906008822</v>
      </c>
      <c r="EA9" s="587" t="n">
        <v>-103.712159135344</v>
      </c>
      <c r="EB9" s="587" t="n">
        <v>-106.283719832676</v>
      </c>
      <c r="EC9" s="587" t="n">
        <v>-101.502313937567</v>
      </c>
      <c r="ED9" s="587" t="n">
        <v>-97.2345244869844</v>
      </c>
      <c r="EE9" s="587" t="n">
        <v>-88.4663939695413</v>
      </c>
      <c r="EF9" s="587" t="n">
        <v>-98.2294262789379</v>
      </c>
      <c r="EG9" s="587" t="n">
        <v>-107.319257423547</v>
      </c>
      <c r="EH9" s="587" t="n">
        <v>-108.904922752438</v>
      </c>
      <c r="EI9" s="587" t="n">
        <v>-103.0238302514</v>
      </c>
      <c r="EJ9" s="587" t="n">
        <v>-93.0923351144762</v>
      </c>
      <c r="EK9" s="587" t="n">
        <v>-91.149773598057</v>
      </c>
      <c r="EL9" s="587" t="n">
        <v>-93.1556831431083</v>
      </c>
      <c r="EM9" s="587" t="n">
        <v>-99.1680033871549</v>
      </c>
      <c r="EN9" s="587" t="n">
        <v>-100.24311849282</v>
      </c>
      <c r="EO9" s="587" t="n">
        <v>-96.2764405796764</v>
      </c>
      <c r="EP9" s="587" t="n">
        <v>-93.0250355609865</v>
      </c>
    </row>
    <row r="10" customFormat="false" ht="12.75" hidden="false" customHeight="false" outlineLevel="0" collapsed="false">
      <c r="B10" s="586" t="n">
        <v>2006</v>
      </c>
      <c r="C10" s="587" t="n">
        <v>-83.8778601822449</v>
      </c>
      <c r="D10" s="587" t="n">
        <v>-94.0892882378403</v>
      </c>
      <c r="E10" s="587" t="n">
        <v>-102.867621437696</v>
      </c>
      <c r="F10" s="587" t="n">
        <v>-104.560097794499</v>
      </c>
      <c r="G10" s="587" t="n">
        <v>-98.3513801008154</v>
      </c>
      <c r="H10" s="587" t="n">
        <v>-88.3102605325306</v>
      </c>
      <c r="I10" s="587" t="n">
        <v>-87.9605256641175</v>
      </c>
      <c r="J10" s="587" t="n">
        <v>-90.2452994952633</v>
      </c>
      <c r="K10" s="587" t="n">
        <v>-97.1446748010189</v>
      </c>
      <c r="L10" s="587" t="n">
        <v>-97.6185113231456</v>
      </c>
      <c r="M10" s="587" t="n">
        <v>-92.5864496918221</v>
      </c>
      <c r="N10" s="587" t="n">
        <v>-89.0262888164796</v>
      </c>
      <c r="O10" s="587" t="n">
        <v>-82.2264176745743</v>
      </c>
      <c r="P10" s="587" t="n">
        <v>-91.7178813474087</v>
      </c>
      <c r="Q10" s="587" t="n">
        <v>-100.340222701997</v>
      </c>
      <c r="R10" s="587" t="n">
        <v>-101.733572383621</v>
      </c>
      <c r="S10" s="587" t="n">
        <v>-95.7467541520507</v>
      </c>
      <c r="T10" s="587" t="n">
        <v>-85.9310574108607</v>
      </c>
      <c r="U10" s="587" t="n">
        <v>-87.1523195713687</v>
      </c>
      <c r="V10" s="587" t="n">
        <v>-88.7767716716992</v>
      </c>
      <c r="W10" s="587" t="n">
        <v>-95.2404652822896</v>
      </c>
      <c r="X10" s="587" t="n">
        <v>-95.418190575952</v>
      </c>
      <c r="Y10" s="587" t="n">
        <v>-91.0814460135297</v>
      </c>
      <c r="Z10" s="587" t="n">
        <v>-88.1184993269748</v>
      </c>
      <c r="AA10" s="587" t="n">
        <v>-78.2555587464791</v>
      </c>
      <c r="AB10" s="587" t="n">
        <v>-86.6247341617675</v>
      </c>
      <c r="AC10" s="587" t="n">
        <v>-96.6146619241818</v>
      </c>
      <c r="AD10" s="587" t="n">
        <v>-99.7601773445597</v>
      </c>
      <c r="AE10" s="587" t="n">
        <v>-94.0967770945907</v>
      </c>
      <c r="AF10" s="587" t="n">
        <v>-84.0895021733407</v>
      </c>
      <c r="AG10" s="587" t="n">
        <v>-87.6236889147201</v>
      </c>
      <c r="AH10" s="587" t="n">
        <v>-88.6900982043534</v>
      </c>
      <c r="AI10" s="587" t="n">
        <v>-95.0805173297961</v>
      </c>
      <c r="AJ10" s="587" t="n">
        <v>-95.551881317166</v>
      </c>
      <c r="AK10" s="587" t="n">
        <v>-91.4815059502887</v>
      </c>
      <c r="AL10" s="587" t="n">
        <v>-88.3854491602457</v>
      </c>
      <c r="AM10" s="587" t="n">
        <v>-85.144614974169</v>
      </c>
      <c r="AN10" s="587" t="n">
        <v>-93.0556854585147</v>
      </c>
      <c r="AO10" s="587" t="n">
        <v>-103.670675412954</v>
      </c>
      <c r="AP10" s="587" t="n">
        <v>-107.55056757635</v>
      </c>
      <c r="AQ10" s="587" t="n">
        <v>-100.922186572882</v>
      </c>
      <c r="AR10" s="587" t="n">
        <v>-89.8142892977686</v>
      </c>
      <c r="AS10" s="587" t="n">
        <v>-86.9697069719844</v>
      </c>
      <c r="AT10" s="587" t="n">
        <v>-88.498613916782</v>
      </c>
      <c r="AU10" s="587" t="n">
        <v>-94.6688844585619</v>
      </c>
      <c r="AV10" s="587" t="n">
        <v>-96.2154201711293</v>
      </c>
      <c r="AW10" s="587" t="n">
        <v>-91.4491549112635</v>
      </c>
      <c r="AX10" s="587" t="n">
        <v>-87.7019251987467</v>
      </c>
      <c r="AY10" s="587" t="n">
        <v>-90.7920032086273</v>
      </c>
      <c r="AZ10" s="587" t="n">
        <v>-99.5446201492035</v>
      </c>
      <c r="BA10" s="587" t="n">
        <v>-112.228516833534</v>
      </c>
      <c r="BB10" s="587" t="n">
        <v>-116.277703904044</v>
      </c>
      <c r="BC10" s="587" t="n">
        <v>-109.304008556444</v>
      </c>
      <c r="BD10" s="587" t="n">
        <v>-96.206520905585</v>
      </c>
      <c r="BE10" s="587" t="n">
        <v>-95.7991498113947</v>
      </c>
      <c r="BF10" s="587" t="n">
        <v>-97.2404945072696</v>
      </c>
      <c r="BG10" s="587" t="n">
        <v>-108.436424900905</v>
      </c>
      <c r="BH10" s="587" t="n">
        <v>-109.983202920109</v>
      </c>
      <c r="BI10" s="587" t="n">
        <v>-102.356849945055</v>
      </c>
      <c r="BJ10" s="587" t="n">
        <v>-98.0482583557947</v>
      </c>
      <c r="BK10" s="587" t="n">
        <v>-94.8259461418506</v>
      </c>
      <c r="BL10" s="587" t="n">
        <v>-103.890839907436</v>
      </c>
      <c r="BM10" s="587" t="n">
        <v>-117.328753833869</v>
      </c>
      <c r="BN10" s="587" t="n">
        <v>-120.326425923734</v>
      </c>
      <c r="BO10" s="587" t="n">
        <v>-113.53729146554</v>
      </c>
      <c r="BP10" s="587" t="n">
        <v>-100.339036724259</v>
      </c>
      <c r="BQ10" s="587" t="n">
        <v>-96.3478185631186</v>
      </c>
      <c r="BR10" s="587" t="n">
        <v>-97.2540943577885</v>
      </c>
      <c r="BS10" s="587" t="n">
        <v>-105.60129278622</v>
      </c>
      <c r="BT10" s="587" t="n">
        <v>-108.494305920318</v>
      </c>
      <c r="BU10" s="587" t="n">
        <v>-103.461087102473</v>
      </c>
      <c r="BV10" s="587" t="n">
        <v>-98.3742943348911</v>
      </c>
      <c r="BW10" s="587" t="n">
        <v>-97.5935045751665</v>
      </c>
      <c r="BX10" s="587" t="n">
        <v>-106.767774939019</v>
      </c>
      <c r="BY10" s="587" t="n">
        <v>-120.358672373131</v>
      </c>
      <c r="BZ10" s="587" t="n">
        <v>-122.66546902324</v>
      </c>
      <c r="CA10" s="587" t="n">
        <v>-116.271216879935</v>
      </c>
      <c r="CB10" s="587" t="n">
        <v>-102.890909329072</v>
      </c>
      <c r="CC10" s="587" t="n">
        <v>-93.3997465000902</v>
      </c>
      <c r="CD10" s="587" t="n">
        <v>-94.6893401362431</v>
      </c>
      <c r="CE10" s="587" t="n">
        <v>-103.593206848994</v>
      </c>
      <c r="CF10" s="587" t="n">
        <v>-106.872967942677</v>
      </c>
      <c r="CG10" s="587" t="n">
        <v>-101.680350767708</v>
      </c>
      <c r="CH10" s="587" t="n">
        <v>-96.5640543821938</v>
      </c>
      <c r="CI10" s="587" t="n">
        <v>-99.3705045151371</v>
      </c>
      <c r="CJ10" s="587" t="n">
        <v>-108.36629897921</v>
      </c>
      <c r="CK10" s="587" t="n">
        <v>-122.98845195186</v>
      </c>
      <c r="CL10" s="587" t="n">
        <v>-126.294295884446</v>
      </c>
      <c r="CM10" s="587" t="n">
        <v>-119.015235981024</v>
      </c>
      <c r="CN10" s="587" t="n">
        <v>-104.863142166277</v>
      </c>
      <c r="CO10" s="587" t="n">
        <v>-97.4850248804446</v>
      </c>
      <c r="CP10" s="587" t="n">
        <v>-99.0439387293883</v>
      </c>
      <c r="CQ10" s="587" t="n">
        <v>-109.325272911283</v>
      </c>
      <c r="CR10" s="587" t="n">
        <v>-113.044528103131</v>
      </c>
      <c r="CS10" s="587" t="n">
        <v>-107.388920487859</v>
      </c>
      <c r="CT10" s="587" t="n">
        <v>-101.720090161063</v>
      </c>
      <c r="CU10" s="587" t="n">
        <v>-100.013686674352</v>
      </c>
      <c r="CV10" s="587" t="n">
        <v>-108.857746952137</v>
      </c>
      <c r="CW10" s="587" t="n">
        <v>-122.044838267688</v>
      </c>
      <c r="CX10" s="587" t="n">
        <v>-125.631641099357</v>
      </c>
      <c r="CY10" s="587" t="n">
        <v>-118.22773929796</v>
      </c>
      <c r="CZ10" s="587" t="n">
        <v>-104.363860843155</v>
      </c>
      <c r="DA10" s="587" t="n">
        <v>-103.420171431003</v>
      </c>
      <c r="DB10" s="587" t="n">
        <v>-104.162018659733</v>
      </c>
      <c r="DC10" s="587" t="n">
        <v>-116.657874076815</v>
      </c>
      <c r="DD10" s="587" t="n">
        <v>-119.787052650997</v>
      </c>
      <c r="DE10" s="587" t="n">
        <v>-112.159277343747</v>
      </c>
      <c r="DF10" s="587" t="n">
        <v>-107.49828220104</v>
      </c>
      <c r="DG10" s="587" t="n">
        <v>-93.1339034504027</v>
      </c>
      <c r="DH10" s="587" t="n">
        <v>-102.723201061446</v>
      </c>
      <c r="DI10" s="587" t="n">
        <v>-114.784695538147</v>
      </c>
      <c r="DJ10" s="587" t="n">
        <v>-118.37233558051</v>
      </c>
      <c r="DK10" s="587" t="n">
        <v>-111.002851357803</v>
      </c>
      <c r="DL10" s="587" t="n">
        <v>-97.878781782933</v>
      </c>
      <c r="DM10" s="587" t="n">
        <v>-97.7126319130872</v>
      </c>
      <c r="DN10" s="587" t="n">
        <v>-99.0887411573981</v>
      </c>
      <c r="DO10" s="587" t="n">
        <v>-109.905629218897</v>
      </c>
      <c r="DP10" s="587" t="n">
        <v>-112.540765641915</v>
      </c>
      <c r="DQ10" s="587" t="n">
        <v>-104.913078779798</v>
      </c>
      <c r="DR10" s="587" t="n">
        <v>-100.017472500725</v>
      </c>
      <c r="DS10" s="587" t="n">
        <v>-91.138016973577</v>
      </c>
      <c r="DT10" s="587" t="n">
        <v>-99.514232901245</v>
      </c>
      <c r="DU10" s="587" t="n">
        <v>-108.687145055982</v>
      </c>
      <c r="DV10" s="587" t="n">
        <v>-111.533098425899</v>
      </c>
      <c r="DW10" s="587" t="n">
        <v>-105.773968763464</v>
      </c>
      <c r="DX10" s="587" t="n">
        <v>-95.3746094545533</v>
      </c>
      <c r="DY10" s="587" t="n">
        <v>-95.4214056958662</v>
      </c>
      <c r="DZ10" s="587" t="n">
        <v>-96.8342435436625</v>
      </c>
      <c r="EA10" s="587" t="n">
        <v>-103.235005026545</v>
      </c>
      <c r="EB10" s="587" t="n">
        <v>-105.87577702907</v>
      </c>
      <c r="EC10" s="587" t="n">
        <v>-101.107800806542</v>
      </c>
      <c r="ED10" s="587" t="n">
        <v>-96.8240588895207</v>
      </c>
      <c r="EE10" s="587" t="n">
        <v>-84.3569564359975</v>
      </c>
      <c r="EF10" s="587" t="n">
        <v>-92.5195321516787</v>
      </c>
      <c r="EG10" s="587" t="n">
        <v>-97.5476239023647</v>
      </c>
      <c r="EH10" s="587" t="n">
        <v>-98.5081552820801</v>
      </c>
      <c r="EI10" s="587" t="n">
        <v>-94.7766317251399</v>
      </c>
      <c r="EJ10" s="587" t="n">
        <v>-87.7938841909499</v>
      </c>
      <c r="EK10" s="587" t="n">
        <v>-86.1935317386395</v>
      </c>
      <c r="EL10" s="587" t="n">
        <v>-88.1393580628042</v>
      </c>
      <c r="EM10" s="587" t="n">
        <v>-93.4756668846048</v>
      </c>
      <c r="EN10" s="587" t="n">
        <v>-94.462721764888</v>
      </c>
      <c r="EO10" s="587" t="n">
        <v>-91.0427154236134</v>
      </c>
      <c r="EP10" s="587" t="n">
        <v>-87.9640220255687</v>
      </c>
    </row>
    <row r="11" customFormat="false" ht="12.75" hidden="false" customHeight="false" outlineLevel="0" collapsed="false">
      <c r="B11" s="586" t="n">
        <v>2007</v>
      </c>
      <c r="C11" s="587" t="n">
        <v>-79.6307185264751</v>
      </c>
      <c r="D11" s="587" t="n">
        <v>-88.1288045607777</v>
      </c>
      <c r="E11" s="587" t="n">
        <v>-92.9841902390234</v>
      </c>
      <c r="F11" s="587" t="n">
        <v>-94.0302636911702</v>
      </c>
      <c r="G11" s="587" t="n">
        <v>-89.9528656308331</v>
      </c>
      <c r="H11" s="587" t="n">
        <v>-83.0259877629752</v>
      </c>
      <c r="I11" s="587" t="n">
        <v>-84.8187759776328</v>
      </c>
      <c r="J11" s="587" t="n">
        <v>-87.1216648872322</v>
      </c>
      <c r="K11" s="587" t="n">
        <v>-93.6037915581875</v>
      </c>
      <c r="L11" s="587" t="n">
        <v>-93.5673719801096</v>
      </c>
      <c r="M11" s="587" t="n">
        <v>-88.9768070652069</v>
      </c>
      <c r="N11" s="587" t="n">
        <v>-85.7522406802356</v>
      </c>
      <c r="O11" s="587" t="n">
        <v>-78.1298716785044</v>
      </c>
      <c r="P11" s="587" t="n">
        <v>-85.9166197293195</v>
      </c>
      <c r="Q11" s="587" t="n">
        <v>-90.4814612353554</v>
      </c>
      <c r="R11" s="587" t="n">
        <v>-91.2413875088382</v>
      </c>
      <c r="S11" s="587" t="n">
        <v>-87.3695653912205</v>
      </c>
      <c r="T11" s="587" t="n">
        <v>-80.7221449245763</v>
      </c>
      <c r="U11" s="587" t="n">
        <v>-82.7878469130193</v>
      </c>
      <c r="V11" s="587" t="n">
        <v>-84.3741621922615</v>
      </c>
      <c r="W11" s="587" t="n">
        <v>-90.187461091133</v>
      </c>
      <c r="X11" s="587" t="n">
        <v>-90.1364140086789</v>
      </c>
      <c r="Y11" s="587" t="n">
        <v>-86.3446490900189</v>
      </c>
      <c r="Z11" s="587" t="n">
        <v>-83.6284418765831</v>
      </c>
      <c r="AA11" s="587" t="n">
        <v>-74.3348745824249</v>
      </c>
      <c r="AB11" s="587" t="n">
        <v>-81.0827586000302</v>
      </c>
      <c r="AC11" s="587" t="n">
        <v>-86.7639297739104</v>
      </c>
      <c r="AD11" s="587" t="n">
        <v>-89.2252575526984</v>
      </c>
      <c r="AE11" s="587" t="n">
        <v>-85.6792187647694</v>
      </c>
      <c r="AF11" s="587" t="n">
        <v>-79.0061076443197</v>
      </c>
      <c r="AG11" s="587" t="n">
        <v>-82.2948993767001</v>
      </c>
      <c r="AH11" s="587" t="n">
        <v>-83.3110238230411</v>
      </c>
      <c r="AI11" s="587" t="n">
        <v>-88.8651452471846</v>
      </c>
      <c r="AJ11" s="587" t="n">
        <v>-89.2319664738001</v>
      </c>
      <c r="AK11" s="587" t="n">
        <v>-85.8670805748784</v>
      </c>
      <c r="AL11" s="587" t="n">
        <v>-82.9102978622882</v>
      </c>
      <c r="AM11" s="587" t="n">
        <v>-81.1491443089943</v>
      </c>
      <c r="AN11" s="587" t="n">
        <v>-87.4042759730439</v>
      </c>
      <c r="AO11" s="587" t="n">
        <v>-93.6787073159691</v>
      </c>
      <c r="AP11" s="587" t="n">
        <v>-96.6802164635208</v>
      </c>
      <c r="AQ11" s="587" t="n">
        <v>-92.3090651706577</v>
      </c>
      <c r="AR11" s="587" t="n">
        <v>-84.6634458425357</v>
      </c>
      <c r="AS11" s="587" t="n">
        <v>-83.8234506743529</v>
      </c>
      <c r="AT11" s="587" t="n">
        <v>-85.1868295262632</v>
      </c>
      <c r="AU11" s="587" t="n">
        <v>-91.0541908679408</v>
      </c>
      <c r="AV11" s="587" t="n">
        <v>-92.2020289291856</v>
      </c>
      <c r="AW11" s="587" t="n">
        <v>-87.7896404482901</v>
      </c>
      <c r="AX11" s="587" t="n">
        <v>-84.3445621730738</v>
      </c>
      <c r="AY11" s="587" t="n">
        <v>-86.7264941261323</v>
      </c>
      <c r="AZ11" s="587" t="n">
        <v>-93.5172773137136</v>
      </c>
      <c r="BA11" s="587" t="n">
        <v>-101.473917687127</v>
      </c>
      <c r="BB11" s="587" t="n">
        <v>-104.69616278726</v>
      </c>
      <c r="BC11" s="587" t="n">
        <v>-100.228482056484</v>
      </c>
      <c r="BD11" s="587" t="n">
        <v>-90.9388151050388</v>
      </c>
      <c r="BE11" s="587" t="n">
        <v>-91.3676279313935</v>
      </c>
      <c r="BF11" s="587" t="n">
        <v>-92.8267125546985</v>
      </c>
      <c r="BG11" s="587" t="n">
        <v>-102.859539814659</v>
      </c>
      <c r="BH11" s="587" t="n">
        <v>-103.970405261133</v>
      </c>
      <c r="BI11" s="587" t="n">
        <v>-97.5908862360977</v>
      </c>
      <c r="BJ11" s="587" t="n">
        <v>-93.4734274894862</v>
      </c>
      <c r="BK11" s="587" t="n">
        <v>-90.7300886031959</v>
      </c>
      <c r="BL11" s="587" t="n">
        <v>-97.3729649136205</v>
      </c>
      <c r="BM11" s="587" t="n">
        <v>-105.534843584812</v>
      </c>
      <c r="BN11" s="587" t="n">
        <v>-107.846931332617</v>
      </c>
      <c r="BO11" s="587" t="n">
        <v>-103.756040659167</v>
      </c>
      <c r="BP11" s="587" t="n">
        <v>-94.9094022333202</v>
      </c>
      <c r="BQ11" s="587" t="n">
        <v>-92.0476025941886</v>
      </c>
      <c r="BR11" s="587" t="n">
        <v>-93.0077514772789</v>
      </c>
      <c r="BS11" s="587" t="n">
        <v>-100.159934062822</v>
      </c>
      <c r="BT11" s="587" t="n">
        <v>-102.519992223091</v>
      </c>
      <c r="BU11" s="587" t="n">
        <v>-98.5730873973949</v>
      </c>
      <c r="BV11" s="587" t="n">
        <v>-93.8611047959283</v>
      </c>
      <c r="BW11" s="587" t="n">
        <v>-93.1958761991593</v>
      </c>
      <c r="BX11" s="587" t="n">
        <v>-99.4961909648354</v>
      </c>
      <c r="BY11" s="587" t="n">
        <v>-107.85628409355</v>
      </c>
      <c r="BZ11" s="587" t="n">
        <v>-109.642829991782</v>
      </c>
      <c r="CA11" s="587" t="n">
        <v>-106.124975608122</v>
      </c>
      <c r="CB11" s="587" t="n">
        <v>-97.2249191292937</v>
      </c>
      <c r="CC11" s="587" t="n">
        <v>-89.0932911419337</v>
      </c>
      <c r="CD11" s="587" t="n">
        <v>-90.4160813307706</v>
      </c>
      <c r="CE11" s="587" t="n">
        <v>-97.9655288830781</v>
      </c>
      <c r="CF11" s="587" t="n">
        <v>-100.742104203389</v>
      </c>
      <c r="CG11" s="587" t="n">
        <v>-96.9133785909037</v>
      </c>
      <c r="CH11" s="587" t="n">
        <v>-92.1030389129282</v>
      </c>
      <c r="CI11" s="587" t="n">
        <v>-94.9944570188379</v>
      </c>
      <c r="CJ11" s="587" t="n">
        <v>-101.093096666676</v>
      </c>
      <c r="CK11" s="587" t="n">
        <v>-110.142563058064</v>
      </c>
      <c r="CL11" s="587" t="n">
        <v>-112.912753202398</v>
      </c>
      <c r="CM11" s="587" t="n">
        <v>-108.623997334631</v>
      </c>
      <c r="CN11" s="587" t="n">
        <v>-99.178365610544</v>
      </c>
      <c r="CO11" s="587" t="n">
        <v>-93.0435240710392</v>
      </c>
      <c r="CP11" s="587" t="n">
        <v>-94.6066275837714</v>
      </c>
      <c r="CQ11" s="587" t="n">
        <v>-103.561874581503</v>
      </c>
      <c r="CR11" s="587" t="n">
        <v>-106.835367606229</v>
      </c>
      <c r="CS11" s="587" t="n">
        <v>-102.468692120529</v>
      </c>
      <c r="CT11" s="587" t="n">
        <v>-97.0471586913854</v>
      </c>
      <c r="CU11" s="587" t="n">
        <v>-95.7469516714997</v>
      </c>
      <c r="CV11" s="587" t="n">
        <v>-102.266408556816</v>
      </c>
      <c r="CW11" s="587" t="n">
        <v>-110.399518261483</v>
      </c>
      <c r="CX11" s="587" t="n">
        <v>-113.307008768864</v>
      </c>
      <c r="CY11" s="587" t="n">
        <v>-108.59877631693</v>
      </c>
      <c r="CZ11" s="587" t="n">
        <v>-98.7787896179308</v>
      </c>
      <c r="DA11" s="587" t="n">
        <v>-98.4481481534306</v>
      </c>
      <c r="DB11" s="587" t="n">
        <v>-99.2190428434433</v>
      </c>
      <c r="DC11" s="587" t="n">
        <v>-110.262027447591</v>
      </c>
      <c r="DD11" s="587" t="n">
        <v>-113.145763068165</v>
      </c>
      <c r="DE11" s="587" t="n">
        <v>-106.784887996157</v>
      </c>
      <c r="DF11" s="587" t="n">
        <v>-102.321942805128</v>
      </c>
      <c r="DG11" s="587" t="n">
        <v>-89.0073961316403</v>
      </c>
      <c r="DH11" s="587" t="n">
        <v>-96.8563818983738</v>
      </c>
      <c r="DI11" s="587" t="n">
        <v>-104.252832460709</v>
      </c>
      <c r="DJ11" s="587" t="n">
        <v>-107.03458014456</v>
      </c>
      <c r="DK11" s="587" t="n">
        <v>-102.057315809188</v>
      </c>
      <c r="DL11" s="587" t="n">
        <v>-92.4862450357218</v>
      </c>
      <c r="DM11" s="587" t="n">
        <v>-94.5322585898327</v>
      </c>
      <c r="DN11" s="587" t="n">
        <v>-95.9664120511943</v>
      </c>
      <c r="DO11" s="587" t="n">
        <v>-106.651905684258</v>
      </c>
      <c r="DP11" s="587" t="n">
        <v>-108.576983217011</v>
      </c>
      <c r="DQ11" s="587" t="n">
        <v>-101.193697814214</v>
      </c>
      <c r="DR11" s="587" t="n">
        <v>-96.6614686490764</v>
      </c>
      <c r="DS11" s="587" t="n">
        <v>-87.0519586185595</v>
      </c>
      <c r="DT11" s="587" t="n">
        <v>-93.8637969530937</v>
      </c>
      <c r="DU11" s="587" t="n">
        <v>-98.9934646328192</v>
      </c>
      <c r="DV11" s="587" t="n">
        <v>-101.185054815542</v>
      </c>
      <c r="DW11" s="587" t="n">
        <v>-97.5526563549506</v>
      </c>
      <c r="DX11" s="587" t="n">
        <v>-90.1424766390733</v>
      </c>
      <c r="DY11" s="587" t="n">
        <v>-91.1773845522509</v>
      </c>
      <c r="DZ11" s="587" t="n">
        <v>-92.5916956502337</v>
      </c>
      <c r="EA11" s="587" t="n">
        <v>-98.4287752393364</v>
      </c>
      <c r="EB11" s="587" t="n">
        <v>-100.79521859235</v>
      </c>
      <c r="EC11" s="587" t="n">
        <v>-96.5444709921682</v>
      </c>
      <c r="ED11" s="587" t="n">
        <v>-92.4636438429834</v>
      </c>
      <c r="EE11" s="587" t="n">
        <v>-84.2429668182817</v>
      </c>
      <c r="EF11" s="587" t="n">
        <v>-92.2899311015989</v>
      </c>
      <c r="EG11" s="587" t="n">
        <v>-97.3207620730886</v>
      </c>
      <c r="EH11" s="587" t="n">
        <v>-98.2880288505329</v>
      </c>
      <c r="EI11" s="587" t="n">
        <v>-94.5919645135667</v>
      </c>
      <c r="EJ11" s="587" t="n">
        <v>-87.6663977733353</v>
      </c>
      <c r="EK11" s="587" t="n">
        <v>-85.9279128707684</v>
      </c>
      <c r="EL11" s="587" t="n">
        <v>-87.8664931339726</v>
      </c>
      <c r="EM11" s="587" t="n">
        <v>-93.1510677886638</v>
      </c>
      <c r="EN11" s="587" t="n">
        <v>-94.1903662295887</v>
      </c>
      <c r="EO11" s="587" t="n">
        <v>-90.7879760388314</v>
      </c>
      <c r="EP11" s="587" t="n">
        <v>-87.69847123493</v>
      </c>
    </row>
    <row r="12" customFormat="false" ht="12.75" hidden="false" customHeight="false" outlineLevel="0" collapsed="false">
      <c r="B12" s="586" t="n">
        <v>2008</v>
      </c>
      <c r="C12" s="587" t="n">
        <v>-79.9995894135605</v>
      </c>
      <c r="D12" s="587" t="n">
        <v>-88.4895346834372</v>
      </c>
      <c r="E12" s="587" t="n">
        <v>-94.0121857839179</v>
      </c>
      <c r="F12" s="587" t="n">
        <v>-95.1655508399599</v>
      </c>
      <c r="G12" s="587" t="n">
        <v>-91.1043542922388</v>
      </c>
      <c r="H12" s="587" t="n">
        <v>-83.4668056716912</v>
      </c>
      <c r="I12" s="587" t="n">
        <v>-85.1261441919655</v>
      </c>
      <c r="J12" s="587" t="n">
        <v>-87.4425206409533</v>
      </c>
      <c r="K12" s="587" t="n">
        <v>-94.402256351282</v>
      </c>
      <c r="L12" s="587" t="n">
        <v>-94.6643102594435</v>
      </c>
      <c r="M12" s="587" t="n">
        <v>-89.4994562676559</v>
      </c>
      <c r="N12" s="587" t="n">
        <v>-86.0639165555139</v>
      </c>
      <c r="O12" s="587" t="n">
        <v>-78.7137794167095</v>
      </c>
      <c r="P12" s="587" t="n">
        <v>-86.6781314686974</v>
      </c>
      <c r="Q12" s="587" t="n">
        <v>-91.9528913005948</v>
      </c>
      <c r="R12" s="587" t="n">
        <v>-92.8509404293542</v>
      </c>
      <c r="S12" s="587" t="n">
        <v>-88.910069098812</v>
      </c>
      <c r="T12" s="587" t="n">
        <v>-81.4053794627806</v>
      </c>
      <c r="U12" s="587" t="n">
        <v>-84.1978972463714</v>
      </c>
      <c r="V12" s="587" t="n">
        <v>-85.78298739952</v>
      </c>
      <c r="W12" s="587" t="n">
        <v>-92.3375500747602</v>
      </c>
      <c r="X12" s="587" t="n">
        <v>-92.4310453860506</v>
      </c>
      <c r="Y12" s="587" t="n">
        <v>-87.9153660716377</v>
      </c>
      <c r="Z12" s="587" t="n">
        <v>-85.0285267298382</v>
      </c>
      <c r="AA12" s="587" t="n">
        <v>-74.8348484926264</v>
      </c>
      <c r="AB12" s="587" t="n">
        <v>-81.6891246513626</v>
      </c>
      <c r="AC12" s="587" t="n">
        <v>-88.0801136003259</v>
      </c>
      <c r="AD12" s="587" t="n">
        <v>-90.7285007497871</v>
      </c>
      <c r="AE12" s="587" t="n">
        <v>-87.1024335629367</v>
      </c>
      <c r="AF12" s="587" t="n">
        <v>-79.5946940707944</v>
      </c>
      <c r="AG12" s="587" t="n">
        <v>-81.6859604410023</v>
      </c>
      <c r="AH12" s="587" t="n">
        <v>-82.7302596357812</v>
      </c>
      <c r="AI12" s="587" t="n">
        <v>-88.6270576855139</v>
      </c>
      <c r="AJ12" s="587" t="n">
        <v>-89.5040440747268</v>
      </c>
      <c r="AK12" s="587" t="n">
        <v>-85.5679907944816</v>
      </c>
      <c r="AL12" s="587" t="n">
        <v>-82.2994370174214</v>
      </c>
      <c r="AM12" s="587" t="n">
        <v>-81.5009842590423</v>
      </c>
      <c r="AN12" s="587" t="n">
        <v>-87.7257286434779</v>
      </c>
      <c r="AO12" s="587" t="n">
        <v>-94.6848568794594</v>
      </c>
      <c r="AP12" s="587" t="n">
        <v>-97.9396531165114</v>
      </c>
      <c r="AQ12" s="587" t="n">
        <v>-93.4662524197543</v>
      </c>
      <c r="AR12" s="587" t="n">
        <v>-85.0964836374312</v>
      </c>
      <c r="AS12" s="587" t="n">
        <v>-85.2431714583521</v>
      </c>
      <c r="AT12" s="587" t="n">
        <v>-86.6241772609161</v>
      </c>
      <c r="AU12" s="587" t="n">
        <v>-93.2777406386176</v>
      </c>
      <c r="AV12" s="587" t="n">
        <v>-94.6554306431282</v>
      </c>
      <c r="AW12" s="587" t="n">
        <v>-89.3062146220884</v>
      </c>
      <c r="AX12" s="587" t="n">
        <v>-85.761765691363</v>
      </c>
      <c r="AY12" s="587" t="n">
        <v>-87.1236174278988</v>
      </c>
      <c r="AZ12" s="587" t="n">
        <v>-93.902936724081</v>
      </c>
      <c r="BA12" s="587" t="n">
        <v>-102.550998821271</v>
      </c>
      <c r="BB12" s="587" t="n">
        <v>-106.033158609104</v>
      </c>
      <c r="BC12" s="587" t="n">
        <v>-101.451600468391</v>
      </c>
      <c r="BD12" s="587" t="n">
        <v>-91.4615133186379</v>
      </c>
      <c r="BE12" s="587" t="n">
        <v>-90.9832547231919</v>
      </c>
      <c r="BF12" s="587" t="n">
        <v>-92.4815555967125</v>
      </c>
      <c r="BG12" s="587" t="n">
        <v>-102.464192223287</v>
      </c>
      <c r="BH12" s="587" t="n">
        <v>-104.281944450924</v>
      </c>
      <c r="BI12" s="587" t="n">
        <v>-97.6979474422816</v>
      </c>
      <c r="BJ12" s="587" t="n">
        <v>-93.1412037571148</v>
      </c>
      <c r="BK12" s="587" t="n">
        <v>-91.3569821947824</v>
      </c>
      <c r="BL12" s="587" t="n">
        <v>-98.1621039461879</v>
      </c>
      <c r="BM12" s="587" t="n">
        <v>-106.976857755214</v>
      </c>
      <c r="BN12" s="587" t="n">
        <v>-109.526578625196</v>
      </c>
      <c r="BO12" s="587" t="n">
        <v>-105.311766904544</v>
      </c>
      <c r="BP12" s="587" t="n">
        <v>-95.7016986654477</v>
      </c>
      <c r="BQ12" s="587" t="n">
        <v>-92.8135228141381</v>
      </c>
      <c r="BR12" s="587" t="n">
        <v>-93.8312290541993</v>
      </c>
      <c r="BS12" s="587" t="n">
        <v>-101.700214994334</v>
      </c>
      <c r="BT12" s="587" t="n">
        <v>-104.330707799333</v>
      </c>
      <c r="BU12" s="587" t="n">
        <v>-99.8044079354628</v>
      </c>
      <c r="BV12" s="587" t="n">
        <v>-94.7467755138472</v>
      </c>
      <c r="BW12" s="587" t="n">
        <v>-93.946390014597</v>
      </c>
      <c r="BX12" s="587" t="n">
        <v>-100.318270491418</v>
      </c>
      <c r="BY12" s="587" t="n">
        <v>-109.241372886156</v>
      </c>
      <c r="BZ12" s="587" t="n">
        <v>-111.22339435584</v>
      </c>
      <c r="CA12" s="587" t="n">
        <v>-107.65113508119</v>
      </c>
      <c r="CB12" s="587" t="n">
        <v>-98.1221220563746</v>
      </c>
      <c r="CC12" s="587" t="n">
        <v>-89.7612105469783</v>
      </c>
      <c r="CD12" s="587" t="n">
        <v>-91.144177898956</v>
      </c>
      <c r="CE12" s="587" t="n">
        <v>-99.2386357061038</v>
      </c>
      <c r="CF12" s="587" t="n">
        <v>-102.301424833677</v>
      </c>
      <c r="CG12" s="587" t="n">
        <v>-97.9478297979819</v>
      </c>
      <c r="CH12" s="587" t="n">
        <v>-92.8112879622784</v>
      </c>
      <c r="CI12" s="587" t="n">
        <v>-95.7009802010505</v>
      </c>
      <c r="CJ12" s="587" t="n">
        <v>-101.88220663749</v>
      </c>
      <c r="CK12" s="587" t="n">
        <v>-111.562432305873</v>
      </c>
      <c r="CL12" s="587" t="n">
        <v>-114.540197187144</v>
      </c>
      <c r="CM12" s="587" t="n">
        <v>-110.15812839401</v>
      </c>
      <c r="CN12" s="587" t="n">
        <v>-100.040326435796</v>
      </c>
      <c r="CO12" s="587" t="n">
        <v>-93.6926421030613</v>
      </c>
      <c r="CP12" s="587" t="n">
        <v>-95.2910068622558</v>
      </c>
      <c r="CQ12" s="587" t="n">
        <v>-104.761640939599</v>
      </c>
      <c r="CR12" s="587" t="n">
        <v>-108.357583447064</v>
      </c>
      <c r="CS12" s="587" t="n">
        <v>-103.48020871157</v>
      </c>
      <c r="CT12" s="587" t="n">
        <v>-97.78641118504</v>
      </c>
      <c r="CU12" s="587" t="n">
        <v>-96.2768144512067</v>
      </c>
      <c r="CV12" s="587" t="n">
        <v>-102.774256195499</v>
      </c>
      <c r="CW12" s="587" t="n">
        <v>-111.600043270589</v>
      </c>
      <c r="CX12" s="587" t="n">
        <v>-114.80127317562</v>
      </c>
      <c r="CY12" s="587" t="n">
        <v>-109.973068685541</v>
      </c>
      <c r="CZ12" s="587" t="n">
        <v>-99.456791936195</v>
      </c>
      <c r="DA12" s="587" t="n">
        <v>-100.416449856836</v>
      </c>
      <c r="DB12" s="587" t="n">
        <v>-101.183537819523</v>
      </c>
      <c r="DC12" s="587" t="n">
        <v>-113.940527488533</v>
      </c>
      <c r="DD12" s="587" t="n">
        <v>-116.721080738248</v>
      </c>
      <c r="DE12" s="587" t="n">
        <v>-108.866451868078</v>
      </c>
      <c r="DF12" s="587" t="n">
        <v>-104.306141517803</v>
      </c>
      <c r="DG12" s="587" t="n">
        <v>-89.3867968896457</v>
      </c>
      <c r="DH12" s="587" t="n">
        <v>-97.2524736196731</v>
      </c>
      <c r="DI12" s="587" t="n">
        <v>-105.345184754683</v>
      </c>
      <c r="DJ12" s="587" t="n">
        <v>-108.404776018882</v>
      </c>
      <c r="DK12" s="587" t="n">
        <v>-103.318511458543</v>
      </c>
      <c r="DL12" s="587" t="n">
        <v>-92.9793845377195</v>
      </c>
      <c r="DM12" s="587" t="n">
        <v>-94.900504729683</v>
      </c>
      <c r="DN12" s="587" t="n">
        <v>-96.3426357132563</v>
      </c>
      <c r="DO12" s="587" t="n">
        <v>-107.524793322535</v>
      </c>
      <c r="DP12" s="587" t="n">
        <v>-109.929253569093</v>
      </c>
      <c r="DQ12" s="587" t="n">
        <v>-101.879242446388</v>
      </c>
      <c r="DR12" s="587" t="n">
        <v>-97.0633884550955</v>
      </c>
      <c r="DS12" s="587" t="n">
        <v>-87.4891651968248</v>
      </c>
      <c r="DT12" s="587" t="n">
        <v>-94.3370689653223</v>
      </c>
      <c r="DU12" s="587" t="n">
        <v>-100.151455073893</v>
      </c>
      <c r="DV12" s="587" t="n">
        <v>-102.576017862559</v>
      </c>
      <c r="DW12" s="587" t="n">
        <v>-98.8578388931011</v>
      </c>
      <c r="DX12" s="587" t="n">
        <v>-90.6690094746921</v>
      </c>
      <c r="DY12" s="587" t="n">
        <v>-89.887236408532</v>
      </c>
      <c r="DZ12" s="587" t="n">
        <v>-91.2872510701086</v>
      </c>
      <c r="EA12" s="587" t="n">
        <v>-97.3691010537057</v>
      </c>
      <c r="EB12" s="587" t="n">
        <v>-100.383065420574</v>
      </c>
      <c r="EC12" s="587" t="n">
        <v>-95.5688122040111</v>
      </c>
      <c r="ED12" s="587" t="n">
        <v>-91.1696290667793</v>
      </c>
      <c r="EE12" s="587" t="n">
        <v>-84.5915656687798</v>
      </c>
      <c r="EF12" s="587" t="n">
        <v>-92.6117529196516</v>
      </c>
      <c r="EG12" s="587" t="n">
        <v>-98.3124764128972</v>
      </c>
      <c r="EH12" s="587" t="n">
        <v>-99.3970487662607</v>
      </c>
      <c r="EI12" s="587" t="n">
        <v>-95.7571289894672</v>
      </c>
      <c r="EJ12" s="587" t="n">
        <v>-88.0885460606971</v>
      </c>
      <c r="EK12" s="587" t="n">
        <v>-87.774864015718</v>
      </c>
      <c r="EL12" s="587" t="n">
        <v>-89.7607613313673</v>
      </c>
      <c r="EM12" s="587" t="n">
        <v>-95.8242762703735</v>
      </c>
      <c r="EN12" s="587" t="n">
        <v>-96.8678600442537</v>
      </c>
      <c r="EO12" s="587" t="n">
        <v>-92.8094172942126</v>
      </c>
      <c r="EP12" s="587" t="n">
        <v>-89.5440811552892</v>
      </c>
    </row>
    <row r="13" customFormat="false" ht="12.75" hidden="false" customHeight="false" outlineLevel="0" collapsed="false">
      <c r="B13" s="586" t="n">
        <v>2009</v>
      </c>
      <c r="C13" s="587" t="n">
        <v>-79.9177648264326</v>
      </c>
      <c r="D13" s="587" t="n">
        <v>-88.3212819458495</v>
      </c>
      <c r="E13" s="587" t="n">
        <v>-93.8464637595715</v>
      </c>
      <c r="F13" s="587" t="n">
        <v>-95.004112465677</v>
      </c>
      <c r="G13" s="587" t="n">
        <v>-90.9709571412069</v>
      </c>
      <c r="H13" s="587" t="n">
        <v>-83.3753640651012</v>
      </c>
      <c r="I13" s="587" t="n">
        <v>-83.647987721145</v>
      </c>
      <c r="J13" s="587" t="n">
        <v>-85.9059377784588</v>
      </c>
      <c r="K13" s="587" t="n">
        <v>-92.5466610327088</v>
      </c>
      <c r="L13" s="587" t="n">
        <v>-93.1262300620475</v>
      </c>
      <c r="M13" s="587" t="n">
        <v>-88.0751649744438</v>
      </c>
      <c r="N13" s="587" t="n">
        <v>-84.5762832491316</v>
      </c>
      <c r="O13" s="587" t="n">
        <v>-78.3502894974724</v>
      </c>
      <c r="P13" s="587" t="n">
        <v>-85.9548789598906</v>
      </c>
      <c r="Q13" s="587" t="n">
        <v>-91.2331490735404</v>
      </c>
      <c r="R13" s="587" t="n">
        <v>-92.14664652069</v>
      </c>
      <c r="S13" s="587" t="n">
        <v>-88.3394441133161</v>
      </c>
      <c r="T13" s="587" t="n">
        <v>-81.0006703364379</v>
      </c>
      <c r="U13" s="587" t="n">
        <v>-82.5969104434285</v>
      </c>
      <c r="V13" s="587" t="n">
        <v>-84.159536588209</v>
      </c>
      <c r="W13" s="587" t="n">
        <v>-90.3733754844577</v>
      </c>
      <c r="X13" s="587" t="n">
        <v>-90.7859153380538</v>
      </c>
      <c r="Y13" s="587" t="n">
        <v>-86.4129006479802</v>
      </c>
      <c r="Z13" s="587" t="n">
        <v>-83.4160289228948</v>
      </c>
      <c r="AA13" s="587" t="n">
        <v>-74.681328217784</v>
      </c>
      <c r="AB13" s="587" t="n">
        <v>-81.3740729156808</v>
      </c>
      <c r="AC13" s="587" t="n">
        <v>-87.7605863251094</v>
      </c>
      <c r="AD13" s="587" t="n">
        <v>-90.4154107831387</v>
      </c>
      <c r="AE13" s="587" t="n">
        <v>-86.8508406819161</v>
      </c>
      <c r="AF13" s="587" t="n">
        <v>-79.4215349164789</v>
      </c>
      <c r="AG13" s="587" t="n">
        <v>-82.5122784036545</v>
      </c>
      <c r="AH13" s="587" t="n">
        <v>-83.5361358184501</v>
      </c>
      <c r="AI13" s="587" t="n">
        <v>-89.5924184094017</v>
      </c>
      <c r="AJ13" s="587" t="n">
        <v>-90.3178915944807</v>
      </c>
      <c r="AK13" s="587" t="n">
        <v>-86.3377310368466</v>
      </c>
      <c r="AL13" s="587" t="n">
        <v>-83.1266314215394</v>
      </c>
      <c r="AM13" s="587" t="n">
        <v>-81.3986597167606</v>
      </c>
      <c r="AN13" s="587" t="n">
        <v>-87.5123825983439</v>
      </c>
      <c r="AO13" s="587" t="n">
        <v>-94.4512604127209</v>
      </c>
      <c r="AP13" s="587" t="n">
        <v>-97.7002595421131</v>
      </c>
      <c r="AQ13" s="587" t="n">
        <v>-93.2840709433819</v>
      </c>
      <c r="AR13" s="587" t="n">
        <v>-84.9799162693552</v>
      </c>
      <c r="AS13" s="587" t="n">
        <v>-84.8429870055133</v>
      </c>
      <c r="AT13" s="587" t="n">
        <v>-86.2287259544434</v>
      </c>
      <c r="AU13" s="587" t="n">
        <v>-92.7762282165096</v>
      </c>
      <c r="AV13" s="587" t="n">
        <v>-94.2310378206812</v>
      </c>
      <c r="AW13" s="587" t="n">
        <v>-88.9569617243603</v>
      </c>
      <c r="AX13" s="587" t="n">
        <v>-85.3630233823035</v>
      </c>
      <c r="AY13" s="587" t="n">
        <v>-87.0347429651844</v>
      </c>
      <c r="AZ13" s="587" t="n">
        <v>-93.6579807927703</v>
      </c>
      <c r="BA13" s="587" t="n">
        <v>-102.245977016105</v>
      </c>
      <c r="BB13" s="587" t="n">
        <v>-105.721689646597</v>
      </c>
      <c r="BC13" s="587" t="n">
        <v>-101.203592835849</v>
      </c>
      <c r="BD13" s="587" t="n">
        <v>-91.350811959273</v>
      </c>
      <c r="BE13" s="587" t="n">
        <v>-90.0841479993129</v>
      </c>
      <c r="BF13" s="587" t="n">
        <v>-91.5989760946951</v>
      </c>
      <c r="BG13" s="587" t="n">
        <v>-100.944043557882</v>
      </c>
      <c r="BH13" s="587" t="n">
        <v>-103.076745712382</v>
      </c>
      <c r="BI13" s="587" t="n">
        <v>-96.9501231745591</v>
      </c>
      <c r="BJ13" s="587" t="n">
        <v>-92.2471161486061</v>
      </c>
      <c r="BK13" s="587" t="n">
        <v>-90.8311045199881</v>
      </c>
      <c r="BL13" s="587" t="n">
        <v>-97.575451627308</v>
      </c>
      <c r="BM13" s="587" t="n">
        <v>-106.311494442254</v>
      </c>
      <c r="BN13" s="587" t="n">
        <v>-108.812206611884</v>
      </c>
      <c r="BO13" s="587" t="n">
        <v>-104.614588369778</v>
      </c>
      <c r="BP13" s="587" t="n">
        <v>-95.0913661599827</v>
      </c>
      <c r="BQ13" s="587" t="n">
        <v>-92.3615075451412</v>
      </c>
      <c r="BR13" s="587" t="n">
        <v>-93.3590375573879</v>
      </c>
      <c r="BS13" s="587" t="n">
        <v>-101.205008273538</v>
      </c>
      <c r="BT13" s="587" t="n">
        <v>-103.773357782376</v>
      </c>
      <c r="BU13" s="587" t="n">
        <v>-99.2249946261874</v>
      </c>
      <c r="BV13" s="587" t="n">
        <v>-94.2237852965282</v>
      </c>
      <c r="BW13" s="587" t="n">
        <v>-93.4513752959182</v>
      </c>
      <c r="BX13" s="587" t="n">
        <v>-99.7935959823539</v>
      </c>
      <c r="BY13" s="587" t="n">
        <v>-108.638138752939</v>
      </c>
      <c r="BZ13" s="587" t="n">
        <v>-110.559805520175</v>
      </c>
      <c r="CA13" s="587" t="n">
        <v>-106.998784187229</v>
      </c>
      <c r="CB13" s="587" t="n">
        <v>-97.5302916695105</v>
      </c>
      <c r="CC13" s="587" t="n">
        <v>-89.2720887472813</v>
      </c>
      <c r="CD13" s="587" t="n">
        <v>-90.6334665756714</v>
      </c>
      <c r="CE13" s="587" t="n">
        <v>-98.6680692282391</v>
      </c>
      <c r="CF13" s="587" t="n">
        <v>-101.675496161517</v>
      </c>
      <c r="CG13" s="587" t="n">
        <v>-97.3364271054814</v>
      </c>
      <c r="CH13" s="587" t="n">
        <v>-92.2482386910469</v>
      </c>
      <c r="CI13" s="587" t="n">
        <v>-95.2499960478446</v>
      </c>
      <c r="CJ13" s="587" t="n">
        <v>-101.402416652962</v>
      </c>
      <c r="CK13" s="587" t="n">
        <v>-111.004213300127</v>
      </c>
      <c r="CL13" s="587" t="n">
        <v>-113.916903088416</v>
      </c>
      <c r="CM13" s="587" t="n">
        <v>-109.541456316998</v>
      </c>
      <c r="CN13" s="587" t="n">
        <v>-99.4811213057831</v>
      </c>
      <c r="CO13" s="587" t="n">
        <v>-93.2172467026789</v>
      </c>
      <c r="CP13" s="587" t="n">
        <v>-94.797446582691</v>
      </c>
      <c r="CQ13" s="587" t="n">
        <v>-104.195912482492</v>
      </c>
      <c r="CR13" s="587" t="n">
        <v>-107.74049799726</v>
      </c>
      <c r="CS13" s="587" t="n">
        <v>-102.881978547546</v>
      </c>
      <c r="CT13" s="587" t="n">
        <v>-97.2420843219699</v>
      </c>
      <c r="CU13" s="587" t="n">
        <v>-95.6332081385553</v>
      </c>
      <c r="CV13" s="587" t="n">
        <v>-101.929424126421</v>
      </c>
      <c r="CW13" s="587" t="n">
        <v>-110.643419509082</v>
      </c>
      <c r="CX13" s="587" t="n">
        <v>-113.773227542135</v>
      </c>
      <c r="CY13" s="587" t="n">
        <v>-109.009159656047</v>
      </c>
      <c r="CZ13" s="587" t="n">
        <v>-98.7057250379407</v>
      </c>
      <c r="DA13" s="587" t="n">
        <v>-99.4901951552706</v>
      </c>
      <c r="DB13" s="587" t="n">
        <v>-100.232764386596</v>
      </c>
      <c r="DC13" s="587" t="n">
        <v>-112.627422889542</v>
      </c>
      <c r="DD13" s="587" t="n">
        <v>-115.489724300866</v>
      </c>
      <c r="DE13" s="587" t="n">
        <v>-107.859869133934</v>
      </c>
      <c r="DF13" s="587" t="n">
        <v>-103.301506915107</v>
      </c>
      <c r="DG13" s="587" t="n">
        <v>-88.9380983141444</v>
      </c>
      <c r="DH13" s="587" t="n">
        <v>-96.6806795614668</v>
      </c>
      <c r="DI13" s="587" t="n">
        <v>-104.753363849649</v>
      </c>
      <c r="DJ13" s="587" t="n">
        <v>-107.794793491109</v>
      </c>
      <c r="DK13" s="587" t="n">
        <v>-102.704238650532</v>
      </c>
      <c r="DL13" s="587" t="n">
        <v>-92.447229045322</v>
      </c>
      <c r="DM13" s="587" t="n">
        <v>-93.1909304894938</v>
      </c>
      <c r="DN13" s="587" t="n">
        <v>-94.5362328874749</v>
      </c>
      <c r="DO13" s="587" t="n">
        <v>-104.928934715567</v>
      </c>
      <c r="DP13" s="587" t="n">
        <v>-107.710810876499</v>
      </c>
      <c r="DQ13" s="587" t="n">
        <v>-100.194156759264</v>
      </c>
      <c r="DR13" s="587" t="n">
        <v>-95.2768284858803</v>
      </c>
      <c r="DS13" s="587" t="n">
        <v>-85.3098496986501</v>
      </c>
      <c r="DT13" s="587" t="n">
        <v>-90.9591120809531</v>
      </c>
      <c r="DU13" s="587" t="n">
        <v>-96.7106008611065</v>
      </c>
      <c r="DV13" s="587" t="n">
        <v>-99.0828824398734</v>
      </c>
      <c r="DW13" s="587" t="n">
        <v>-95.3725287830491</v>
      </c>
      <c r="DX13" s="587" t="n">
        <v>-87.5943257229459</v>
      </c>
      <c r="DY13" s="587" t="n">
        <v>-88.4915519310014</v>
      </c>
      <c r="DZ13" s="587" t="n">
        <v>-89.5975262671104</v>
      </c>
      <c r="EA13" s="587" t="n">
        <v>-95.6847522053899</v>
      </c>
      <c r="EB13" s="587" t="n">
        <v>-98.5572001741923</v>
      </c>
      <c r="EC13" s="587" t="n">
        <v>-93.7273103160331</v>
      </c>
      <c r="ED13" s="587" t="n">
        <v>-89.5457144829937</v>
      </c>
      <c r="EE13" s="587" t="n">
        <v>-83.2180292293978</v>
      </c>
      <c r="EF13" s="587" t="n">
        <v>-89.1119496064478</v>
      </c>
      <c r="EG13" s="587" t="n">
        <v>-94.7149821686482</v>
      </c>
      <c r="EH13" s="587" t="n">
        <v>-95.7139477473483</v>
      </c>
      <c r="EI13" s="587" t="n">
        <v>-92.0672991981551</v>
      </c>
      <c r="EJ13" s="587" t="n">
        <v>-85.0420797352967</v>
      </c>
      <c r="EK13" s="587" t="n">
        <v>-86.5894599157643</v>
      </c>
      <c r="EL13" s="587" t="n">
        <v>-87.9355767528013</v>
      </c>
      <c r="EM13" s="587" t="n">
        <v>-93.839072998053</v>
      </c>
      <c r="EN13" s="587" t="n">
        <v>-94.8643878907766</v>
      </c>
      <c r="EO13" s="587" t="n">
        <v>-90.8402941980129</v>
      </c>
      <c r="EP13" s="587" t="n">
        <v>-87.9103866024303</v>
      </c>
    </row>
    <row r="14" customFormat="false" ht="12.75" hidden="false" customHeight="false" outlineLevel="0" collapsed="false">
      <c r="B14" s="586" t="n">
        <v>2010</v>
      </c>
      <c r="C14" s="587" t="n">
        <v>-76.5378584075019</v>
      </c>
      <c r="D14" s="587" t="n">
        <v>-83.5255778997899</v>
      </c>
      <c r="E14" s="587" t="n">
        <v>-86.7249386048469</v>
      </c>
      <c r="F14" s="587" t="n">
        <v>-86.3805702211625</v>
      </c>
      <c r="G14" s="587" t="n">
        <v>-82.2998244844397</v>
      </c>
      <c r="H14" s="587" t="n">
        <v>-77.9122080613162</v>
      </c>
      <c r="I14" s="587" t="n">
        <v>-79.5213883692198</v>
      </c>
      <c r="J14" s="587" t="n">
        <v>-81.2620644612766</v>
      </c>
      <c r="K14" s="587" t="n">
        <v>-86.1359508722116</v>
      </c>
      <c r="L14" s="587" t="n">
        <v>-84.6061640612778</v>
      </c>
      <c r="M14" s="587" t="n">
        <v>-81.6740591873452</v>
      </c>
      <c r="N14" s="587" t="n">
        <v>-80.0941437625166</v>
      </c>
      <c r="O14" s="587" t="n">
        <v>-71.9687558941014</v>
      </c>
      <c r="P14" s="587" t="n">
        <v>-76.0231898912134</v>
      </c>
      <c r="Q14" s="587" t="n">
        <v>-78.9029172484539</v>
      </c>
      <c r="R14" s="587" t="n">
        <v>-78.348955092299</v>
      </c>
      <c r="S14" s="587" t="n">
        <v>-75.4078411842979</v>
      </c>
      <c r="T14" s="587" t="n">
        <v>-72.5512057059727</v>
      </c>
      <c r="U14" s="587" t="n">
        <v>-70.7498857161491</v>
      </c>
      <c r="V14" s="587" t="n">
        <v>-71.9678672531353</v>
      </c>
      <c r="W14" s="587" t="n">
        <v>-74.8888748601428</v>
      </c>
      <c r="X14" s="587" t="n">
        <v>-74.4163288385364</v>
      </c>
      <c r="Y14" s="587" t="n">
        <v>-72.8456719138492</v>
      </c>
      <c r="Z14" s="587" t="n">
        <v>-71.345211232377</v>
      </c>
      <c r="AA14" s="587" t="n">
        <v>-68.6186791699877</v>
      </c>
      <c r="AB14" s="587" t="n">
        <v>-71.1811943118416</v>
      </c>
      <c r="AC14" s="587" t="n">
        <v>-75.0374127180696</v>
      </c>
      <c r="AD14" s="587" t="n">
        <v>-76.0361110959704</v>
      </c>
      <c r="AE14" s="587" t="n">
        <v>-73.4952430703595</v>
      </c>
      <c r="AF14" s="587" t="n">
        <v>-70.9475397021002</v>
      </c>
      <c r="AG14" s="587" t="n">
        <v>-70.4608561038211</v>
      </c>
      <c r="AH14" s="587" t="n">
        <v>-71.3607615460128</v>
      </c>
      <c r="AI14" s="587" t="n">
        <v>-74.0048036711048</v>
      </c>
      <c r="AJ14" s="587" t="n">
        <v>-73.9405499818986</v>
      </c>
      <c r="AK14" s="587" t="n">
        <v>-72.450147426966</v>
      </c>
      <c r="AL14" s="587" t="n">
        <v>-70.7496238100473</v>
      </c>
      <c r="AM14" s="587" t="n">
        <v>-76.1877752746914</v>
      </c>
      <c r="AN14" s="587" t="n">
        <v>-79.3230734582585</v>
      </c>
      <c r="AO14" s="587" t="n">
        <v>-83.4997276133065</v>
      </c>
      <c r="AP14" s="587" t="n">
        <v>-84.5655854553492</v>
      </c>
      <c r="AQ14" s="587" t="n">
        <v>-81.5097698103558</v>
      </c>
      <c r="AR14" s="587" t="n">
        <v>-77.8111403847437</v>
      </c>
      <c r="AS14" s="587" t="n">
        <v>-74.3344462848328</v>
      </c>
      <c r="AT14" s="587" t="n">
        <v>-75.4619757468752</v>
      </c>
      <c r="AU14" s="587" t="n">
        <v>-78.4612495752615</v>
      </c>
      <c r="AV14" s="587" t="n">
        <v>-78.5328601893342</v>
      </c>
      <c r="AW14" s="587" t="n">
        <v>-77.0137655396672</v>
      </c>
      <c r="AX14" s="587" t="n">
        <v>-74.7307030070967</v>
      </c>
      <c r="AY14" s="587" t="n">
        <v>-82.4128840822926</v>
      </c>
      <c r="AZ14" s="587" t="n">
        <v>-86.2502956493062</v>
      </c>
      <c r="BA14" s="587" t="n">
        <v>-91.5711169920775</v>
      </c>
      <c r="BB14" s="587" t="n">
        <v>-92.7490978075189</v>
      </c>
      <c r="BC14" s="587" t="n">
        <v>-89.3433262683523</v>
      </c>
      <c r="BD14" s="587" t="n">
        <v>-84.6174822852512</v>
      </c>
      <c r="BE14" s="587" t="n">
        <v>-82.9790178825623</v>
      </c>
      <c r="BF14" s="587" t="n">
        <v>-84.3156095666975</v>
      </c>
      <c r="BG14" s="587" t="n">
        <v>-89.2761169689171</v>
      </c>
      <c r="BH14" s="587" t="n">
        <v>-89.8188345035153</v>
      </c>
      <c r="BI14" s="587" t="n">
        <v>-87.5056081494009</v>
      </c>
      <c r="BJ14" s="587" t="n">
        <v>-84.7125140859909</v>
      </c>
      <c r="BK14" s="587" t="n">
        <v>-86.6301601577776</v>
      </c>
      <c r="BL14" s="587" t="n">
        <v>-92.2752887074179</v>
      </c>
      <c r="BM14" s="587" t="n">
        <v>-98.5475770147059</v>
      </c>
      <c r="BN14" s="587" t="n">
        <v>-99.1468991297746</v>
      </c>
      <c r="BO14" s="587" t="n">
        <v>-95.2349332752464</v>
      </c>
      <c r="BP14" s="587" t="n">
        <v>-89.1244307965947</v>
      </c>
      <c r="BQ14" s="587" t="n">
        <v>-87.5664078110151</v>
      </c>
      <c r="BR14" s="587" t="n">
        <v>-88.3255894493993</v>
      </c>
      <c r="BS14" s="587" t="n">
        <v>-93.4757662026264</v>
      </c>
      <c r="BT14" s="587" t="n">
        <v>-93.8419949533809</v>
      </c>
      <c r="BU14" s="587" t="n">
        <v>-91.2872034932237</v>
      </c>
      <c r="BV14" s="587" t="n">
        <v>-88.6615734202454</v>
      </c>
      <c r="BW14" s="587" t="n">
        <v>-88.5700899958035</v>
      </c>
      <c r="BX14" s="587" t="n">
        <v>-93.9681708336061</v>
      </c>
      <c r="BY14" s="587" t="n">
        <v>-100.615620979894</v>
      </c>
      <c r="BZ14" s="587" t="n">
        <v>-100.900124607874</v>
      </c>
      <c r="CA14" s="587" t="n">
        <v>-97.3827416115082</v>
      </c>
      <c r="CB14" s="587" t="n">
        <v>-90.7960247390818</v>
      </c>
      <c r="CC14" s="587" t="n">
        <v>-85.0349445881418</v>
      </c>
      <c r="CD14" s="587" t="n">
        <v>-86.0633962991204</v>
      </c>
      <c r="CE14" s="587" t="n">
        <v>-92.1677135977629</v>
      </c>
      <c r="CF14" s="587" t="n">
        <v>-92.9096553360958</v>
      </c>
      <c r="CG14" s="587" t="n">
        <v>-90.2475438358348</v>
      </c>
      <c r="CH14" s="587" t="n">
        <v>-87.621133219383</v>
      </c>
      <c r="CI14" s="587" t="n">
        <v>-90.6529194653387</v>
      </c>
      <c r="CJ14" s="587" t="n">
        <v>-95.7785385937215</v>
      </c>
      <c r="CK14" s="587" t="n">
        <v>-102.882635866567</v>
      </c>
      <c r="CL14" s="587" t="n">
        <v>-104.002848320741</v>
      </c>
      <c r="CM14" s="587" t="n">
        <v>-99.8516142457589</v>
      </c>
      <c r="CN14" s="587" t="n">
        <v>-92.9239446170239</v>
      </c>
      <c r="CO14" s="587" t="n">
        <v>-89.0457830839206</v>
      </c>
      <c r="CP14" s="587" t="n">
        <v>-90.4113507594828</v>
      </c>
      <c r="CQ14" s="587" t="n">
        <v>-97.9247286313464</v>
      </c>
      <c r="CR14" s="587" t="n">
        <v>-99.0509520868274</v>
      </c>
      <c r="CS14" s="587" t="n">
        <v>-95.9349311297316</v>
      </c>
      <c r="CT14" s="587" t="n">
        <v>-92.4972499315361</v>
      </c>
      <c r="CU14" s="587" t="n">
        <v>-90.310235946164</v>
      </c>
      <c r="CV14" s="587" t="n">
        <v>-93.4652175829062</v>
      </c>
      <c r="CW14" s="587" t="n">
        <v>-98.9235605921566</v>
      </c>
      <c r="CX14" s="587" t="n">
        <v>-99.5888402815838</v>
      </c>
      <c r="CY14" s="587" t="n">
        <v>-96.0125497843662</v>
      </c>
      <c r="CZ14" s="587" t="n">
        <v>-91.2470023537178</v>
      </c>
      <c r="DA14" s="587" t="n">
        <v>-90.3522086364967</v>
      </c>
      <c r="DB14" s="587" t="n">
        <v>-91.0191433453492</v>
      </c>
      <c r="DC14" s="587" t="n">
        <v>-97.3842305191851</v>
      </c>
      <c r="DD14" s="587" t="n">
        <v>-99.3357440800118</v>
      </c>
      <c r="DE14" s="587" t="n">
        <v>-96.9144506611397</v>
      </c>
      <c r="DF14" s="587" t="n">
        <v>-93.9659112554843</v>
      </c>
      <c r="DG14" s="587" t="n">
        <v>0</v>
      </c>
      <c r="DH14" s="587" t="n">
        <v>0</v>
      </c>
      <c r="DI14" s="587" t="n">
        <v>0</v>
      </c>
      <c r="DJ14" s="587" t="n">
        <v>0</v>
      </c>
      <c r="DK14" s="587" t="n">
        <v>0</v>
      </c>
      <c r="DL14" s="587" t="n">
        <v>0</v>
      </c>
      <c r="DM14" s="587" t="n">
        <v>0</v>
      </c>
      <c r="DN14" s="587" t="n">
        <v>0</v>
      </c>
      <c r="DO14" s="587" t="n">
        <v>0</v>
      </c>
      <c r="DP14" s="587" t="n">
        <v>0</v>
      </c>
      <c r="DQ14" s="587" t="n">
        <v>0</v>
      </c>
      <c r="DR14" s="587" t="n">
        <v>0</v>
      </c>
      <c r="DS14" s="587" t="n">
        <v>0</v>
      </c>
      <c r="DT14" s="587" t="n">
        <v>0</v>
      </c>
      <c r="DU14" s="587" t="n">
        <v>0</v>
      </c>
      <c r="DV14" s="587" t="n">
        <v>0</v>
      </c>
      <c r="DW14" s="587" t="n">
        <v>0</v>
      </c>
      <c r="DX14" s="587" t="n">
        <v>0</v>
      </c>
      <c r="DY14" s="587" t="n">
        <v>0</v>
      </c>
      <c r="DZ14" s="587" t="n">
        <v>0</v>
      </c>
      <c r="EA14" s="587" t="n">
        <v>0</v>
      </c>
      <c r="EB14" s="587" t="n">
        <v>0</v>
      </c>
      <c r="EC14" s="587" t="n">
        <v>0</v>
      </c>
      <c r="ED14" s="587" t="n">
        <v>0</v>
      </c>
      <c r="EE14" s="587" t="n">
        <v>0</v>
      </c>
      <c r="EF14" s="587" t="n">
        <v>0</v>
      </c>
      <c r="EG14" s="587" t="n">
        <v>0</v>
      </c>
      <c r="EH14" s="587" t="n">
        <v>0</v>
      </c>
      <c r="EI14" s="587" t="n">
        <v>0</v>
      </c>
      <c r="EJ14" s="587" t="n">
        <v>0</v>
      </c>
      <c r="EK14" s="587" t="n">
        <v>0</v>
      </c>
      <c r="EL14" s="587" t="n">
        <v>0</v>
      </c>
      <c r="EM14" s="587" t="n">
        <v>0</v>
      </c>
      <c r="EN14" s="587" t="n">
        <v>0</v>
      </c>
      <c r="EO14" s="587" t="n">
        <v>0</v>
      </c>
      <c r="EP14" s="587" t="n">
        <v>0</v>
      </c>
    </row>
    <row r="15" customFormat="false" ht="12.75" hidden="false" customHeight="false" outlineLevel="0" collapsed="false">
      <c r="B15" s="586"/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  <c r="AC15" s="587"/>
      <c r="AD15" s="587"/>
      <c r="AE15" s="587"/>
      <c r="AF15" s="587"/>
      <c r="AG15" s="587"/>
      <c r="AH15" s="587"/>
      <c r="AI15" s="587"/>
      <c r="AJ15" s="587"/>
      <c r="AK15" s="587"/>
      <c r="AL15" s="587"/>
      <c r="AM15" s="587"/>
      <c r="AN15" s="587"/>
      <c r="AO15" s="587"/>
      <c r="AP15" s="587"/>
      <c r="AQ15" s="587"/>
      <c r="AR15" s="587"/>
      <c r="AS15" s="587"/>
      <c r="AT15" s="587"/>
      <c r="AU15" s="587"/>
      <c r="AV15" s="587"/>
      <c r="AW15" s="587"/>
      <c r="AX15" s="587"/>
      <c r="AY15" s="587"/>
      <c r="AZ15" s="587"/>
      <c r="BA15" s="587"/>
      <c r="BB15" s="587"/>
      <c r="BC15" s="587"/>
      <c r="BD15" s="587"/>
      <c r="BE15" s="587"/>
      <c r="BF15" s="587"/>
      <c r="BG15" s="587"/>
      <c r="BH15" s="587"/>
      <c r="BI15" s="587"/>
      <c r="BJ15" s="587"/>
      <c r="BK15" s="587"/>
      <c r="BL15" s="587"/>
      <c r="BM15" s="587"/>
      <c r="BN15" s="587"/>
      <c r="BO15" s="587"/>
      <c r="BP15" s="587"/>
      <c r="BQ15" s="587"/>
      <c r="BR15" s="587"/>
      <c r="BS15" s="587"/>
      <c r="BT15" s="587"/>
      <c r="BU15" s="587"/>
      <c r="BV15" s="587"/>
      <c r="BW15" s="587"/>
      <c r="BX15" s="587"/>
      <c r="BY15" s="587"/>
      <c r="BZ15" s="587"/>
      <c r="CA15" s="587"/>
      <c r="CB15" s="587"/>
      <c r="CC15" s="587"/>
      <c r="CD15" s="587"/>
      <c r="CE15" s="587"/>
      <c r="CF15" s="587"/>
      <c r="CG15" s="587"/>
      <c r="CH15" s="587"/>
      <c r="CI15" s="587"/>
      <c r="CJ15" s="587"/>
      <c r="CK15" s="587"/>
      <c r="CL15" s="587"/>
      <c r="CM15" s="587"/>
      <c r="CN15" s="587"/>
      <c r="CO15" s="587"/>
      <c r="CP15" s="587"/>
      <c r="CQ15" s="587"/>
      <c r="CR15" s="587"/>
      <c r="CS15" s="587"/>
      <c r="CT15" s="587"/>
      <c r="CU15" s="587"/>
      <c r="CV15" s="587"/>
      <c r="CW15" s="587"/>
      <c r="CX15" s="587"/>
      <c r="CY15" s="587"/>
      <c r="CZ15" s="587"/>
      <c r="DA15" s="587"/>
      <c r="DB15" s="587"/>
      <c r="DC15" s="587"/>
      <c r="DD15" s="587"/>
      <c r="DE15" s="587"/>
      <c r="DF15" s="587"/>
      <c r="DG15" s="587"/>
      <c r="DH15" s="587"/>
      <c r="DI15" s="587"/>
      <c r="DJ15" s="587"/>
      <c r="DK15" s="587"/>
      <c r="DL15" s="587"/>
      <c r="DM15" s="587"/>
      <c r="DN15" s="587"/>
      <c r="DO15" s="587"/>
      <c r="DP15" s="587"/>
      <c r="DQ15" s="587"/>
      <c r="DR15" s="587"/>
      <c r="DS15" s="587"/>
      <c r="DT15" s="587"/>
      <c r="DU15" s="587"/>
      <c r="DV15" s="587"/>
      <c r="DW15" s="587"/>
      <c r="DX15" s="587"/>
      <c r="DY15" s="587"/>
      <c r="DZ15" s="587"/>
      <c r="EA15" s="587"/>
      <c r="EB15" s="587"/>
      <c r="EC15" s="587"/>
      <c r="ED15" s="587"/>
      <c r="EE15" s="587"/>
      <c r="EF15" s="587"/>
      <c r="EG15" s="587"/>
      <c r="EH15" s="587"/>
      <c r="EI15" s="587"/>
      <c r="EJ15" s="587"/>
      <c r="EK15" s="587"/>
      <c r="EL15" s="587"/>
      <c r="EM15" s="587"/>
      <c r="EN15" s="587"/>
      <c r="EO15" s="587"/>
      <c r="EP15" s="587"/>
    </row>
    <row r="16" customFormat="false" ht="12.75" hidden="false" customHeight="false" outlineLevel="0" collapsed="false">
      <c r="B16" s="586"/>
      <c r="C16" s="0" t="s">
        <v>483</v>
      </c>
      <c r="O16" s="0" t="s">
        <v>484</v>
      </c>
      <c r="AA16" s="0" t="s">
        <v>485</v>
      </c>
      <c r="AM16" s="0" t="s">
        <v>486</v>
      </c>
      <c r="AY16" s="0" t="s">
        <v>487</v>
      </c>
      <c r="BK16" s="0" t="s">
        <v>488</v>
      </c>
      <c r="BW16" s="0" t="s">
        <v>489</v>
      </c>
      <c r="CI16" s="0" t="s">
        <v>490</v>
      </c>
      <c r="CU16" s="0" t="s">
        <v>491</v>
      </c>
      <c r="DG16" s="0" t="s">
        <v>492</v>
      </c>
      <c r="DS16" s="0" t="s">
        <v>493</v>
      </c>
      <c r="EE16" s="0" t="s">
        <v>494</v>
      </c>
    </row>
    <row r="17" customFormat="false" ht="12.75" hidden="false" customHeight="false" outlineLevel="0" collapsed="false">
      <c r="B17" s="584" t="s">
        <v>180</v>
      </c>
      <c r="C17" s="585" t="s">
        <v>495</v>
      </c>
      <c r="D17" s="585" t="s">
        <v>496</v>
      </c>
      <c r="E17" s="585" t="s">
        <v>497</v>
      </c>
      <c r="F17" s="585" t="s">
        <v>498</v>
      </c>
      <c r="G17" s="585" t="s">
        <v>499</v>
      </c>
      <c r="H17" s="585" t="s">
        <v>500</v>
      </c>
      <c r="I17" s="585" t="s">
        <v>501</v>
      </c>
      <c r="J17" s="585" t="s">
        <v>502</v>
      </c>
      <c r="K17" s="585" t="s">
        <v>503</v>
      </c>
      <c r="L17" s="585" t="s">
        <v>504</v>
      </c>
      <c r="M17" s="585" t="s">
        <v>505</v>
      </c>
      <c r="N17" s="585" t="s">
        <v>506</v>
      </c>
      <c r="O17" s="585" t="s">
        <v>495</v>
      </c>
      <c r="P17" s="585" t="s">
        <v>496</v>
      </c>
      <c r="Q17" s="585" t="s">
        <v>497</v>
      </c>
      <c r="R17" s="585" t="s">
        <v>498</v>
      </c>
      <c r="S17" s="585" t="s">
        <v>499</v>
      </c>
      <c r="T17" s="585" t="s">
        <v>500</v>
      </c>
      <c r="U17" s="585" t="s">
        <v>501</v>
      </c>
      <c r="V17" s="585" t="s">
        <v>502</v>
      </c>
      <c r="W17" s="585" t="s">
        <v>503</v>
      </c>
      <c r="X17" s="585" t="s">
        <v>504</v>
      </c>
      <c r="Y17" s="585" t="s">
        <v>505</v>
      </c>
      <c r="Z17" s="585" t="s">
        <v>506</v>
      </c>
      <c r="AA17" s="585" t="s">
        <v>495</v>
      </c>
      <c r="AB17" s="585" t="s">
        <v>496</v>
      </c>
      <c r="AC17" s="585" t="s">
        <v>497</v>
      </c>
      <c r="AD17" s="585" t="s">
        <v>498</v>
      </c>
      <c r="AE17" s="585" t="s">
        <v>499</v>
      </c>
      <c r="AF17" s="585" t="s">
        <v>500</v>
      </c>
      <c r="AG17" s="585" t="s">
        <v>501</v>
      </c>
      <c r="AH17" s="585" t="s">
        <v>502</v>
      </c>
      <c r="AI17" s="585" t="s">
        <v>503</v>
      </c>
      <c r="AJ17" s="585" t="s">
        <v>504</v>
      </c>
      <c r="AK17" s="585" t="s">
        <v>505</v>
      </c>
      <c r="AL17" s="585" t="s">
        <v>506</v>
      </c>
      <c r="AM17" s="585" t="s">
        <v>495</v>
      </c>
      <c r="AN17" s="585" t="s">
        <v>496</v>
      </c>
      <c r="AO17" s="585" t="s">
        <v>497</v>
      </c>
      <c r="AP17" s="585" t="s">
        <v>498</v>
      </c>
      <c r="AQ17" s="585" t="s">
        <v>499</v>
      </c>
      <c r="AR17" s="585" t="s">
        <v>500</v>
      </c>
      <c r="AS17" s="585" t="s">
        <v>501</v>
      </c>
      <c r="AT17" s="585" t="s">
        <v>502</v>
      </c>
      <c r="AU17" s="585" t="s">
        <v>503</v>
      </c>
      <c r="AV17" s="585" t="s">
        <v>504</v>
      </c>
      <c r="AW17" s="585" t="s">
        <v>505</v>
      </c>
      <c r="AX17" s="585" t="s">
        <v>506</v>
      </c>
      <c r="AY17" s="585" t="s">
        <v>495</v>
      </c>
      <c r="AZ17" s="585" t="s">
        <v>496</v>
      </c>
      <c r="BA17" s="585" t="s">
        <v>497</v>
      </c>
      <c r="BB17" s="585" t="s">
        <v>498</v>
      </c>
      <c r="BC17" s="585" t="s">
        <v>499</v>
      </c>
      <c r="BD17" s="585" t="s">
        <v>500</v>
      </c>
      <c r="BE17" s="585" t="s">
        <v>501</v>
      </c>
      <c r="BF17" s="585" t="s">
        <v>502</v>
      </c>
      <c r="BG17" s="585" t="s">
        <v>503</v>
      </c>
      <c r="BH17" s="585" t="s">
        <v>504</v>
      </c>
      <c r="BI17" s="585" t="s">
        <v>505</v>
      </c>
      <c r="BJ17" s="585" t="s">
        <v>506</v>
      </c>
      <c r="BK17" s="585" t="s">
        <v>495</v>
      </c>
      <c r="BL17" s="585" t="s">
        <v>496</v>
      </c>
      <c r="BM17" s="585" t="s">
        <v>497</v>
      </c>
      <c r="BN17" s="585" t="s">
        <v>498</v>
      </c>
      <c r="BO17" s="585" t="s">
        <v>499</v>
      </c>
      <c r="BP17" s="585" t="s">
        <v>500</v>
      </c>
      <c r="BQ17" s="585" t="s">
        <v>501</v>
      </c>
      <c r="BR17" s="585" t="s">
        <v>502</v>
      </c>
      <c r="BS17" s="585" t="s">
        <v>503</v>
      </c>
      <c r="BT17" s="585" t="s">
        <v>504</v>
      </c>
      <c r="BU17" s="585" t="s">
        <v>505</v>
      </c>
      <c r="BV17" s="585" t="s">
        <v>506</v>
      </c>
      <c r="BW17" s="585" t="s">
        <v>495</v>
      </c>
      <c r="BX17" s="585" t="s">
        <v>496</v>
      </c>
      <c r="BY17" s="585" t="s">
        <v>497</v>
      </c>
      <c r="BZ17" s="585" t="s">
        <v>498</v>
      </c>
      <c r="CA17" s="585" t="s">
        <v>499</v>
      </c>
      <c r="CB17" s="585" t="s">
        <v>500</v>
      </c>
      <c r="CC17" s="585" t="s">
        <v>501</v>
      </c>
      <c r="CD17" s="585" t="s">
        <v>502</v>
      </c>
      <c r="CE17" s="585" t="s">
        <v>503</v>
      </c>
      <c r="CF17" s="585" t="s">
        <v>504</v>
      </c>
      <c r="CG17" s="585" t="s">
        <v>505</v>
      </c>
      <c r="CH17" s="585" t="s">
        <v>506</v>
      </c>
      <c r="CI17" s="585" t="s">
        <v>495</v>
      </c>
      <c r="CJ17" s="585" t="s">
        <v>496</v>
      </c>
      <c r="CK17" s="585" t="s">
        <v>497</v>
      </c>
      <c r="CL17" s="585" t="s">
        <v>498</v>
      </c>
      <c r="CM17" s="585" t="s">
        <v>499</v>
      </c>
      <c r="CN17" s="585" t="s">
        <v>500</v>
      </c>
      <c r="CO17" s="585" t="s">
        <v>501</v>
      </c>
      <c r="CP17" s="585" t="s">
        <v>502</v>
      </c>
      <c r="CQ17" s="585" t="s">
        <v>503</v>
      </c>
      <c r="CR17" s="585" t="s">
        <v>504</v>
      </c>
      <c r="CS17" s="585" t="s">
        <v>505</v>
      </c>
      <c r="CT17" s="585" t="s">
        <v>506</v>
      </c>
      <c r="CU17" s="585" t="s">
        <v>495</v>
      </c>
      <c r="CV17" s="585" t="s">
        <v>496</v>
      </c>
      <c r="CW17" s="585" t="s">
        <v>497</v>
      </c>
      <c r="CX17" s="585" t="s">
        <v>498</v>
      </c>
      <c r="CY17" s="585" t="s">
        <v>499</v>
      </c>
      <c r="CZ17" s="585" t="s">
        <v>500</v>
      </c>
      <c r="DA17" s="585" t="s">
        <v>501</v>
      </c>
      <c r="DB17" s="585" t="s">
        <v>502</v>
      </c>
      <c r="DC17" s="585" t="s">
        <v>503</v>
      </c>
      <c r="DD17" s="585" t="s">
        <v>504</v>
      </c>
      <c r="DE17" s="585" t="s">
        <v>505</v>
      </c>
      <c r="DF17" s="585" t="s">
        <v>506</v>
      </c>
      <c r="DG17" s="585" t="s">
        <v>495</v>
      </c>
      <c r="DH17" s="585" t="s">
        <v>496</v>
      </c>
      <c r="DI17" s="585" t="s">
        <v>497</v>
      </c>
      <c r="DJ17" s="585" t="s">
        <v>498</v>
      </c>
      <c r="DK17" s="585" t="s">
        <v>499</v>
      </c>
      <c r="DL17" s="585" t="s">
        <v>500</v>
      </c>
      <c r="DM17" s="585" t="s">
        <v>501</v>
      </c>
      <c r="DN17" s="585" t="s">
        <v>502</v>
      </c>
      <c r="DO17" s="585" t="s">
        <v>503</v>
      </c>
      <c r="DP17" s="585" t="s">
        <v>504</v>
      </c>
      <c r="DQ17" s="585" t="s">
        <v>505</v>
      </c>
      <c r="DR17" s="585" t="s">
        <v>506</v>
      </c>
      <c r="DS17" s="585" t="s">
        <v>495</v>
      </c>
      <c r="DT17" s="585" t="s">
        <v>496</v>
      </c>
      <c r="DU17" s="585" t="s">
        <v>497</v>
      </c>
      <c r="DV17" s="585" t="s">
        <v>498</v>
      </c>
      <c r="DW17" s="585" t="s">
        <v>499</v>
      </c>
      <c r="DX17" s="585" t="s">
        <v>500</v>
      </c>
      <c r="DY17" s="585" t="s">
        <v>501</v>
      </c>
      <c r="DZ17" s="585" t="s">
        <v>502</v>
      </c>
      <c r="EA17" s="585" t="s">
        <v>503</v>
      </c>
      <c r="EB17" s="585" t="s">
        <v>504</v>
      </c>
      <c r="EC17" s="585" t="s">
        <v>505</v>
      </c>
      <c r="ED17" s="585" t="s">
        <v>506</v>
      </c>
      <c r="EE17" s="585" t="s">
        <v>495</v>
      </c>
      <c r="EF17" s="585" t="s">
        <v>496</v>
      </c>
      <c r="EG17" s="585" t="s">
        <v>497</v>
      </c>
      <c r="EH17" s="585" t="s">
        <v>498</v>
      </c>
      <c r="EI17" s="585" t="s">
        <v>499</v>
      </c>
      <c r="EJ17" s="585" t="s">
        <v>500</v>
      </c>
      <c r="EK17" s="585" t="s">
        <v>501</v>
      </c>
      <c r="EL17" s="585" t="s">
        <v>502</v>
      </c>
      <c r="EM17" s="585" t="s">
        <v>503</v>
      </c>
      <c r="EN17" s="585" t="s">
        <v>504</v>
      </c>
      <c r="EO17" s="585" t="s">
        <v>505</v>
      </c>
      <c r="EP17" s="585" t="s">
        <v>506</v>
      </c>
    </row>
    <row r="18" customFormat="false" ht="12.75" hidden="false" customHeight="false" outlineLevel="0" collapsed="false">
      <c r="B18" s="586" t="n">
        <v>2000</v>
      </c>
      <c r="C18" s="588" t="n">
        <f aca="false">C4*-1</f>
        <v>-0</v>
      </c>
      <c r="D18" s="588" t="n">
        <f aca="false">D4*-1</f>
        <v>-0</v>
      </c>
      <c r="E18" s="588" t="n">
        <f aca="false">E4*-1</f>
        <v>-0</v>
      </c>
      <c r="F18" s="588" t="n">
        <f aca="false">F4*-1</f>
        <v>-0</v>
      </c>
      <c r="G18" s="588" t="n">
        <f aca="false">G4*-1</f>
        <v>-0</v>
      </c>
      <c r="H18" s="588" t="n">
        <f aca="false">H4*-1</f>
        <v>-0</v>
      </c>
      <c r="I18" s="588" t="n">
        <f aca="false">I4*-1</f>
        <v>-0</v>
      </c>
      <c r="J18" s="588" t="n">
        <f aca="false">J4*-1</f>
        <v>-0</v>
      </c>
      <c r="K18" s="588" t="n">
        <f aca="false">K4*-1</f>
        <v>-0</v>
      </c>
      <c r="L18" s="588" t="n">
        <f aca="false">L4*-1</f>
        <v>-0</v>
      </c>
      <c r="M18" s="588" t="n">
        <f aca="false">M4*-1</f>
        <v>-0</v>
      </c>
      <c r="N18" s="588" t="n">
        <f aca="false">N4*-1</f>
        <v>-0</v>
      </c>
      <c r="O18" s="588" t="n">
        <f aca="false">O4*-1</f>
        <v>-0</v>
      </c>
      <c r="P18" s="588" t="n">
        <f aca="false">P4*-1</f>
        <v>-0</v>
      </c>
      <c r="Q18" s="588" t="n">
        <f aca="false">Q4*-1</f>
        <v>-0</v>
      </c>
      <c r="R18" s="588" t="n">
        <f aca="false">R4*-1</f>
        <v>-0</v>
      </c>
      <c r="S18" s="588" t="n">
        <f aca="false">S4*-1</f>
        <v>-0</v>
      </c>
      <c r="T18" s="588" t="n">
        <f aca="false">T4*-1</f>
        <v>-0</v>
      </c>
      <c r="U18" s="588" t="n">
        <f aca="false">U4*-1</f>
        <v>-0</v>
      </c>
      <c r="V18" s="588" t="n">
        <f aca="false">V4*-1</f>
        <v>-0</v>
      </c>
      <c r="W18" s="588" t="n">
        <f aca="false">W4*-1</f>
        <v>-0</v>
      </c>
      <c r="X18" s="588" t="n">
        <f aca="false">X4*-1</f>
        <v>-0</v>
      </c>
      <c r="Y18" s="588" t="n">
        <f aca="false">Y4*-1</f>
        <v>-0</v>
      </c>
      <c r="Z18" s="588" t="n">
        <f aca="false">Z4*-1</f>
        <v>-0</v>
      </c>
      <c r="AA18" s="588" t="n">
        <f aca="false">AA4*-1</f>
        <v>5.68371842394097</v>
      </c>
      <c r="AB18" s="588" t="n">
        <f aca="false">AB4*-1</f>
        <v>11.5690543206092</v>
      </c>
      <c r="AC18" s="588" t="n">
        <f aca="false">AC4*-1</f>
        <v>11.8924811608369</v>
      </c>
      <c r="AD18" s="588" t="n">
        <f aca="false">AD4*-1</f>
        <v>11.7012241907501</v>
      </c>
      <c r="AE18" s="588" t="n">
        <f aca="false">AE4*-1</f>
        <v>9.45170916415536</v>
      </c>
      <c r="AF18" s="588" t="n">
        <f aca="false">AF4*-1</f>
        <v>6.4163112477083</v>
      </c>
      <c r="AG18" s="588" t="n">
        <f aca="false">AG4*-1</f>
        <v>21.865920815097</v>
      </c>
      <c r="AH18" s="588" t="n">
        <f aca="false">AH4*-1</f>
        <v>21.3278652097492</v>
      </c>
      <c r="AI18" s="588" t="n">
        <f aca="false">AI4*-1</f>
        <v>25.6528835156879</v>
      </c>
      <c r="AJ18" s="588" t="n">
        <f aca="false">AJ4*-1</f>
        <v>21.7338397880828</v>
      </c>
      <c r="AK18" s="588" t="n">
        <f aca="false">AK4*-1</f>
        <v>20.4297495299322</v>
      </c>
      <c r="AL18" s="588" t="n">
        <f aca="false">AL4*-1</f>
        <v>21.8889926590586</v>
      </c>
      <c r="AM18" s="588" t="n">
        <f aca="false">AM4*-1</f>
        <v>0.362142575919137</v>
      </c>
      <c r="AN18" s="588" t="n">
        <f aca="false">AN4*-1</f>
        <v>0.662975369760737</v>
      </c>
      <c r="AO18" s="588" t="n">
        <f aca="false">AO4*-1</f>
        <v>0.872016654033643</v>
      </c>
      <c r="AP18" s="588" t="n">
        <f aca="false">AP4*-1</f>
        <v>0.944667382376332</v>
      </c>
      <c r="AQ18" s="588" t="n">
        <f aca="false">AQ4*-1</f>
        <v>0.763282549548636</v>
      </c>
      <c r="AR18" s="588" t="n">
        <f aca="false">AR4*-1</f>
        <v>0.419734040711023</v>
      </c>
      <c r="AS18" s="588" t="n">
        <f aca="false">AS4*-1</f>
        <v>0.865602084997538</v>
      </c>
      <c r="AT18" s="588" t="n">
        <f aca="false">AT4*-1</f>
        <v>0.863047994694083</v>
      </c>
      <c r="AU18" s="588" t="n">
        <f aca="false">AU4*-1</f>
        <v>1.18401684545468</v>
      </c>
      <c r="AV18" s="588" t="n">
        <f aca="false">AV4*-1</f>
        <v>1.12964538990101</v>
      </c>
      <c r="AW18" s="588" t="n">
        <f aca="false">AW4*-1</f>
        <v>0.817428174677909</v>
      </c>
      <c r="AX18" s="588" t="n">
        <f aca="false">AX4*-1</f>
        <v>0.863057905176798</v>
      </c>
      <c r="AY18" s="588" t="n">
        <f aca="false">AY4*-1</f>
        <v>0.735193392048806</v>
      </c>
      <c r="AZ18" s="588" t="n">
        <f aca="false">AZ4*-1</f>
        <v>1.87070152871224</v>
      </c>
      <c r="BA18" s="588" t="n">
        <f aca="false">BA4*-1</f>
        <v>2.46060314176569</v>
      </c>
      <c r="BB18" s="588" t="n">
        <f aca="false">BB4*-1</f>
        <v>2.56482308698441</v>
      </c>
      <c r="BC18" s="588" t="n">
        <f aca="false">BC4*-1</f>
        <v>2.07704367847579</v>
      </c>
      <c r="BD18" s="588" t="n">
        <f aca="false">BD4*-1</f>
        <v>0.921982711138853</v>
      </c>
      <c r="BE18" s="588" t="n">
        <f aca="false">BE4*-1</f>
        <v>2.89691002959058</v>
      </c>
      <c r="BF18" s="588" t="n">
        <f aca="false">BF4*-1</f>
        <v>2.85070617128468</v>
      </c>
      <c r="BG18" s="588" t="n">
        <f aca="false">BG4*-1</f>
        <v>4.95388642527938</v>
      </c>
      <c r="BH18" s="588" t="n">
        <f aca="false">BH4*-1</f>
        <v>4.06489490414194</v>
      </c>
      <c r="BI18" s="588" t="n">
        <f aca="false">BI4*-1</f>
        <v>2.50329516441597</v>
      </c>
      <c r="BJ18" s="588" t="n">
        <f aca="false">BJ4*-1</f>
        <v>2.89174854961295</v>
      </c>
      <c r="BK18" s="588" t="n">
        <f aca="false">BK4*-1</f>
        <v>0.173748037142907</v>
      </c>
      <c r="BL18" s="588" t="n">
        <f aca="false">BL4*-1</f>
        <v>0.298834287922625</v>
      </c>
      <c r="BM18" s="588" t="n">
        <f aca="false">BM4*-1</f>
        <v>0.480397556033391</v>
      </c>
      <c r="BN18" s="588" t="n">
        <f aca="false">BN4*-1</f>
        <v>0.539964087706759</v>
      </c>
      <c r="BO18" s="588" t="n">
        <f aca="false">BO4*-1</f>
        <v>0.479886357429346</v>
      </c>
      <c r="BP18" s="588" t="n">
        <f aca="false">BP4*-1</f>
        <v>0.220864110443261</v>
      </c>
      <c r="BQ18" s="588" t="n">
        <f aca="false">BQ4*-1</f>
        <v>0.413137643105215</v>
      </c>
      <c r="BR18" s="588" t="n">
        <f aca="false">BR4*-1</f>
        <v>0.411414793282869</v>
      </c>
      <c r="BS18" s="588" t="n">
        <f aca="false">BS4*-1</f>
        <v>0.733862290641029</v>
      </c>
      <c r="BT18" s="588" t="n">
        <f aca="false">BT4*-1</f>
        <v>0.718954806084697</v>
      </c>
      <c r="BU18" s="588" t="n">
        <f aca="false">BU4*-1</f>
        <v>0.470970100892947</v>
      </c>
      <c r="BV18" s="588" t="n">
        <f aca="false">BV4*-1</f>
        <v>0.429765540378159</v>
      </c>
      <c r="BW18" s="588" t="n">
        <f aca="false">BW4*-1</f>
        <v>0.298272358290536</v>
      </c>
      <c r="BX18" s="588" t="n">
        <f aca="false">BX4*-1</f>
        <v>0.634648448237119</v>
      </c>
      <c r="BY18" s="588" t="n">
        <f aca="false">BY4*-1</f>
        <v>0.896517276689121</v>
      </c>
      <c r="BZ18" s="588" t="n">
        <f aca="false">BZ4*-1</f>
        <v>0.95932132695537</v>
      </c>
      <c r="CA18" s="588" t="n">
        <f aca="false">CA4*-1</f>
        <v>0.836856505794872</v>
      </c>
      <c r="CB18" s="588" t="n">
        <f aca="false">CB4*-1</f>
        <v>0.373141628549683</v>
      </c>
      <c r="CC18" s="588" t="n">
        <f aca="false">CC4*-1</f>
        <v>0.629779877952851</v>
      </c>
      <c r="CD18" s="588" t="n">
        <f aca="false">CD4*-1</f>
        <v>0.633618086795865</v>
      </c>
      <c r="CE18" s="588" t="n">
        <f aca="false">CE4*-1</f>
        <v>1.34788953570771</v>
      </c>
      <c r="CF18" s="588" t="n">
        <f aca="false">CF4*-1</f>
        <v>1.15452780730892</v>
      </c>
      <c r="CG18" s="588" t="n">
        <f aca="false">CG4*-1</f>
        <v>0.625733436013627</v>
      </c>
      <c r="CH18" s="588" t="n">
        <f aca="false">CH4*-1</f>
        <v>0.635642681112859</v>
      </c>
      <c r="CI18" s="588" t="n">
        <f aca="false">CI4*-1</f>
        <v>0.339795684238738</v>
      </c>
      <c r="CJ18" s="588" t="n">
        <f aca="false">CJ4*-1</f>
        <v>0.815506044119602</v>
      </c>
      <c r="CK18" s="588" t="n">
        <f aca="false">CK4*-1</f>
        <v>1.16092427995273</v>
      </c>
      <c r="CL18" s="588" t="n">
        <f aca="false">CL4*-1</f>
        <v>1.23710231766656</v>
      </c>
      <c r="CM18" s="588" t="n">
        <f aca="false">CM4*-1</f>
        <v>1.04621708740505</v>
      </c>
      <c r="CN18" s="588" t="n">
        <f aca="false">CN4*-1</f>
        <v>0.435194456183197</v>
      </c>
      <c r="CO18" s="588" t="n">
        <f aca="false">CO4*-1</f>
        <v>1.30973640830447</v>
      </c>
      <c r="CP18" s="588" t="n">
        <f aca="false">CP4*-1</f>
        <v>1.29552790815732</v>
      </c>
      <c r="CQ18" s="588" t="n">
        <f aca="false">CQ4*-1</f>
        <v>2.51096977668846</v>
      </c>
      <c r="CR18" s="588" t="n">
        <f aca="false">CR4*-1</f>
        <v>2.14190578811734</v>
      </c>
      <c r="CS18" s="588" t="n">
        <f aca="false">CS4*-1</f>
        <v>1.18807313832863</v>
      </c>
      <c r="CT18" s="588" t="n">
        <f aca="false">CT4*-1</f>
        <v>1.32205392297544</v>
      </c>
      <c r="CU18" s="588" t="n">
        <f aca="false">CU4*-1</f>
        <v>0.333910234644354</v>
      </c>
      <c r="CV18" s="588" t="n">
        <f aca="false">CV4*-1</f>
        <v>0.778918494375729</v>
      </c>
      <c r="CW18" s="588" t="n">
        <f aca="false">CW4*-1</f>
        <v>1.06271309359649</v>
      </c>
      <c r="CX18" s="588" t="n">
        <f aca="false">CX4*-1</f>
        <v>1.15255370728085</v>
      </c>
      <c r="CY18" s="588" t="n">
        <f aca="false">CY4*-1</f>
        <v>0.978636390602507</v>
      </c>
      <c r="CZ18" s="588" t="n">
        <f aca="false">CZ4*-1</f>
        <v>0.426829437280383</v>
      </c>
      <c r="DA18" s="588" t="n">
        <f aca="false">DA4*-1</f>
        <v>0.909835535388887</v>
      </c>
      <c r="DB18" s="588" t="n">
        <f aca="false">DB4*-1</f>
        <v>0.917364439460261</v>
      </c>
      <c r="DC18" s="588" t="n">
        <f aca="false">DC4*-1</f>
        <v>1.6844448559848</v>
      </c>
      <c r="DD18" s="588" t="n">
        <f aca="false">DD4*-1</f>
        <v>1.46593154132054</v>
      </c>
      <c r="DE18" s="588" t="n">
        <f aca="false">DE4*-1</f>
        <v>0.865830985045193</v>
      </c>
      <c r="DF18" s="588" t="n">
        <f aca="false">DF4*-1</f>
        <v>0.912677784791712</v>
      </c>
      <c r="DG18" s="588" t="n">
        <f aca="false">DG4*-1</f>
        <v>1.62516032354467</v>
      </c>
      <c r="DH18" s="588" t="n">
        <f aca="false">DH4*-1</f>
        <v>4.20407565067438</v>
      </c>
      <c r="DI18" s="588" t="n">
        <f aca="false">DI4*-1</f>
        <v>4.86155573362381</v>
      </c>
      <c r="DJ18" s="588" t="n">
        <f aca="false">DJ4*-1</f>
        <v>5.00304125062497</v>
      </c>
      <c r="DK18" s="588" t="n">
        <f aca="false">DK4*-1</f>
        <v>4.03644388982919</v>
      </c>
      <c r="DL18" s="588" t="n">
        <f aca="false">DL4*-1</f>
        <v>1.99729995083569</v>
      </c>
      <c r="DM18" s="588" t="n">
        <f aca="false">DM4*-1</f>
        <v>6.10040412701567</v>
      </c>
      <c r="DN18" s="588" t="n">
        <f aca="false">DN4*-1</f>
        <v>6.42598375412996</v>
      </c>
      <c r="DO18" s="588" t="n">
        <f aca="false">DO4*-1</f>
        <v>10.1122555279437</v>
      </c>
      <c r="DP18" s="588" t="n">
        <f aca="false">DP4*-1</f>
        <v>8.29223405308898</v>
      </c>
      <c r="DQ18" s="588" t="n">
        <f aca="false">DQ4*-1</f>
        <v>5.58926928905534</v>
      </c>
      <c r="DR18" s="588" t="n">
        <f aca="false">DR4*-1</f>
        <v>6.12984659066319</v>
      </c>
      <c r="DS18" s="588" t="n">
        <f aca="false">DS4*-1</f>
        <v>1.39872741699043</v>
      </c>
      <c r="DT18" s="588" t="n">
        <f aca="false">DT4*-1</f>
        <v>2.6815092783046</v>
      </c>
      <c r="DU18" s="588" t="n">
        <f aca="false">DU4*-1</f>
        <v>2.82103368546081</v>
      </c>
      <c r="DV18" s="588" t="n">
        <f aca="false">DV4*-1</f>
        <v>2.79036300249099</v>
      </c>
      <c r="DW18" s="588" t="n">
        <f aca="false">DW4*-1</f>
        <v>2.3469489145047</v>
      </c>
      <c r="DX18" s="588" t="n">
        <f aca="false">DX4*-1</f>
        <v>1.57256706277179</v>
      </c>
      <c r="DY18" s="588" t="n">
        <f aca="false">DY4*-1</f>
        <v>4.04264007632289</v>
      </c>
      <c r="DZ18" s="588" t="n">
        <f aca="false">DZ4*-1</f>
        <v>4.05730804016542</v>
      </c>
      <c r="EA18" s="588" t="n">
        <f aca="false">EA4*-1</f>
        <v>4.801413704457</v>
      </c>
      <c r="EB18" s="588" t="n">
        <f aca="false">EB4*-1</f>
        <v>4.20312362919951</v>
      </c>
      <c r="EC18" s="588" t="n">
        <f aca="false">EC4*-1</f>
        <v>3.95006575107339</v>
      </c>
      <c r="ED18" s="588" t="n">
        <f aca="false">ED4*-1</f>
        <v>4.05431607508167</v>
      </c>
      <c r="EE18" s="588" t="n">
        <f aca="false">EE4*-1</f>
        <v>0.811274793676076</v>
      </c>
      <c r="EF18" s="588" t="n">
        <f aca="false">EF4*-1</f>
        <v>1.55988284251192</v>
      </c>
      <c r="EG18" s="588" t="n">
        <f aca="false">EG4*-1</f>
        <v>1.67284474041403</v>
      </c>
      <c r="EH18" s="588" t="n">
        <f aca="false">EH4*-1</f>
        <v>1.65184630170867</v>
      </c>
      <c r="EI18" s="588" t="n">
        <f aca="false">EI4*-1</f>
        <v>1.43156425999494</v>
      </c>
      <c r="EJ18" s="588" t="n">
        <f aca="false">EJ4*-1</f>
        <v>0.913667498595464</v>
      </c>
      <c r="EK18" s="588" t="n">
        <f aca="false">EK4*-1</f>
        <v>1.7886644590367</v>
      </c>
      <c r="EL18" s="588" t="n">
        <f aca="false">EL4*-1</f>
        <v>1.83688274950307</v>
      </c>
      <c r="EM18" s="588" t="n">
        <f aca="false">EM4*-1</f>
        <v>2.26709025541724</v>
      </c>
      <c r="EN18" s="588" t="n">
        <f aca="false">EN4*-1</f>
        <v>1.98707394813371</v>
      </c>
      <c r="EO18" s="588" t="n">
        <f aca="false">EO4*-1</f>
        <v>1.76425221115108</v>
      </c>
      <c r="EP18" s="588" t="n">
        <f aca="false">EP4*-1</f>
        <v>1.78804355130354</v>
      </c>
    </row>
    <row r="19" customFormat="false" ht="12.75" hidden="false" customHeight="false" outlineLevel="0" collapsed="false">
      <c r="B19" s="586" t="n">
        <v>2001</v>
      </c>
      <c r="C19" s="588" t="n">
        <f aca="false">C5*-1</f>
        <v>5.3867534407377</v>
      </c>
      <c r="D19" s="588" t="n">
        <f aca="false">D5*-1</f>
        <v>10.7211208947282</v>
      </c>
      <c r="E19" s="588" t="n">
        <f aca="false">E5*-1</f>
        <v>10.7998310825414</v>
      </c>
      <c r="F19" s="588" t="n">
        <f aca="false">F5*-1</f>
        <v>10.6921484937833</v>
      </c>
      <c r="G19" s="588" t="n">
        <f aca="false">G5*-1</f>
        <v>9.43680923780581</v>
      </c>
      <c r="H19" s="588" t="n">
        <f aca="false">H5*-1</f>
        <v>6.967589191165</v>
      </c>
      <c r="I19" s="588" t="n">
        <f aca="false">I5*-1</f>
        <v>13.1908952566</v>
      </c>
      <c r="J19" s="588" t="n">
        <f aca="false">J5*-1</f>
        <v>14.1031216974914</v>
      </c>
      <c r="K19" s="588" t="n">
        <f aca="false">K5*-1</f>
        <v>16.8230329223148</v>
      </c>
      <c r="L19" s="588" t="n">
        <f aca="false">L5*-1</f>
        <v>14.394645994452</v>
      </c>
      <c r="M19" s="588" t="n">
        <f aca="false">M5*-1</f>
        <v>13.3734985244932</v>
      </c>
      <c r="N19" s="588" t="n">
        <f aca="false">N5*-1</f>
        <v>13.5968161124117</v>
      </c>
      <c r="O19" s="588" t="n">
        <f aca="false">O5*-1</f>
        <v>6.39634844709896</v>
      </c>
      <c r="P19" s="588" t="n">
        <f aca="false">P5*-1</f>
        <v>11.7698195772196</v>
      </c>
      <c r="Q19" s="588" t="n">
        <f aca="false">Q5*-1</f>
        <v>11.8936713108376</v>
      </c>
      <c r="R19" s="588" t="n">
        <f aca="false">R5*-1</f>
        <v>11.7655183839898</v>
      </c>
      <c r="S19" s="588" t="n">
        <f aca="false">S5*-1</f>
        <v>10.1500082518588</v>
      </c>
      <c r="T19" s="588" t="n">
        <f aca="false">T5*-1</f>
        <v>7.69997297711365</v>
      </c>
      <c r="U19" s="588" t="n">
        <f aca="false">U5*-1</f>
        <v>15.8284121688412</v>
      </c>
      <c r="V19" s="588" t="n">
        <f aca="false">V5*-1</f>
        <v>16.3052239099863</v>
      </c>
      <c r="W19" s="588" t="n">
        <f aca="false">W5*-1</f>
        <v>19.4348068754559</v>
      </c>
      <c r="X19" s="588" t="n">
        <f aca="false">X5*-1</f>
        <v>16.7273707437374</v>
      </c>
      <c r="Y19" s="588" t="n">
        <f aca="false">Y5*-1</f>
        <v>15.3737928149609</v>
      </c>
      <c r="Z19" s="588" t="n">
        <f aca="false">Z5*-1</f>
        <v>16.1522369925901</v>
      </c>
      <c r="AA19" s="588" t="n">
        <f aca="false">AA5*-1</f>
        <v>5.1104423245666</v>
      </c>
      <c r="AB19" s="588" t="n">
        <f aca="false">AB5*-1</f>
        <v>10.0949263349183</v>
      </c>
      <c r="AC19" s="588" t="n">
        <f aca="false">AC5*-1</f>
        <v>10.4171821959156</v>
      </c>
      <c r="AD19" s="588" t="n">
        <f aca="false">AD5*-1</f>
        <v>10.3646549794123</v>
      </c>
      <c r="AE19" s="588" t="n">
        <f aca="false">AE5*-1</f>
        <v>8.97459265245596</v>
      </c>
      <c r="AF19" s="588" t="n">
        <f aca="false">AF5*-1</f>
        <v>6.67344809049955</v>
      </c>
      <c r="AG19" s="588" t="n">
        <f aca="false">AG5*-1</f>
        <v>12.9827508260896</v>
      </c>
      <c r="AH19" s="588" t="n">
        <f aca="false">AH5*-1</f>
        <v>13.0368871426015</v>
      </c>
      <c r="AI19" s="588" t="n">
        <f aca="false">AI5*-1</f>
        <v>15.4694955094387</v>
      </c>
      <c r="AJ19" s="588" t="n">
        <f aca="false">AJ5*-1</f>
        <v>13.4461706378036</v>
      </c>
      <c r="AK19" s="588" t="n">
        <f aca="false">AK5*-1</f>
        <v>12.7114445101967</v>
      </c>
      <c r="AL19" s="588" t="n">
        <f aca="false">AL5*-1</f>
        <v>13.2993906538969</v>
      </c>
      <c r="AM19" s="588" t="n">
        <f aca="false">AM5*-1</f>
        <v>4.06464173253114</v>
      </c>
      <c r="AN19" s="588" t="n">
        <f aca="false">AN5*-1</f>
        <v>7.66353612476488</v>
      </c>
      <c r="AO19" s="588" t="n">
        <f aca="false">AO5*-1</f>
        <v>8.35350936127057</v>
      </c>
      <c r="AP19" s="588" t="n">
        <f aca="false">AP5*-1</f>
        <v>8.61268930357054</v>
      </c>
      <c r="AQ19" s="588" t="n">
        <f aca="false">AQ5*-1</f>
        <v>7.15895433827145</v>
      </c>
      <c r="AR19" s="588" t="n">
        <f aca="false">AR5*-1</f>
        <v>5.15107853483989</v>
      </c>
      <c r="AS19" s="588" t="n">
        <f aca="false">AS5*-1</f>
        <v>9.68107994207844</v>
      </c>
      <c r="AT19" s="588" t="n">
        <f aca="false">AT5*-1</f>
        <v>9.83641538182997</v>
      </c>
      <c r="AU19" s="588" t="n">
        <f aca="false">AU5*-1</f>
        <v>12.1879884486226</v>
      </c>
      <c r="AV19" s="588" t="n">
        <f aca="false">AV5*-1</f>
        <v>10.7252408921139</v>
      </c>
      <c r="AW19" s="588" t="n">
        <f aca="false">AW5*-1</f>
        <v>8.97687362673959</v>
      </c>
      <c r="AX19" s="588" t="n">
        <f aca="false">AX5*-1</f>
        <v>9.82163707207444</v>
      </c>
      <c r="AY19" s="588" t="n">
        <f aca="false">AY5*-1</f>
        <v>3.2640963751799</v>
      </c>
      <c r="AZ19" s="588" t="n">
        <f aca="false">AZ5*-1</f>
        <v>7.06958805679811</v>
      </c>
      <c r="BA19" s="588" t="n">
        <f aca="false">BA5*-1</f>
        <v>8.43775969577482</v>
      </c>
      <c r="BB19" s="588" t="n">
        <f aca="false">BB5*-1</f>
        <v>8.71101791147049</v>
      </c>
      <c r="BC19" s="588" t="n">
        <f aca="false">BC5*-1</f>
        <v>7.43724949780314</v>
      </c>
      <c r="BD19" s="588" t="n">
        <f aca="false">BD5*-1</f>
        <v>4.38537099552661</v>
      </c>
      <c r="BE19" s="588" t="n">
        <f aca="false">BE5*-1</f>
        <v>8.80776741687642</v>
      </c>
      <c r="BF19" s="588" t="n">
        <f aca="false">BF5*-1</f>
        <v>8.9032721221293</v>
      </c>
      <c r="BG19" s="588" t="n">
        <f aca="false">BG5*-1</f>
        <v>14.3557764819963</v>
      </c>
      <c r="BH19" s="588" t="n">
        <f aca="false">BH5*-1</f>
        <v>11.9571805468251</v>
      </c>
      <c r="BI19" s="588" t="n">
        <f aca="false">BI5*-1</f>
        <v>8.01479093195427</v>
      </c>
      <c r="BJ19" s="588" t="n">
        <f aca="false">BJ5*-1</f>
        <v>8.96809602429329</v>
      </c>
      <c r="BK19" s="588" t="n">
        <f aca="false">BK5*-1</f>
        <v>1.87039677285588</v>
      </c>
      <c r="BL19" s="588" t="n">
        <f aca="false">BL5*-1</f>
        <v>2.73192905401447</v>
      </c>
      <c r="BM19" s="588" t="n">
        <f aca="false">BM5*-1</f>
        <v>3.06021384385452</v>
      </c>
      <c r="BN19" s="588" t="n">
        <f aca="false">BN5*-1</f>
        <v>3.22247046490708</v>
      </c>
      <c r="BO19" s="588" t="n">
        <f aca="false">BO5*-1</f>
        <v>3.07668827269066</v>
      </c>
      <c r="BP19" s="588" t="n">
        <f aca="false">BP5*-1</f>
        <v>2.46924544271063</v>
      </c>
      <c r="BQ19" s="588" t="n">
        <f aca="false">BQ5*-1</f>
        <v>2.21198882029736</v>
      </c>
      <c r="BR19" s="588" t="n">
        <f aca="false">BR5*-1</f>
        <v>2.35895874472291</v>
      </c>
      <c r="BS19" s="588" t="n">
        <f aca="false">BS5*-1</f>
        <v>2.95030524723456</v>
      </c>
      <c r="BT19" s="588" t="n">
        <f aca="false">BT5*-1</f>
        <v>2.9313718332932</v>
      </c>
      <c r="BU19" s="588" t="n">
        <f aca="false">BU5*-1</f>
        <v>2.49955354074011</v>
      </c>
      <c r="BV19" s="588" t="n">
        <f aca="false">BV5*-1</f>
        <v>2.36353386149936</v>
      </c>
      <c r="BW19" s="588" t="n">
        <f aca="false">BW5*-1</f>
        <v>88.7496360060778</v>
      </c>
      <c r="BX19" s="588" t="n">
        <f aca="false">BX5*-1</f>
        <v>91.8166517946121</v>
      </c>
      <c r="BY19" s="588" t="n">
        <f aca="false">BY5*-1</f>
        <v>97.5029374981401</v>
      </c>
      <c r="BZ19" s="588" t="n">
        <f aca="false">BZ5*-1</f>
        <v>97.8625492665679</v>
      </c>
      <c r="CA19" s="588" t="n">
        <f aca="false">CA5*-1</f>
        <v>95.1980648222743</v>
      </c>
      <c r="CB19" s="588" t="n">
        <f aca="false">CB5*-1</f>
        <v>91.3052462736541</v>
      </c>
      <c r="CC19" s="588" t="n">
        <f aca="false">CC5*-1</f>
        <v>85.8107996442539</v>
      </c>
      <c r="CD19" s="588" t="n">
        <f aca="false">CD5*-1</f>
        <v>87.1152166137397</v>
      </c>
      <c r="CE19" s="588" t="n">
        <f aca="false">CE5*-1</f>
        <v>93.1183960034275</v>
      </c>
      <c r="CF19" s="588" t="n">
        <f aca="false">CF5*-1</f>
        <v>94.1478123852299</v>
      </c>
      <c r="CG19" s="588" t="n">
        <f aca="false">CG5*-1</f>
        <v>91.4974093148122</v>
      </c>
      <c r="CH19" s="588" t="n">
        <f aca="false">CH5*-1</f>
        <v>88.5881457559445</v>
      </c>
      <c r="CI19" s="588" t="n">
        <f aca="false">CI5*-1</f>
        <v>90.7358018286408</v>
      </c>
      <c r="CJ19" s="588" t="n">
        <f aca="false">CJ5*-1</f>
        <v>93.9561533217258</v>
      </c>
      <c r="CK19" s="588" t="n">
        <f aca="false">CK5*-1</f>
        <v>100.331012327036</v>
      </c>
      <c r="CL19" s="588" t="n">
        <f aca="false">CL5*-1</f>
        <v>101.516762903013</v>
      </c>
      <c r="CM19" s="588" t="n">
        <f aca="false">CM5*-1</f>
        <v>98.1403679214099</v>
      </c>
      <c r="CN19" s="588" t="n">
        <f aca="false">CN5*-1</f>
        <v>93.4666403418408</v>
      </c>
      <c r="CO19" s="588" t="n">
        <f aca="false">CO5*-1</f>
        <v>90.3189833247488</v>
      </c>
      <c r="CP19" s="588" t="n">
        <f aca="false">CP5*-1</f>
        <v>91.9188457614014</v>
      </c>
      <c r="CQ19" s="588" t="n">
        <f aca="false">CQ5*-1</f>
        <v>99.7824360688718</v>
      </c>
      <c r="CR19" s="588" t="n">
        <f aca="false">CR5*-1</f>
        <v>101.117964176597</v>
      </c>
      <c r="CS19" s="588" t="n">
        <f aca="false">CS5*-1</f>
        <v>97.6376798433434</v>
      </c>
      <c r="CT19" s="588" t="n">
        <f aca="false">CT5*-1</f>
        <v>93.974757977275</v>
      </c>
      <c r="CU19" s="588" t="n">
        <f aca="false">CU5*-1</f>
        <v>90.3599655200464</v>
      </c>
      <c r="CV19" s="588" t="n">
        <f aca="false">CV5*-1</f>
        <v>93.3167761787802</v>
      </c>
      <c r="CW19" s="588" t="n">
        <f aca="false">CW5*-1</f>
        <v>98.7316042901546</v>
      </c>
      <c r="CX19" s="588" t="n">
        <f aca="false">CX5*-1</f>
        <v>99.552988648555</v>
      </c>
      <c r="CY19" s="588" t="n">
        <f aca="false">CY5*-1</f>
        <v>96.1361817726804</v>
      </c>
      <c r="CZ19" s="588" t="n">
        <f aca="false">CZ5*-1</f>
        <v>91.8061395251277</v>
      </c>
      <c r="DA19" s="588" t="n">
        <f aca="false">DA5*-1</f>
        <v>91.6613194079238</v>
      </c>
      <c r="DB19" s="588" t="n">
        <f aca="false">DB5*-1</f>
        <v>92.5197374870267</v>
      </c>
      <c r="DC19" s="588" t="n">
        <f aca="false">DC5*-1</f>
        <v>99.8685532019149</v>
      </c>
      <c r="DD19" s="588" t="n">
        <f aca="false">DD5*-1</f>
        <v>101.648698025508</v>
      </c>
      <c r="DE19" s="588" t="n">
        <f aca="false">DE5*-1</f>
        <v>98.4562170551986</v>
      </c>
      <c r="DF19" s="588" t="n">
        <f aca="false">DF5*-1</f>
        <v>95.4420579477906</v>
      </c>
      <c r="DG19" s="588" t="n">
        <f aca="false">DG5*-1</f>
        <v>86.6501406600057</v>
      </c>
      <c r="DH19" s="588" t="n">
        <f aca="false">DH5*-1</f>
        <v>93.0461086660189</v>
      </c>
      <c r="DI19" s="588" t="n">
        <f aca="false">DI5*-1</f>
        <v>98.3321115377577</v>
      </c>
      <c r="DJ19" s="588" t="n">
        <f aca="false">DJ5*-1</f>
        <v>99.0947543613562</v>
      </c>
      <c r="DK19" s="588" t="n">
        <f aca="false">DK5*-1</f>
        <v>94.7201488378427</v>
      </c>
      <c r="DL19" s="588" t="n">
        <f aca="false">DL5*-1</f>
        <v>88.8546535265847</v>
      </c>
      <c r="DM19" s="588" t="n">
        <f aca="false">DM5*-1</f>
        <v>95.0935216372144</v>
      </c>
      <c r="DN19" s="588" t="n">
        <f aca="false">DN5*-1</f>
        <v>96.7083521547164</v>
      </c>
      <c r="DO19" s="588" t="n">
        <f aca="false">DO5*-1</f>
        <v>107.70904484399</v>
      </c>
      <c r="DP19" s="588" t="n">
        <f aca="false">DP5*-1</f>
        <v>106.554740834102</v>
      </c>
      <c r="DQ19" s="588" t="n">
        <f aca="false">DQ5*-1</f>
        <v>99.5230992045764</v>
      </c>
      <c r="DR19" s="588" t="n">
        <f aca="false">DR5*-1</f>
        <v>97.0608122017185</v>
      </c>
      <c r="DS19" s="588" t="n">
        <f aca="false">DS5*-1</f>
        <v>83.1869769606556</v>
      </c>
      <c r="DT19" s="588" t="n">
        <f aca="false">DT5*-1</f>
        <v>88.0343671117252</v>
      </c>
      <c r="DU19" s="588" t="n">
        <f aca="false">DU5*-1</f>
        <v>91.5915830079301</v>
      </c>
      <c r="DV19" s="588" t="n">
        <f aca="false">DV5*-1</f>
        <v>92.256573161712</v>
      </c>
      <c r="DW19" s="588" t="n">
        <f aca="false">DW5*-1</f>
        <v>89.247883443684</v>
      </c>
      <c r="DX19" s="588" t="n">
        <f aca="false">DX5*-1</f>
        <v>85.1126939116503</v>
      </c>
      <c r="DY19" s="588" t="n">
        <f aca="false">DY5*-1</f>
        <v>87.9448123562694</v>
      </c>
      <c r="DZ19" s="588" t="n">
        <f aca="false">DZ5*-1</f>
        <v>89.3686532444193</v>
      </c>
      <c r="EA19" s="588" t="n">
        <f aca="false">EA5*-1</f>
        <v>94.0850461854944</v>
      </c>
      <c r="EB19" s="588" t="n">
        <f aca="false">EB5*-1</f>
        <v>94.5336206775425</v>
      </c>
      <c r="EC19" s="588" t="n">
        <f aca="false">EC5*-1</f>
        <v>91.5968185529063</v>
      </c>
      <c r="ED19" s="588" t="n">
        <f aca="false">ED5*-1</f>
        <v>89.2038762270325</v>
      </c>
      <c r="EE19" s="588" t="n">
        <f aca="false">EE5*-1</f>
        <v>80.6451708467149</v>
      </c>
      <c r="EF19" s="588" t="n">
        <f aca="false">EF5*-1</f>
        <v>85.9664839618469</v>
      </c>
      <c r="EG19" s="588" t="n">
        <f aca="false">EG5*-1</f>
        <v>89.491366638915</v>
      </c>
      <c r="EH19" s="588" t="n">
        <f aca="false">EH5*-1</f>
        <v>89.2982749094174</v>
      </c>
      <c r="EI19" s="588" t="n">
        <f aca="false">EI5*-1</f>
        <v>86.3223493555519</v>
      </c>
      <c r="EJ19" s="588" t="n">
        <f aca="false">EJ5*-1</f>
        <v>82.825330114893</v>
      </c>
      <c r="EK19" s="588" t="n">
        <f aca="false">EK5*-1</f>
        <v>82.3161498119594</v>
      </c>
      <c r="EL19" s="588" t="n">
        <f aca="false">EL5*-1</f>
        <v>84.1985577277818</v>
      </c>
      <c r="EM19" s="588" t="n">
        <f aca="false">EM5*-1</f>
        <v>88.0045528654565</v>
      </c>
      <c r="EN19" s="588" t="n">
        <f aca="false">EN5*-1</f>
        <v>87.6370285404552</v>
      </c>
      <c r="EO19" s="588" t="n">
        <f aca="false">EO5*-1</f>
        <v>85.6717313458821</v>
      </c>
      <c r="EP19" s="588" t="n">
        <f aca="false">EP5*-1</f>
        <v>84.0664642647206</v>
      </c>
    </row>
    <row r="20" customFormat="false" ht="12.75" hidden="false" customHeight="false" outlineLevel="0" collapsed="false">
      <c r="B20" s="586" t="n">
        <v>2002</v>
      </c>
      <c r="C20" s="588" t="n">
        <f aca="false">C6*-1</f>
        <v>76.1826494268017</v>
      </c>
      <c r="D20" s="588" t="n">
        <f aca="false">D6*-1</f>
        <v>82.6531449390523</v>
      </c>
      <c r="E20" s="588" t="n">
        <f aca="false">E6*-1</f>
        <v>86.0238937667321</v>
      </c>
      <c r="F20" s="588" t="n">
        <f aca="false">F6*-1</f>
        <v>85.8935275891282</v>
      </c>
      <c r="G20" s="588" t="n">
        <f aca="false">G6*-1</f>
        <v>82.490565782357</v>
      </c>
      <c r="H20" s="588" t="n">
        <f aca="false">H6*-1</f>
        <v>78.4687490128353</v>
      </c>
      <c r="I20" s="588" t="n">
        <f aca="false">I6*-1</f>
        <v>82.621063683994</v>
      </c>
      <c r="J20" s="588" t="n">
        <f aca="false">J6*-1</f>
        <v>84.9272399354476</v>
      </c>
      <c r="K20" s="588" t="n">
        <f aca="false">K6*-1</f>
        <v>90.268673892974</v>
      </c>
      <c r="L20" s="588" t="n">
        <f aca="false">L6*-1</f>
        <v>88.467271395986</v>
      </c>
      <c r="M20" s="588" t="n">
        <f aca="false">M6*-1</f>
        <v>85.3110672277725</v>
      </c>
      <c r="N20" s="588" t="n">
        <f aca="false">N6*-1</f>
        <v>83.5421496152287</v>
      </c>
      <c r="O20" s="588" t="n">
        <f aca="false">O6*-1</f>
        <v>75.2436333547664</v>
      </c>
      <c r="P20" s="588" t="n">
        <f aca="false">P6*-1</f>
        <v>81.4881142515453</v>
      </c>
      <c r="Q20" s="588" t="n">
        <f aca="false">Q6*-1</f>
        <v>84.4848703576612</v>
      </c>
      <c r="R20" s="588" t="n">
        <f aca="false">R6*-1</f>
        <v>83.9840365649222</v>
      </c>
      <c r="S20" s="588" t="n">
        <f aca="false">S6*-1</f>
        <v>80.5208012049657</v>
      </c>
      <c r="T20" s="588" t="n">
        <f aca="false">T6*-1</f>
        <v>76.7478640668607</v>
      </c>
      <c r="U20" s="588" t="n">
        <f aca="false">U6*-1</f>
        <v>82.5111819653888</v>
      </c>
      <c r="V20" s="588" t="n">
        <f aca="false">V6*-1</f>
        <v>84.1554652437771</v>
      </c>
      <c r="W20" s="588" t="n">
        <f aca="false">W6*-1</f>
        <v>89.3150872350913</v>
      </c>
      <c r="X20" s="588" t="n">
        <f aca="false">X6*-1</f>
        <v>86.9646021743985</v>
      </c>
      <c r="Y20" s="588" t="n">
        <f aca="false">Y6*-1</f>
        <v>84.3367680717018</v>
      </c>
      <c r="Z20" s="588" t="n">
        <f aca="false">Z6*-1</f>
        <v>83.4168822794435</v>
      </c>
      <c r="AA20" s="588" t="n">
        <f aca="false">AA6*-1</f>
        <v>70.558814918093</v>
      </c>
      <c r="AB20" s="588" t="n">
        <f aca="false">AB6*-1</f>
        <v>75.997815157179</v>
      </c>
      <c r="AC20" s="588" t="n">
        <f aca="false">AC6*-1</f>
        <v>80.0691215975178</v>
      </c>
      <c r="AD20" s="588" t="n">
        <f aca="false">AD6*-1</f>
        <v>81.0483026722251</v>
      </c>
      <c r="AE20" s="588" t="n">
        <f aca="false">AE6*-1</f>
        <v>77.9280899885643</v>
      </c>
      <c r="AF20" s="588" t="n">
        <f aca="false">AF6*-1</f>
        <v>74.1831135364672</v>
      </c>
      <c r="AG20" s="588" t="n">
        <f aca="false">AG6*-1</f>
        <v>77.8739446916701</v>
      </c>
      <c r="AH20" s="588" t="n">
        <f aca="false">AH6*-1</f>
        <v>78.9374522436547</v>
      </c>
      <c r="AI20" s="588" t="n">
        <f aca="false">AI6*-1</f>
        <v>83.1541970776421</v>
      </c>
      <c r="AJ20" s="588" t="n">
        <f aca="false">AJ6*-1</f>
        <v>81.8394258012198</v>
      </c>
      <c r="AK20" s="588" t="n">
        <f aca="false">AK6*-1</f>
        <v>79.8829693431299</v>
      </c>
      <c r="AL20" s="588" t="n">
        <f aca="false">AL6*-1</f>
        <v>78.4742679868265</v>
      </c>
      <c r="AM20" s="588" t="n">
        <f aca="false">AM6*-1</f>
        <v>78.411440817599</v>
      </c>
      <c r="AN20" s="588" t="n">
        <f aca="false">AN6*-1</f>
        <v>84.1391529866306</v>
      </c>
      <c r="AO20" s="588" t="n">
        <f aca="false">AO6*-1</f>
        <v>88.9429148047641</v>
      </c>
      <c r="AP20" s="588" t="n">
        <f aca="false">AP6*-1</f>
        <v>90.2632789724036</v>
      </c>
      <c r="AQ20" s="588" t="n">
        <f aca="false">AQ6*-1</f>
        <v>86.0804360179417</v>
      </c>
      <c r="AR20" s="588" t="n">
        <f aca="false">AR6*-1</f>
        <v>80.975827739805</v>
      </c>
      <c r="AS20" s="588" t="n">
        <f aca="false">AS6*-1</f>
        <v>85.5522572962228</v>
      </c>
      <c r="AT20" s="588" t="n">
        <f aca="false">AT6*-1</f>
        <v>86.8362158735952</v>
      </c>
      <c r="AU20" s="588" t="n">
        <f aca="false">AU6*-1</f>
        <v>92.9308604593557</v>
      </c>
      <c r="AV20" s="588" t="n">
        <f aca="false">AV6*-1</f>
        <v>91.0444845158234</v>
      </c>
      <c r="AW20" s="588" t="n">
        <f aca="false">AW6*-1</f>
        <v>87.2065599372327</v>
      </c>
      <c r="AX20" s="588" t="n">
        <f aca="false">AX6*-1</f>
        <v>86.0815450417055</v>
      </c>
      <c r="AY20" s="588" t="n">
        <f aca="false">AY6*-1</f>
        <v>84.051490924516</v>
      </c>
      <c r="AZ20" s="588" t="n">
        <f aca="false">AZ6*-1</f>
        <v>90.4730391590533</v>
      </c>
      <c r="BA20" s="588" t="n">
        <f aca="false">BA6*-1</f>
        <v>96.8141392465637</v>
      </c>
      <c r="BB20" s="588" t="n">
        <f aca="false">BB6*-1</f>
        <v>98.0274693492832</v>
      </c>
      <c r="BC20" s="588" t="n">
        <f aca="false">BC6*-1</f>
        <v>93.7201436054157</v>
      </c>
      <c r="BD20" s="588" t="n">
        <f aca="false">BD6*-1</f>
        <v>87.1920793204724</v>
      </c>
      <c r="BE20" s="588" t="n">
        <f aca="false">BE6*-1</f>
        <v>92.0913004684595</v>
      </c>
      <c r="BF20" s="588" t="n">
        <f aca="false">BF6*-1</f>
        <v>93.4908789354977</v>
      </c>
      <c r="BG20" s="588" t="n">
        <f aca="false">BG6*-1</f>
        <v>104.636078104071</v>
      </c>
      <c r="BH20" s="588" t="n">
        <f aca="false">BH6*-1</f>
        <v>102.384292862206</v>
      </c>
      <c r="BI20" s="588" t="n">
        <f aca="false">BI6*-1</f>
        <v>95.5829145397425</v>
      </c>
      <c r="BJ20" s="588" t="n">
        <f aca="false">BJ6*-1</f>
        <v>93.9769105734271</v>
      </c>
      <c r="BK20" s="588" t="n">
        <f aca="false">BK6*-1</f>
        <v>86.9425839131425</v>
      </c>
      <c r="BL20" s="588" t="n">
        <f aca="false">BL6*-1</f>
        <v>89.9906835258448</v>
      </c>
      <c r="BM20" s="588" t="n">
        <f aca="false">BM6*-1</f>
        <v>94.9466859088855</v>
      </c>
      <c r="BN20" s="588" t="n">
        <f aca="false">BN6*-1</f>
        <v>95.5003431176935</v>
      </c>
      <c r="BO20" s="588" t="n">
        <f aca="false">BO6*-1</f>
        <v>92.7634033862482</v>
      </c>
      <c r="BP20" s="588" t="n">
        <f aca="false">BP6*-1</f>
        <v>89.5531794074927</v>
      </c>
      <c r="BQ20" s="588" t="n">
        <f aca="false">BQ6*-1</f>
        <v>88.458600332037</v>
      </c>
      <c r="BR20" s="588" t="n">
        <f aca="false">BR6*-1</f>
        <v>89.4165462709088</v>
      </c>
      <c r="BS20" s="588" t="n">
        <f aca="false">BS6*-1</f>
        <v>94.0114031370742</v>
      </c>
      <c r="BT20" s="588" t="n">
        <f aca="false">BT6*-1</f>
        <v>94.8544073180614</v>
      </c>
      <c r="BU20" s="588" t="n">
        <f aca="false">BU6*-1</f>
        <v>92.6331723793343</v>
      </c>
      <c r="BV20" s="588" t="n">
        <f aca="false">BV6*-1</f>
        <v>89.7042370000708</v>
      </c>
      <c r="BW20" s="588" t="n">
        <f aca="false">BW6*-1</f>
        <v>88.7915137342184</v>
      </c>
      <c r="BX20" s="588" t="n">
        <f aca="false">BX6*-1</f>
        <v>91.9646847380724</v>
      </c>
      <c r="BY20" s="588" t="n">
        <f aca="false">BY6*-1</f>
        <v>97.6950280489228</v>
      </c>
      <c r="BZ20" s="588" t="n">
        <f aca="false">BZ6*-1</f>
        <v>98.0606137649424</v>
      </c>
      <c r="CA20" s="588" t="n">
        <f aca="false">CA6*-1</f>
        <v>95.3596292935087</v>
      </c>
      <c r="CB20" s="588" t="n">
        <f aca="false">CB6*-1</f>
        <v>91.3608036707848</v>
      </c>
      <c r="CC20" s="588" t="n">
        <f aca="false">CC6*-1</f>
        <v>86.1773372967257</v>
      </c>
      <c r="CD20" s="588" t="n">
        <f aca="false">CD6*-1</f>
        <v>87.4746187310675</v>
      </c>
      <c r="CE20" s="588" t="n">
        <f aca="false">CE6*-1</f>
        <v>93.9290144053846</v>
      </c>
      <c r="CF20" s="588" t="n">
        <f aca="false">CF6*-1</f>
        <v>94.7638417773233</v>
      </c>
      <c r="CG20" s="588" t="n">
        <f aca="false">CG6*-1</f>
        <v>91.799657713613</v>
      </c>
      <c r="CH20" s="588" t="n">
        <f aca="false">CH6*-1</f>
        <v>88.9523985973129</v>
      </c>
      <c r="CI20" s="588" t="n">
        <f aca="false">CI6*-1</f>
        <v>90.7339389388622</v>
      </c>
      <c r="CJ20" s="588" t="n">
        <f aca="false">CJ6*-1</f>
        <v>93.958576675392</v>
      </c>
      <c r="CK20" s="588" t="n">
        <f aca="false">CK6*-1</f>
        <v>100.332194694334</v>
      </c>
      <c r="CL20" s="588" t="n">
        <f aca="false">CL6*-1</f>
        <v>101.517150306385</v>
      </c>
      <c r="CM20" s="588" t="n">
        <f aca="false">CM6*-1</f>
        <v>98.139505819562</v>
      </c>
      <c r="CN20" s="588" t="n">
        <f aca="false">CN6*-1</f>
        <v>93.4645743496987</v>
      </c>
      <c r="CO20" s="588" t="n">
        <f aca="false">CO6*-1</f>
        <v>90.0953746189611</v>
      </c>
      <c r="CP20" s="588" t="n">
        <f aca="false">CP6*-1</f>
        <v>91.6990820553253</v>
      </c>
      <c r="CQ20" s="588" t="n">
        <f aca="false">CQ6*-1</f>
        <v>99.3522227295052</v>
      </c>
      <c r="CR20" s="588" t="n">
        <f aca="false">CR6*-1</f>
        <v>100.767832894604</v>
      </c>
      <c r="CS20" s="588" t="n">
        <f aca="false">CS6*-1</f>
        <v>97.4491123188042</v>
      </c>
      <c r="CT20" s="588" t="n">
        <f aca="false">CT6*-1</f>
        <v>93.7518887204766</v>
      </c>
      <c r="CU20" s="588" t="n">
        <f aca="false">CU6*-1</f>
        <v>90.6613126416582</v>
      </c>
      <c r="CV20" s="588" t="n">
        <f aca="false">CV6*-1</f>
        <v>94.2264569523164</v>
      </c>
      <c r="CW20" s="588" t="n">
        <f aca="false">CW6*-1</f>
        <v>99.8286110052409</v>
      </c>
      <c r="CX20" s="588" t="n">
        <f aca="false">CX6*-1</f>
        <v>100.688152833129</v>
      </c>
      <c r="CY20" s="588" t="n">
        <f aca="false">CY6*-1</f>
        <v>97.0700997386501</v>
      </c>
      <c r="CZ20" s="588" t="n">
        <f aca="false">CZ6*-1</f>
        <v>92.1911504481933</v>
      </c>
      <c r="DA20" s="588" t="n">
        <f aca="false">DA6*-1</f>
        <v>93.0779221917895</v>
      </c>
      <c r="DB20" s="588" t="n">
        <f aca="false">DB6*-1</f>
        <v>93.9598514087688</v>
      </c>
      <c r="DC20" s="588" t="n">
        <f aca="false">DC6*-1</f>
        <v>102.470967794651</v>
      </c>
      <c r="DD20" s="588" t="n">
        <f aca="false">DD6*-1</f>
        <v>103.693834482944</v>
      </c>
      <c r="DE20" s="588" t="n">
        <f aca="false">DE6*-1</f>
        <v>99.6818487351461</v>
      </c>
      <c r="DF20" s="588" t="n">
        <f aca="false">DF6*-1</f>
        <v>96.8573451122748</v>
      </c>
      <c r="DG20" s="588" t="n">
        <f aca="false">DG6*-1</f>
        <v>86.2124748354249</v>
      </c>
      <c r="DH20" s="588" t="n">
        <f aca="false">DH6*-1</f>
        <v>91.8838116588844</v>
      </c>
      <c r="DI20" s="588" t="n">
        <f aca="false">DI6*-1</f>
        <v>97.0206793366283</v>
      </c>
      <c r="DJ20" s="588" t="n">
        <f aca="false">DJ6*-1</f>
        <v>97.7578129072952</v>
      </c>
      <c r="DK20" s="588" t="n">
        <f aca="false">DK6*-1</f>
        <v>93.6495188100114</v>
      </c>
      <c r="DL20" s="588" t="n">
        <f aca="false">DL6*-1</f>
        <v>88.3181521744307</v>
      </c>
      <c r="DM20" s="588" t="n">
        <f aca="false">DM6*-1</f>
        <v>93.098088012152</v>
      </c>
      <c r="DN20" s="588" t="n">
        <f aca="false">DN6*-1</f>
        <v>94.605707145647</v>
      </c>
      <c r="DO20" s="588" t="n">
        <f aca="false">DO6*-1</f>
        <v>104.417468556195</v>
      </c>
      <c r="DP20" s="588" t="n">
        <f aca="false">DP6*-1</f>
        <v>103.89470564234</v>
      </c>
      <c r="DQ20" s="588" t="n">
        <f aca="false">DQ6*-1</f>
        <v>97.7162594394235</v>
      </c>
      <c r="DR20" s="588" t="n">
        <f aca="false">DR6*-1</f>
        <v>95.0577109361478</v>
      </c>
      <c r="DS20" s="588" t="n">
        <f aca="false">DS6*-1</f>
        <v>83.1898484669779</v>
      </c>
      <c r="DT20" s="588" t="n">
        <f aca="false">DT6*-1</f>
        <v>88.0421575806467</v>
      </c>
      <c r="DU20" s="588" t="n">
        <f aca="false">DU6*-1</f>
        <v>91.5956380146583</v>
      </c>
      <c r="DV20" s="588" t="n">
        <f aca="false">DV6*-1</f>
        <v>92.2590609987882</v>
      </c>
      <c r="DW20" s="588" t="n">
        <f aca="false">DW6*-1</f>
        <v>89.2491223437189</v>
      </c>
      <c r="DX20" s="588" t="n">
        <f aca="false">DX6*-1</f>
        <v>85.1157039991368</v>
      </c>
      <c r="DY20" s="588" t="n">
        <f aca="false">DY6*-1</f>
        <v>86.8936298484253</v>
      </c>
      <c r="DZ20" s="588" t="n">
        <f aca="false">DZ6*-1</f>
        <v>88.3132451257284</v>
      </c>
      <c r="EA20" s="588" t="n">
        <f aca="false">EA6*-1</f>
        <v>92.8571156152237</v>
      </c>
      <c r="EB20" s="588" t="n">
        <f aca="false">EB6*-1</f>
        <v>93.4811108216758</v>
      </c>
      <c r="EC20" s="588" t="n">
        <f aca="false">EC6*-1</f>
        <v>90.5820967536237</v>
      </c>
      <c r="ED20" s="588" t="n">
        <f aca="false">ED6*-1</f>
        <v>88.1496558045214</v>
      </c>
      <c r="EE20" s="588" t="n">
        <f aca="false">EE6*-1</f>
        <v>80.995465865002</v>
      </c>
      <c r="EF20" s="588" t="n">
        <f aca="false">EF6*-1</f>
        <v>86.6741347946467</v>
      </c>
      <c r="EG20" s="588" t="n">
        <f aca="false">EG6*-1</f>
        <v>90.1869066833971</v>
      </c>
      <c r="EH20" s="588" t="n">
        <f aca="false">EH6*-1</f>
        <v>89.9723651882681</v>
      </c>
      <c r="EI20" s="588" t="n">
        <f aca="false">EI6*-1</f>
        <v>86.8865631023123</v>
      </c>
      <c r="EJ20" s="588" t="n">
        <f aca="false">EJ6*-1</f>
        <v>83.2169273928888</v>
      </c>
      <c r="EK20" s="588" t="n">
        <f aca="false">EK6*-1</f>
        <v>83.9431177578355</v>
      </c>
      <c r="EL20" s="588" t="n">
        <f aca="false">EL6*-1</f>
        <v>85.8699585511413</v>
      </c>
      <c r="EM20" s="588" t="n">
        <f aca="false">EM6*-1</f>
        <v>89.9905188575068</v>
      </c>
      <c r="EN20" s="588" t="n">
        <f aca="false">EN6*-1</f>
        <v>89.3010068628077</v>
      </c>
      <c r="EO20" s="588" t="n">
        <f aca="false">EO6*-1</f>
        <v>87.2307103148892</v>
      </c>
      <c r="EP20" s="588" t="n">
        <f aca="false">EP6*-1</f>
        <v>85.6930335858532</v>
      </c>
    </row>
    <row r="21" customFormat="false" ht="12.75" hidden="false" customHeight="false" outlineLevel="0" collapsed="false">
      <c r="B21" s="586" t="n">
        <v>2003</v>
      </c>
      <c r="C21" s="588" t="n">
        <f aca="false">C7*-1</f>
        <v>75.7449917562492</v>
      </c>
      <c r="D21" s="588" t="n">
        <f aca="false">D7*-1</f>
        <v>81.7531926200543</v>
      </c>
      <c r="E21" s="588" t="n">
        <f aca="false">E7*-1</f>
        <v>85.1374465602503</v>
      </c>
      <c r="F21" s="588" t="n">
        <f aca="false">F7*-1</f>
        <v>85.0299992725448</v>
      </c>
      <c r="G21" s="588" t="n">
        <f aca="false">G7*-1</f>
        <v>81.7770259576872</v>
      </c>
      <c r="H21" s="588" t="n">
        <f aca="false">H7*-1</f>
        <v>77.9796513087332</v>
      </c>
      <c r="I21" s="588" t="n">
        <f aca="false">I7*-1</f>
        <v>81.2475610149187</v>
      </c>
      <c r="J21" s="588" t="n">
        <f aca="false">J7*-1</f>
        <v>83.4994442968639</v>
      </c>
      <c r="K21" s="588" t="n">
        <f aca="false">K7*-1</f>
        <v>88.5444462309903</v>
      </c>
      <c r="L21" s="588" t="n">
        <f aca="false">L7*-1</f>
        <v>87.0380811579351</v>
      </c>
      <c r="M21" s="588" t="n">
        <f aca="false">M7*-1</f>
        <v>83.9875982203803</v>
      </c>
      <c r="N21" s="588" t="n">
        <f aca="false">N7*-1</f>
        <v>82.1598312386582</v>
      </c>
      <c r="O21" s="588" t="n">
        <f aca="false">O7*-1</f>
        <v>74.3993351951903</v>
      </c>
      <c r="P21" s="588" t="n">
        <f aca="false">P7*-1</f>
        <v>79.774135498212</v>
      </c>
      <c r="Q21" s="588" t="n">
        <f aca="false">Q7*-1</f>
        <v>82.7819736228894</v>
      </c>
      <c r="R21" s="588" t="n">
        <f aca="false">R7*-1</f>
        <v>82.3190893581444</v>
      </c>
      <c r="S21" s="588" t="n">
        <f aca="false">S7*-1</f>
        <v>79.178500124408</v>
      </c>
      <c r="T21" s="588" t="n">
        <f aca="false">T7*-1</f>
        <v>75.8047824116296</v>
      </c>
      <c r="U21" s="588" t="n">
        <f aca="false">U7*-1</f>
        <v>79.7827848927427</v>
      </c>
      <c r="V21" s="588" t="n">
        <f aca="false">V7*-1</f>
        <v>81.3889251542665</v>
      </c>
      <c r="W21" s="588" t="n">
        <f aca="false">W7*-1</f>
        <v>85.9639638153618</v>
      </c>
      <c r="X21" s="588" t="n">
        <f aca="false">X7*-1</f>
        <v>84.163017298376</v>
      </c>
      <c r="Y21" s="588" t="n">
        <f aca="false">Y7*-1</f>
        <v>81.7793478586524</v>
      </c>
      <c r="Z21" s="588" t="n">
        <f aca="false">Z7*-1</f>
        <v>80.6689640550699</v>
      </c>
      <c r="AA21" s="588" t="n">
        <f aca="false">AA7*-1</f>
        <v>70.1303880721152</v>
      </c>
      <c r="AB21" s="588" t="n">
        <f aca="false">AB7*-1</f>
        <v>75.1185915181663</v>
      </c>
      <c r="AC21" s="588" t="n">
        <f aca="false">AC7*-1</f>
        <v>79.1774078887634</v>
      </c>
      <c r="AD21" s="588" t="n">
        <f aca="false">AD7*-1</f>
        <v>80.1745638565432</v>
      </c>
      <c r="AE21" s="588" t="n">
        <f aca="false">AE7*-1</f>
        <v>77.2259710749257</v>
      </c>
      <c r="AF21" s="588" t="n">
        <f aca="false">AF7*-1</f>
        <v>73.6998923771871</v>
      </c>
      <c r="AG21" s="588" t="n">
        <f aca="false">AG7*-1</f>
        <v>76.6555086458179</v>
      </c>
      <c r="AH21" s="588" t="n">
        <f aca="false">AH7*-1</f>
        <v>77.7491576262708</v>
      </c>
      <c r="AI21" s="588" t="n">
        <f aca="false">AI7*-1</f>
        <v>81.730722727509</v>
      </c>
      <c r="AJ21" s="588" t="n">
        <f aca="false">AJ7*-1</f>
        <v>80.6393650022017</v>
      </c>
      <c r="AK21" s="588" t="n">
        <f aca="false">AK7*-1</f>
        <v>78.7479448356043</v>
      </c>
      <c r="AL21" s="588" t="n">
        <f aca="false">AL7*-1</f>
        <v>77.2545208617047</v>
      </c>
      <c r="AM21" s="588" t="n">
        <f aca="false">AM7*-1</f>
        <v>84.5278324690853</v>
      </c>
      <c r="AN21" s="588" t="n">
        <f aca="false">AN7*-1</f>
        <v>92.7724238419467</v>
      </c>
      <c r="AO21" s="588" t="n">
        <f aca="false">AO7*-1</f>
        <v>102.70556745241</v>
      </c>
      <c r="AP21" s="588" t="n">
        <f aca="false">AP7*-1</f>
        <v>105.179254355782</v>
      </c>
      <c r="AQ21" s="588" t="n">
        <f aca="false">AQ7*-1</f>
        <v>98.3589374228537</v>
      </c>
      <c r="AR21" s="588" t="n">
        <f aca="false">AR7*-1</f>
        <v>88.4671001726605</v>
      </c>
      <c r="AS21" s="588" t="n">
        <f aca="false">AS7*-1</f>
        <v>89.5903234989604</v>
      </c>
      <c r="AT21" s="588" t="n">
        <f aca="false">AT7*-1</f>
        <v>91.0475118660325</v>
      </c>
      <c r="AU21" s="588" t="n">
        <f aca="false">AU7*-1</f>
        <v>97.7918250180905</v>
      </c>
      <c r="AV21" s="588" t="n">
        <f aca="false">AV7*-1</f>
        <v>96.880235392369</v>
      </c>
      <c r="AW21" s="588" t="n">
        <f aca="false">AW7*-1</f>
        <v>92.0721962597927</v>
      </c>
      <c r="AX21" s="588" t="n">
        <f aca="false">AX7*-1</f>
        <v>90.3323062000908</v>
      </c>
      <c r="AY21" s="588" t="n">
        <f aca="false">AY7*-1</f>
        <v>90.3579464704178</v>
      </c>
      <c r="AZ21" s="588" t="n">
        <f aca="false">AZ7*-1</f>
        <v>100.270807983324</v>
      </c>
      <c r="BA21" s="588" t="n">
        <f aca="false">BA7*-1</f>
        <v>112.564201992346</v>
      </c>
      <c r="BB21" s="588" t="n">
        <f aca="false">BB7*-1</f>
        <v>115.138999657993</v>
      </c>
      <c r="BC21" s="588" t="n">
        <f aca="false">BC7*-1</f>
        <v>107.698933393132</v>
      </c>
      <c r="BD21" s="588" t="n">
        <f aca="false">BD7*-1</f>
        <v>95.0677758163938</v>
      </c>
      <c r="BE21" s="588" t="n">
        <f aca="false">BE7*-1</f>
        <v>96.1875868180314</v>
      </c>
      <c r="BF21" s="588" t="n">
        <f aca="false">BF7*-1</f>
        <v>97.6375652180184</v>
      </c>
      <c r="BG21" s="588" t="n">
        <f aca="false">BG7*-1</f>
        <v>109.434342928591</v>
      </c>
      <c r="BH21" s="588" t="n">
        <f aca="false">BH7*-1</f>
        <v>108.649006498097</v>
      </c>
      <c r="BI21" s="588" t="n">
        <f aca="false">BI7*-1</f>
        <v>100.726078267221</v>
      </c>
      <c r="BJ21" s="588" t="n">
        <f aca="false">BJ7*-1</f>
        <v>98.2794253471804</v>
      </c>
      <c r="BK21" s="588" t="n">
        <f aca="false">BK7*-1</f>
        <v>93.2988516057129</v>
      </c>
      <c r="BL21" s="588" t="n">
        <f aca="false">BL7*-1</f>
        <v>102.449214074272</v>
      </c>
      <c r="BM21" s="588" t="n">
        <f aca="false">BM7*-1</f>
        <v>115.057696184991</v>
      </c>
      <c r="BN21" s="588" t="n">
        <f aca="false">BN7*-1</f>
        <v>116.767986799213</v>
      </c>
      <c r="BO21" s="588" t="n">
        <f aca="false">BO7*-1</f>
        <v>109.86033021031</v>
      </c>
      <c r="BP21" s="588" t="n">
        <f aca="false">BP7*-1</f>
        <v>97.911698800724</v>
      </c>
      <c r="BQ21" s="588" t="n">
        <f aca="false">BQ7*-1</f>
        <v>94.8556974771458</v>
      </c>
      <c r="BR21" s="588" t="n">
        <f aca="false">BR7*-1</f>
        <v>95.7740248367299</v>
      </c>
      <c r="BS21" s="588" t="n">
        <f aca="false">BS7*-1</f>
        <v>103.452826996994</v>
      </c>
      <c r="BT21" s="588" t="n">
        <f aca="false">BT7*-1</f>
        <v>104.645131499239</v>
      </c>
      <c r="BU21" s="588" t="n">
        <f aca="false">BU7*-1</f>
        <v>99.9692439074494</v>
      </c>
      <c r="BV21" s="588" t="n">
        <f aca="false">BV7*-1</f>
        <v>96.4481162822434</v>
      </c>
      <c r="BW21" s="588" t="n">
        <f aca="false">BW7*-1</f>
        <v>95.6831248909712</v>
      </c>
      <c r="BX21" s="588" t="n">
        <f aca="false">BX7*-1</f>
        <v>105.000243489248</v>
      </c>
      <c r="BY21" s="588" t="n">
        <f aca="false">BY7*-1</f>
        <v>117.809754491156</v>
      </c>
      <c r="BZ21" s="588" t="n">
        <f aca="false">BZ7*-1</f>
        <v>119.01354443982</v>
      </c>
      <c r="CA21" s="588" t="n">
        <f aca="false">CA7*-1</f>
        <v>112.426707876601</v>
      </c>
      <c r="CB21" s="588" t="n">
        <f aca="false">CB7*-1</f>
        <v>100.107505675134</v>
      </c>
      <c r="CC21" s="588" t="n">
        <f aca="false">CC7*-1</f>
        <v>92.0609474702369</v>
      </c>
      <c r="CD21" s="588" t="n">
        <f aca="false">CD7*-1</f>
        <v>93.3498315379245</v>
      </c>
      <c r="CE21" s="588" t="n">
        <f aca="false">CE7*-1</f>
        <v>102.055431404349</v>
      </c>
      <c r="CF21" s="588" t="n">
        <f aca="false">CF7*-1</f>
        <v>103.614061000409</v>
      </c>
      <c r="CG21" s="588" t="n">
        <f aca="false">CG7*-1</f>
        <v>98.5164259743552</v>
      </c>
      <c r="CH21" s="588" t="n">
        <f aca="false">CH7*-1</f>
        <v>95.0338575061006</v>
      </c>
      <c r="CI21" s="588" t="n">
        <f aca="false">CI7*-1</f>
        <v>97.6166809515836</v>
      </c>
      <c r="CJ21" s="588" t="n">
        <f aca="false">CJ7*-1</f>
        <v>106.816556638609</v>
      </c>
      <c r="CK21" s="588" t="n">
        <f aca="false">CK7*-1</f>
        <v>120.572990511672</v>
      </c>
      <c r="CL21" s="588" t="n">
        <f aca="false">CL7*-1</f>
        <v>122.705200477893</v>
      </c>
      <c r="CM21" s="588" t="n">
        <f aca="false">CM7*-1</f>
        <v>115.261436868307</v>
      </c>
      <c r="CN21" s="588" t="n">
        <f aca="false">CN7*-1</f>
        <v>102.22985883498</v>
      </c>
      <c r="CO21" s="588" t="n">
        <f aca="false">CO7*-1</f>
        <v>96.0170797482616</v>
      </c>
      <c r="CP21" s="588" t="n">
        <f aca="false">CP7*-1</f>
        <v>97.6615678366506</v>
      </c>
      <c r="CQ21" s="588" t="n">
        <f aca="false">CQ7*-1</f>
        <v>107.575786094704</v>
      </c>
      <c r="CR21" s="588" t="n">
        <f aca="false">CR7*-1</f>
        <v>109.639657421812</v>
      </c>
      <c r="CS21" s="588" t="n">
        <f aca="false">CS7*-1</f>
        <v>104.242387336121</v>
      </c>
      <c r="CT21" s="588" t="n">
        <f aca="false">CT7*-1</f>
        <v>100.003640269605</v>
      </c>
      <c r="CU21" s="588" t="n">
        <f aca="false">CU7*-1</f>
        <v>98.8964902484057</v>
      </c>
      <c r="CV21" s="588" t="n">
        <f aca="false">CV7*-1</f>
        <v>108.283465638199</v>
      </c>
      <c r="CW21" s="588" t="n">
        <f aca="false">CW7*-1</f>
        <v>120.821975519052</v>
      </c>
      <c r="CX21" s="588" t="n">
        <f aca="false">CX7*-1</f>
        <v>122.896076088114</v>
      </c>
      <c r="CY21" s="588" t="n">
        <f aca="false">CY7*-1</f>
        <v>115.314718744876</v>
      </c>
      <c r="CZ21" s="588" t="n">
        <f aca="false">CZ7*-1</f>
        <v>102.386990874476</v>
      </c>
      <c r="DA21" s="588" t="n">
        <f aca="false">DA7*-1</f>
        <v>104.022824300147</v>
      </c>
      <c r="DB21" s="588" t="n">
        <f aca="false">DB7*-1</f>
        <v>104.908706053024</v>
      </c>
      <c r="DC21" s="588" t="n">
        <f aca="false">DC7*-1</f>
        <v>118.567788359335</v>
      </c>
      <c r="DD21" s="588" t="n">
        <f aca="false">DD7*-1</f>
        <v>119.088123797943</v>
      </c>
      <c r="DE21" s="588" t="n">
        <f aca="false">DE7*-1</f>
        <v>110.891758237484</v>
      </c>
      <c r="DF21" s="588" t="n">
        <f aca="false">DF7*-1</f>
        <v>108.02232204592</v>
      </c>
      <c r="DG21" s="588" t="n">
        <f aca="false">DG7*-1</f>
        <v>92.3606832535418</v>
      </c>
      <c r="DH21" s="588" t="n">
        <f aca="false">DH7*-1</f>
        <v>102.226062959926</v>
      </c>
      <c r="DI21" s="588" t="n">
        <f aca="false">DI7*-1</f>
        <v>113.550421383462</v>
      </c>
      <c r="DJ21" s="588" t="n">
        <f aca="false">DJ7*-1</f>
        <v>115.615669694779</v>
      </c>
      <c r="DK21" s="588" t="n">
        <f aca="false">DK7*-1</f>
        <v>108.146325379231</v>
      </c>
      <c r="DL21" s="588" t="n">
        <f aca="false">DL7*-1</f>
        <v>96.2236528382684</v>
      </c>
      <c r="DM21" s="588" t="n">
        <f aca="false">DM7*-1</f>
        <v>98.6607738409893</v>
      </c>
      <c r="DN21" s="588" t="n">
        <f aca="false">DN7*-1</f>
        <v>100.172252754777</v>
      </c>
      <c r="DO21" s="588" t="n">
        <f aca="false">DO7*-1</f>
        <v>111.740929257257</v>
      </c>
      <c r="DP21" s="588" t="n">
        <f aca="false">DP7*-1</f>
        <v>111.880146388784</v>
      </c>
      <c r="DQ21" s="588" t="n">
        <f aca="false">DQ7*-1</f>
        <v>104.011611220295</v>
      </c>
      <c r="DR21" s="588" t="n">
        <f aca="false">DR7*-1</f>
        <v>100.839320861744</v>
      </c>
      <c r="DS21" s="588" t="n">
        <f aca="false">DS7*-1</f>
        <v>90.8627083098754</v>
      </c>
      <c r="DT21" s="588" t="n">
        <f aca="false">DT7*-1</f>
        <v>99.923057558702</v>
      </c>
      <c r="DU21" s="588" t="n">
        <f aca="false">DU7*-1</f>
        <v>108.362464154524</v>
      </c>
      <c r="DV21" s="588" t="n">
        <f aca="false">DV7*-1</f>
        <v>109.782082287813</v>
      </c>
      <c r="DW21" s="588" t="n">
        <f aca="false">DW7*-1</f>
        <v>103.70952336275</v>
      </c>
      <c r="DX21" s="588" t="n">
        <f aca="false">DX7*-1</f>
        <v>94.3705650853601</v>
      </c>
      <c r="DY21" s="588" t="n">
        <f aca="false">DY7*-1</f>
        <v>94.1893870429725</v>
      </c>
      <c r="DZ21" s="588" t="n">
        <f aca="false">DZ7*-1</f>
        <v>95.6050977785857</v>
      </c>
      <c r="EA21" s="588" t="n">
        <f aca="false">EA7*-1</f>
        <v>101.651912337947</v>
      </c>
      <c r="EB21" s="588" t="n">
        <f aca="false">EB7*-1</f>
        <v>102.586641475855</v>
      </c>
      <c r="EC21" s="588" t="n">
        <f aca="false">EC7*-1</f>
        <v>98.4044041212106</v>
      </c>
      <c r="ED21" s="588" t="n">
        <f aca="false">ED7*-1</f>
        <v>95.569336068895</v>
      </c>
      <c r="EE21" s="588" t="n">
        <f aca="false">EE7*-1</f>
        <v>87.8613619416893</v>
      </c>
      <c r="EF21" s="588" t="n">
        <f aca="false">EF7*-1</f>
        <v>97.9417750208006</v>
      </c>
      <c r="EG21" s="588" t="n">
        <f aca="false">EG7*-1</f>
        <v>106.274552553979</v>
      </c>
      <c r="EH21" s="588" t="n">
        <f aca="false">EH7*-1</f>
        <v>106.654100949883</v>
      </c>
      <c r="EI21" s="588" t="n">
        <f aca="false">EI7*-1</f>
        <v>100.568316734057</v>
      </c>
      <c r="EJ21" s="588" t="n">
        <f aca="false">EJ7*-1</f>
        <v>91.7037805218683</v>
      </c>
      <c r="EK21" s="588" t="n">
        <f aca="false">EK7*-1</f>
        <v>92.2054151777797</v>
      </c>
      <c r="EL21" s="588" t="n">
        <f aca="false">EL7*-1</f>
        <v>94.2567234196719</v>
      </c>
      <c r="EM21" s="588" t="n">
        <f aca="false">EM7*-1</f>
        <v>100.34707205773</v>
      </c>
      <c r="EN21" s="588" t="n">
        <f aca="false">EN7*-1</f>
        <v>99.3783772888647</v>
      </c>
      <c r="EO21" s="588" t="n">
        <f aca="false">EO7*-1</f>
        <v>95.9017205223757</v>
      </c>
      <c r="EP21" s="588" t="n">
        <f aca="false">EP7*-1</f>
        <v>94.0636922945876</v>
      </c>
    </row>
    <row r="22" customFormat="false" ht="12.75" hidden="false" customHeight="false" outlineLevel="0" collapsed="false">
      <c r="B22" s="586" t="n">
        <v>2004</v>
      </c>
      <c r="C22" s="588" t="n">
        <f aca="false">C8*-1</f>
        <v>83.9530411370267</v>
      </c>
      <c r="D22" s="588" t="n">
        <f aca="false">D8*-1</f>
        <v>94.2438893392583</v>
      </c>
      <c r="E22" s="588" t="n">
        <f aca="false">E8*-1</f>
        <v>103.019897742482</v>
      </c>
      <c r="F22" s="588" t="n">
        <f aca="false">F8*-1</f>
        <v>104.708431095665</v>
      </c>
      <c r="G22" s="588" t="n">
        <f aca="false">G8*-1</f>
        <v>98.4739460306025</v>
      </c>
      <c r="H22" s="588" t="n">
        <f aca="false">H8*-1</f>
        <v>88.3942835179573</v>
      </c>
      <c r="I22" s="588" t="n">
        <f aca="false">I8*-1</f>
        <v>88.163219835334</v>
      </c>
      <c r="J22" s="588" t="n">
        <f aca="false">J8*-1</f>
        <v>90.4560038366321</v>
      </c>
      <c r="K22" s="588" t="n">
        <f aca="false">K8*-1</f>
        <v>97.3991316671892</v>
      </c>
      <c r="L22" s="588" t="n">
        <f aca="false">L8*-1</f>
        <v>97.8294236048539</v>
      </c>
      <c r="M22" s="588" t="n">
        <f aca="false">M8*-1</f>
        <v>92.7817657077771</v>
      </c>
      <c r="N22" s="588" t="n">
        <f aca="false">N8*-1</f>
        <v>89.230284394098</v>
      </c>
      <c r="O22" s="588" t="n">
        <f aca="false">O8*-1</f>
        <v>82.5787498045417</v>
      </c>
      <c r="P22" s="588" t="n">
        <f aca="false">P8*-1</f>
        <v>92.4181451005949</v>
      </c>
      <c r="Q22" s="588" t="n">
        <f aca="false">Q8*-1</f>
        <v>101.03779002141</v>
      </c>
      <c r="R22" s="588" t="n">
        <f aca="false">R8*-1</f>
        <v>102.416318101459</v>
      </c>
      <c r="S22" s="588" t="n">
        <f aca="false">S8*-1</f>
        <v>96.2999330270866</v>
      </c>
      <c r="T22" s="588" t="n">
        <f aca="false">T8*-1</f>
        <v>86.3234375238026</v>
      </c>
      <c r="U22" s="588" t="n">
        <f aca="false">U8*-1</f>
        <v>87.1224777051101</v>
      </c>
      <c r="V22" s="588" t="n">
        <f aca="false">V8*-1</f>
        <v>88.7465956638688</v>
      </c>
      <c r="W22" s="588" t="n">
        <f aca="false">W8*-1</f>
        <v>95.2014547299748</v>
      </c>
      <c r="X22" s="588" t="n">
        <f aca="false">X8*-1</f>
        <v>95.3887339248727</v>
      </c>
      <c r="Y22" s="588" t="n">
        <f aca="false">Y8*-1</f>
        <v>91.0553547868969</v>
      </c>
      <c r="Z22" s="588" t="n">
        <f aca="false">Z8*-1</f>
        <v>88.0885170061346</v>
      </c>
      <c r="AA22" s="588" t="n">
        <f aca="false">AA8*-1</f>
        <v>78.2227814500916</v>
      </c>
      <c r="AB22" s="588" t="n">
        <f aca="false">AB8*-1</f>
        <v>86.5574680119396</v>
      </c>
      <c r="AC22" s="588" t="n">
        <f aca="false">AC8*-1</f>
        <v>96.5464448536265</v>
      </c>
      <c r="AD22" s="588" t="n">
        <f aca="false">AD8*-1</f>
        <v>99.6933302358254</v>
      </c>
      <c r="AE22" s="588" t="n">
        <f aca="false">AE8*-1</f>
        <v>94.0430606239067</v>
      </c>
      <c r="AF22" s="588" t="n">
        <f aca="false">AF8*-1</f>
        <v>84.0525285101665</v>
      </c>
      <c r="AG22" s="588" t="n">
        <f aca="false">AG8*-1</f>
        <v>87.4960665754547</v>
      </c>
      <c r="AH22" s="588" t="n">
        <f aca="false">AH8*-1</f>
        <v>88.5656368231795</v>
      </c>
      <c r="AI22" s="588" t="n">
        <f aca="false">AI8*-1</f>
        <v>94.9314205806998</v>
      </c>
      <c r="AJ22" s="588" t="n">
        <f aca="false">AJ8*-1</f>
        <v>95.4261840424439</v>
      </c>
      <c r="AK22" s="588" t="n">
        <f aca="false">AK8*-1</f>
        <v>91.3626207213652</v>
      </c>
      <c r="AL22" s="588" t="n">
        <f aca="false">AL8*-1</f>
        <v>88.2576932630724</v>
      </c>
      <c r="AM22" s="588" t="n">
        <f aca="false">AM8*-1</f>
        <v>85.2632128129031</v>
      </c>
      <c r="AN22" s="588" t="n">
        <f aca="false">AN8*-1</f>
        <v>93.3029297873168</v>
      </c>
      <c r="AO22" s="588" t="n">
        <f aca="false">AO8*-1</f>
        <v>103.941397573564</v>
      </c>
      <c r="AP22" s="588" t="n">
        <f aca="false">AP8*-1</f>
        <v>107.827997416388</v>
      </c>
      <c r="AQ22" s="588" t="n">
        <f aca="false">AQ8*-1</f>
        <v>101.133322801597</v>
      </c>
      <c r="AR22" s="588" t="n">
        <f aca="false">AR8*-1</f>
        <v>89.9493768228312</v>
      </c>
      <c r="AS22" s="588" t="n">
        <f aca="false">AS8*-1</f>
        <v>89.7564380897605</v>
      </c>
      <c r="AT22" s="588" t="n">
        <f aca="false">AT8*-1</f>
        <v>91.2523569209769</v>
      </c>
      <c r="AU22" s="588" t="n">
        <f aca="false">AU8*-1</f>
        <v>98.1612113839871</v>
      </c>
      <c r="AV22" s="588" t="n">
        <f aca="false">AV8*-1</f>
        <v>99.1707179083641</v>
      </c>
      <c r="AW22" s="588" t="n">
        <f aca="false">AW8*-1</f>
        <v>93.8812345508346</v>
      </c>
      <c r="AX22" s="588" t="n">
        <f aca="false">AX8*-1</f>
        <v>90.4785893951108</v>
      </c>
      <c r="AY22" s="588" t="n">
        <f aca="false">AY8*-1</f>
        <v>91.1998341978501</v>
      </c>
      <c r="AZ22" s="588" t="n">
        <f aca="false">AZ8*-1</f>
        <v>100.668817103502</v>
      </c>
      <c r="BA22" s="588" t="n">
        <f aca="false">BA8*-1</f>
        <v>113.628363013788</v>
      </c>
      <c r="BB22" s="588" t="n">
        <f aca="false">BB8*-1</f>
        <v>117.707199696767</v>
      </c>
      <c r="BC22" s="588" t="n">
        <f aca="false">BC8*-1</f>
        <v>110.442209705707</v>
      </c>
      <c r="BD22" s="588" t="n">
        <f aca="false">BD8*-1</f>
        <v>96.714553281585</v>
      </c>
      <c r="BE22" s="588" t="n">
        <f aca="false">BE8*-1</f>
        <v>95.5989741921142</v>
      </c>
      <c r="BF22" s="588" t="n">
        <f aca="false">BF8*-1</f>
        <v>97.0439942082487</v>
      </c>
      <c r="BG22" s="588" t="n">
        <f aca="false">BG8*-1</f>
        <v>108.097982947467</v>
      </c>
      <c r="BH22" s="588" t="n">
        <f aca="false">BH8*-1</f>
        <v>109.714875113007</v>
      </c>
      <c r="BI22" s="588" t="n">
        <f aca="false">BI8*-1</f>
        <v>102.190352776636</v>
      </c>
      <c r="BJ22" s="588" t="n">
        <f aca="false">BJ8*-1</f>
        <v>97.8491903401376</v>
      </c>
      <c r="BK22" s="588" t="n">
        <f aca="false">BK8*-1</f>
        <v>94.8612999559533</v>
      </c>
      <c r="BL22" s="588" t="n">
        <f aca="false">BL8*-1</f>
        <v>104.009601934788</v>
      </c>
      <c r="BM22" s="588" t="n">
        <f aca="false">BM8*-1</f>
        <v>117.484909871933</v>
      </c>
      <c r="BN22" s="588" t="n">
        <f aca="false">BN8*-1</f>
        <v>120.490141064229</v>
      </c>
      <c r="BO22" s="588" t="n">
        <f aca="false">BO8*-1</f>
        <v>113.670166241988</v>
      </c>
      <c r="BP22" s="588" t="n">
        <f aca="false">BP8*-1</f>
        <v>100.384898386171</v>
      </c>
      <c r="BQ22" s="588" t="n">
        <f aca="false">BQ8*-1</f>
        <v>96.5699219551036</v>
      </c>
      <c r="BR22" s="588" t="n">
        <f aca="false">BR8*-1</f>
        <v>97.4634788390226</v>
      </c>
      <c r="BS22" s="588" t="n">
        <f aca="false">BS8*-1</f>
        <v>105.960918554394</v>
      </c>
      <c r="BT22" s="588" t="n">
        <f aca="false">BT8*-1</f>
        <v>108.788039084506</v>
      </c>
      <c r="BU22" s="588" t="n">
        <f aca="false">BU8*-1</f>
        <v>103.644743118213</v>
      </c>
      <c r="BV22" s="588" t="n">
        <f aca="false">BV8*-1</f>
        <v>98.588073864146</v>
      </c>
      <c r="BW22" s="588" t="n">
        <f aca="false">BW8*-1</f>
        <v>97.6640550132466</v>
      </c>
      <c r="BX22" s="588" t="n">
        <f aca="false">BX8*-1</f>
        <v>107.00186543627</v>
      </c>
      <c r="BY22" s="588" t="n">
        <f aca="false">BY8*-1</f>
        <v>120.665083042937</v>
      </c>
      <c r="BZ22" s="588" t="n">
        <f aca="false">BZ8*-1</f>
        <v>122.982689550901</v>
      </c>
      <c r="CA22" s="588" t="n">
        <f aca="false">CA8*-1</f>
        <v>116.531967574417</v>
      </c>
      <c r="CB22" s="588" t="n">
        <f aca="false">CB8*-1</f>
        <v>102.983686191271</v>
      </c>
      <c r="CC22" s="588" t="n">
        <f aca="false">CC8*-1</f>
        <v>93.7226044112713</v>
      </c>
      <c r="CD22" s="588" t="n">
        <f aca="false">CD8*-1</f>
        <v>95.0062608658006</v>
      </c>
      <c r="CE22" s="588" t="n">
        <f aca="false">CE8*-1</f>
        <v>104.306246087209</v>
      </c>
      <c r="CF22" s="588" t="n">
        <f aca="false">CF8*-1</f>
        <v>107.417651603461</v>
      </c>
      <c r="CG22" s="588" t="n">
        <f aca="false">CG8*-1</f>
        <v>101.948876312125</v>
      </c>
      <c r="CH22" s="588" t="n">
        <f aca="false">CH8*-1</f>
        <v>96.8851191790715</v>
      </c>
      <c r="CI22" s="588" t="n">
        <f aca="false">CI8*-1</f>
        <v>99.4473693825273</v>
      </c>
      <c r="CJ22" s="588" t="n">
        <f aca="false">CJ8*-1</f>
        <v>108.62679501697</v>
      </c>
      <c r="CK22" s="588" t="n">
        <f aca="false">CK8*-1</f>
        <v>123.334424100382</v>
      </c>
      <c r="CL22" s="588" t="n">
        <f aca="false">CL8*-1</f>
        <v>126.653370812041</v>
      </c>
      <c r="CM22" s="588" t="n">
        <f aca="false">CM8*-1</f>
        <v>119.305688788499</v>
      </c>
      <c r="CN22" s="588" t="n">
        <f aca="false">CN8*-1</f>
        <v>104.965192403578</v>
      </c>
      <c r="CO22" s="588" t="n">
        <f aca="false">CO8*-1</f>
        <v>97.8323790268485</v>
      </c>
      <c r="CP22" s="588" t="n">
        <f aca="false">CP8*-1</f>
        <v>99.3849165934888</v>
      </c>
      <c r="CQ22" s="588" t="n">
        <f aca="false">CQ8*-1</f>
        <v>109.993997316244</v>
      </c>
      <c r="CR22" s="588" t="n">
        <f aca="false">CR8*-1</f>
        <v>113.584068546483</v>
      </c>
      <c r="CS22" s="588" t="n">
        <f aca="false">CS8*-1</f>
        <v>107.677828474675</v>
      </c>
      <c r="CT22" s="588" t="n">
        <f aca="false">CT8*-1</f>
        <v>102.065517988842</v>
      </c>
      <c r="CU22" s="588" t="n">
        <f aca="false">CU8*-1</f>
        <v>100.10984215701</v>
      </c>
      <c r="CV22" s="588" t="n">
        <f aca="false">CV8*-1</f>
        <v>109.146122336465</v>
      </c>
      <c r="CW22" s="588" t="n">
        <f aca="false">CW8*-1</f>
        <v>122.39360648984</v>
      </c>
      <c r="CX22" s="588" t="n">
        <f aca="false">CX8*-1</f>
        <v>125.992982948114</v>
      </c>
      <c r="CY22" s="588" t="n">
        <f aca="false">CY8*-1</f>
        <v>118.525267715628</v>
      </c>
      <c r="CZ22" s="588" t="n">
        <f aca="false">CZ8*-1</f>
        <v>104.486715790297</v>
      </c>
      <c r="DA22" s="588" t="n">
        <f aca="false">DA8*-1</f>
        <v>104.689496617297</v>
      </c>
      <c r="DB22" s="588" t="n">
        <f aca="false">DB8*-1</f>
        <v>105.452238799866</v>
      </c>
      <c r="DC22" s="588" t="n">
        <f aca="false">DC8*-1</f>
        <v>118.990023218745</v>
      </c>
      <c r="DD22" s="588" t="n">
        <f aca="false">DD8*-1</f>
        <v>121.62312278989</v>
      </c>
      <c r="DE22" s="588" t="n">
        <f aca="false">DE8*-1</f>
        <v>113.259320540347</v>
      </c>
      <c r="DF22" s="588" t="n">
        <f aca="false">DF8*-1</f>
        <v>108.766512456882</v>
      </c>
      <c r="DG22" s="588" t="n">
        <f aca="false">DG8*-1</f>
        <v>93.3357416102862</v>
      </c>
      <c r="DH22" s="588" t="n">
        <f aca="false">DH8*-1</f>
        <v>103.260776987066</v>
      </c>
      <c r="DI22" s="588" t="n">
        <f aca="false">DI8*-1</f>
        <v>115.389614634397</v>
      </c>
      <c r="DJ22" s="588" t="n">
        <f aca="false">DJ8*-1</f>
        <v>118.988373566536</v>
      </c>
      <c r="DK22" s="588" t="n">
        <f aca="false">DK8*-1</f>
        <v>111.495755190364</v>
      </c>
      <c r="DL22" s="588" t="n">
        <f aca="false">DL8*-1</f>
        <v>98.1261415405052</v>
      </c>
      <c r="DM22" s="588" t="n">
        <f aca="false">DM8*-1</f>
        <v>97.4473609845296</v>
      </c>
      <c r="DN22" s="588" t="n">
        <f aca="false">DN8*-1</f>
        <v>98.8092146336116</v>
      </c>
      <c r="DO22" s="588" t="n">
        <f aca="false">DO8*-1</f>
        <v>109.468252718873</v>
      </c>
      <c r="DP22" s="588" t="n">
        <f aca="false">DP8*-1</f>
        <v>112.187774979743</v>
      </c>
      <c r="DQ22" s="588" t="n">
        <f aca="false">DQ8*-1</f>
        <v>104.673134167326</v>
      </c>
      <c r="DR22" s="588" t="n">
        <f aca="false">DR8*-1</f>
        <v>99.7512029607431</v>
      </c>
      <c r="DS22" s="588" t="n">
        <f aca="false">DS8*-1</f>
        <v>91.4321132155121</v>
      </c>
      <c r="DT22" s="588" t="n">
        <f aca="false">DT8*-1</f>
        <v>100.094307835815</v>
      </c>
      <c r="DU22" s="588" t="n">
        <f aca="false">DU8*-1</f>
        <v>109.267983607931</v>
      </c>
      <c r="DV22" s="588" t="n">
        <f aca="false">DV8*-1</f>
        <v>112.096681134636</v>
      </c>
      <c r="DW22" s="588" t="n">
        <f aca="false">DW8*-1</f>
        <v>106.241965235685</v>
      </c>
      <c r="DX22" s="588" t="n">
        <f aca="false">DX8*-1</f>
        <v>95.7036986852477</v>
      </c>
      <c r="DY22" s="588" t="n">
        <f aca="false">DY8*-1</f>
        <v>96.30598087963</v>
      </c>
      <c r="DZ22" s="588" t="n">
        <f aca="false">DZ8*-1</f>
        <v>97.7224155371766</v>
      </c>
      <c r="EA22" s="588" t="n">
        <f aca="false">EA8*-1</f>
        <v>104.266270581955</v>
      </c>
      <c r="EB22" s="588" t="n">
        <f aca="false">EB8*-1</f>
        <v>106.757464419012</v>
      </c>
      <c r="EC22" s="588" t="n">
        <f aca="false">EC8*-1</f>
        <v>101.960466683031</v>
      </c>
      <c r="ED22" s="588" t="n">
        <f aca="false">ED8*-1</f>
        <v>97.7111894258047</v>
      </c>
      <c r="EE22" s="588" t="n">
        <f aca="false">EE8*-1</f>
        <v>88.541618222603</v>
      </c>
      <c r="EF22" s="588" t="n">
        <f aca="false">EF8*-1</f>
        <v>98.380957319978</v>
      </c>
      <c r="EG22" s="588" t="n">
        <f aca="false">EG8*-1</f>
        <v>107.468976066325</v>
      </c>
      <c r="EH22" s="588" t="n">
        <f aca="false">EH8*-1</f>
        <v>109.050201992539</v>
      </c>
      <c r="EI22" s="588" t="n">
        <f aca="false">EI8*-1</f>
        <v>103.145702268919</v>
      </c>
      <c r="EJ22" s="588" t="n">
        <f aca="false">EJ8*-1</f>
        <v>93.1764686142174</v>
      </c>
      <c r="EK22" s="588" t="n">
        <f aca="false">EK8*-1</f>
        <v>93.6111695717457</v>
      </c>
      <c r="EL22" s="588" t="n">
        <f aca="false">EL8*-1</f>
        <v>95.684261394337</v>
      </c>
      <c r="EM22" s="588" t="n">
        <f aca="false">EM8*-1</f>
        <v>102.17594129353</v>
      </c>
      <c r="EN22" s="588" t="n">
        <f aca="false">EN8*-1</f>
        <v>102.766965024419</v>
      </c>
      <c r="EO22" s="588" t="n">
        <f aca="false">EO8*-1</f>
        <v>98.6370273258235</v>
      </c>
      <c r="EP22" s="588" t="n">
        <f aca="false">EP8*-1</f>
        <v>95.4858094827248</v>
      </c>
    </row>
    <row r="23" customFormat="false" ht="12.75" hidden="false" customHeight="false" outlineLevel="0" collapsed="false">
      <c r="B23" s="586" t="n">
        <v>2005</v>
      </c>
      <c r="C23" s="588" t="n">
        <f aca="false">C9*-1</f>
        <v>83.9406113787584</v>
      </c>
      <c r="D23" s="588" t="n">
        <f aca="false">D9*-1</f>
        <v>94.2183316689761</v>
      </c>
      <c r="E23" s="588" t="n">
        <f aca="false">E9*-1</f>
        <v>102.99472306676</v>
      </c>
      <c r="F23" s="588" t="n">
        <f aca="false">F9*-1</f>
        <v>104.683914348816</v>
      </c>
      <c r="G23" s="588" t="n">
        <f aca="false">G9*-1</f>
        <v>98.4536869999944</v>
      </c>
      <c r="H23" s="588" t="n">
        <f aca="false">H9*-1</f>
        <v>88.380394585652</v>
      </c>
      <c r="I23" s="588" t="n">
        <f aca="false">I9*-1</f>
        <v>88.1297169584356</v>
      </c>
      <c r="J23" s="588" t="n">
        <f aca="false">J9*-1</f>
        <v>90.4211730999598</v>
      </c>
      <c r="K23" s="588" t="n">
        <f aca="false">K9*-1</f>
        <v>97.3570724828202</v>
      </c>
      <c r="L23" s="588" t="n">
        <f aca="false">L9*-1</f>
        <v>97.7945591372728</v>
      </c>
      <c r="M23" s="588" t="n">
        <f aca="false">M9*-1</f>
        <v>92.7494737245761</v>
      </c>
      <c r="N23" s="588" t="n">
        <f aca="false">N9*-1</f>
        <v>89.1965633368875</v>
      </c>
      <c r="O23" s="588" t="n">
        <f aca="false">O9*-1</f>
        <v>82.3359879680542</v>
      </c>
      <c r="P23" s="588" t="n">
        <f aca="false">P9*-1</f>
        <v>91.9403223548767</v>
      </c>
      <c r="Q23" s="588" t="n">
        <f aca="false">Q9*-1</f>
        <v>100.561221535533</v>
      </c>
      <c r="R23" s="588" t="n">
        <f aca="false">R9*-1</f>
        <v>101.949643510913</v>
      </c>
      <c r="S23" s="588" t="n">
        <f aca="false">S9*-1</f>
        <v>95.9209585577268</v>
      </c>
      <c r="T23" s="588" t="n">
        <f aca="false">T9*-1</f>
        <v>86.0534526146228</v>
      </c>
      <c r="U23" s="588" t="n">
        <f aca="false">U9*-1</f>
        <v>87.5064067575649</v>
      </c>
      <c r="V23" s="588" t="n">
        <f aca="false">V9*-1</f>
        <v>89.1358105639</v>
      </c>
      <c r="W23" s="588" t="n">
        <f aca="false">W9*-1</f>
        <v>95.6753693471047</v>
      </c>
      <c r="X23" s="588" t="n">
        <f aca="false">X9*-1</f>
        <v>95.7817811419572</v>
      </c>
      <c r="Y23" s="588" t="n">
        <f aca="false">Y9*-1</f>
        <v>91.4133485520183</v>
      </c>
      <c r="Z23" s="588" t="n">
        <f aca="false">Z9*-1</f>
        <v>88.4751261863759</v>
      </c>
      <c r="AA23" s="588" t="n">
        <f aca="false">AA9*-1</f>
        <v>78.2432960465112</v>
      </c>
      <c r="AB23" s="588" t="n">
        <f aca="false">AB9*-1</f>
        <v>86.5995642945092</v>
      </c>
      <c r="AC23" s="588" t="n">
        <f aca="false">AC9*-1</f>
        <v>96.5891409197345</v>
      </c>
      <c r="AD23" s="588" t="n">
        <f aca="false">AD9*-1</f>
        <v>99.7351611771988</v>
      </c>
      <c r="AE23" s="588" t="n">
        <f aca="false">AE9*-1</f>
        <v>94.0766792660268</v>
      </c>
      <c r="AF23" s="588" t="n">
        <f aca="false">AF9*-1</f>
        <v>84.0756703870222</v>
      </c>
      <c r="AG23" s="588" t="n">
        <f aca="false">AG9*-1</f>
        <v>87.5759426257977</v>
      </c>
      <c r="AH23" s="588" t="n">
        <f aca="false">AH9*-1</f>
        <v>88.6435363167605</v>
      </c>
      <c r="AI23" s="588" t="n">
        <f aca="false">AI9*-1</f>
        <v>95.0247355110304</v>
      </c>
      <c r="AJ23" s="588" t="n">
        <f aca="false">AJ9*-1</f>
        <v>95.5048522414636</v>
      </c>
      <c r="AK23" s="588" t="n">
        <f aca="false">AK9*-1</f>
        <v>91.4370260394556</v>
      </c>
      <c r="AL23" s="588" t="n">
        <f aca="false">AL9*-1</f>
        <v>88.3376538522415</v>
      </c>
      <c r="AM23" s="588" t="n">
        <f aca="false">AM9*-1</f>
        <v>85.2129370754719</v>
      </c>
      <c r="AN23" s="588" t="n">
        <f aca="false">AN9*-1</f>
        <v>93.1981306021158</v>
      </c>
      <c r="AO23" s="588" t="n">
        <f aca="false">AO9*-1</f>
        <v>103.826638779653</v>
      </c>
      <c r="AP23" s="588" t="n">
        <f aca="false">AP9*-1</f>
        <v>107.710401618156</v>
      </c>
      <c r="AQ23" s="588" t="n">
        <f aca="false">AQ9*-1</f>
        <v>101.043827600102</v>
      </c>
      <c r="AR23" s="588" t="n">
        <f aca="false">AR9*-1</f>
        <v>89.8921145793164</v>
      </c>
      <c r="AS23" s="588" t="n">
        <f aca="false">AS9*-1</f>
        <v>88.2288358720971</v>
      </c>
      <c r="AT23" s="588" t="n">
        <f aca="false">AT9*-1</f>
        <v>89.7428376178563</v>
      </c>
      <c r="AU23" s="588" t="n">
        <f aca="false">AU9*-1</f>
        <v>96.2468259778254</v>
      </c>
      <c r="AV23" s="588" t="n">
        <f aca="false">AV9*-1</f>
        <v>97.5507128296869</v>
      </c>
      <c r="AW23" s="588" t="n">
        <f aca="false">AW9*-1</f>
        <v>92.5480437145813</v>
      </c>
      <c r="AX23" s="588" t="n">
        <f aca="false">AX9*-1</f>
        <v>88.9565045353204</v>
      </c>
      <c r="AY23" s="588" t="n">
        <f aca="false">AY9*-1</f>
        <v>90.9753793979965</v>
      </c>
      <c r="AZ23" s="588" t="n">
        <f aca="false">AZ9*-1</f>
        <v>100.050100352115</v>
      </c>
      <c r="BA23" s="588" t="n">
        <f aca="false">BA9*-1</f>
        <v>112.857937477461</v>
      </c>
      <c r="BB23" s="588" t="n">
        <f aca="false">BB9*-1</f>
        <v>116.920455667358</v>
      </c>
      <c r="BC23" s="588" t="n">
        <f aca="false">BC9*-1</f>
        <v>109.815784654658</v>
      </c>
      <c r="BD23" s="588" t="n">
        <f aca="false">BD9*-1</f>
        <v>96.4349517214634</v>
      </c>
      <c r="BE23" s="588" t="n">
        <f aca="false">BE9*-1</f>
        <v>95.6486005644148</v>
      </c>
      <c r="BF23" s="588" t="n">
        <f aca="false">BF9*-1</f>
        <v>97.0927152155764</v>
      </c>
      <c r="BG23" s="588" t="n">
        <f aca="false">BG9*-1</f>
        <v>108.181886298802</v>
      </c>
      <c r="BH23" s="588" t="n">
        <f aca="false">BH9*-1</f>
        <v>109.781397584326</v>
      </c>
      <c r="BI23" s="588" t="n">
        <f aca="false">BI9*-1</f>
        <v>102.231629266167</v>
      </c>
      <c r="BJ23" s="588" t="n">
        <f aca="false">BJ9*-1</f>
        <v>97.8985395571398</v>
      </c>
      <c r="BK23" s="588" t="n">
        <f aca="false">BK9*-1</f>
        <v>94.8489299401283</v>
      </c>
      <c r="BL23" s="588" t="n">
        <f aca="false">BL9*-1</f>
        <v>103.968056416541</v>
      </c>
      <c r="BM23" s="588" t="n">
        <f aca="false">BM9*-1</f>
        <v>117.430282867099</v>
      </c>
      <c r="BN23" s="588" t="n">
        <f aca="false">BN9*-1</f>
        <v>120.432868079816</v>
      </c>
      <c r="BO23" s="588" t="n">
        <f aca="false">BO9*-1</f>
        <v>113.623681625441</v>
      </c>
      <c r="BP23" s="588" t="n">
        <f aca="false">BP9*-1</f>
        <v>100.36885186712</v>
      </c>
      <c r="BQ23" s="588" t="n">
        <f aca="false">BQ9*-1</f>
        <v>96.4922262615029</v>
      </c>
      <c r="BR23" s="588" t="n">
        <f aca="false">BR9*-1</f>
        <v>97.3902301980276</v>
      </c>
      <c r="BS23" s="588" t="n">
        <f aca="false">BS9*-1</f>
        <v>105.835112824073</v>
      </c>
      <c r="BT23" s="588" t="n">
        <f aca="false">BT9*-1</f>
        <v>108.685284467938</v>
      </c>
      <c r="BU23" s="588" t="n">
        <f aca="false">BU9*-1</f>
        <v>103.580495054599</v>
      </c>
      <c r="BV23" s="588" t="n">
        <f aca="false">BV9*-1</f>
        <v>98.5132898602107</v>
      </c>
      <c r="BW23" s="588" t="n">
        <f aca="false">BW9*-1</f>
        <v>97.6304249878762</v>
      </c>
      <c r="BX23" s="588" t="n">
        <f aca="false">BX9*-1</f>
        <v>106.890298364011</v>
      </c>
      <c r="BY23" s="588" t="n">
        <f aca="false">BY9*-1</f>
        <v>120.519048471696</v>
      </c>
      <c r="BZ23" s="588" t="n">
        <f aca="false">BZ9*-1</f>
        <v>122.831496076938</v>
      </c>
      <c r="CA23" s="588" t="n">
        <f aca="false">CA9*-1</f>
        <v>116.407690952795</v>
      </c>
      <c r="CB23" s="588" t="n">
        <f aca="false">CB9*-1</f>
        <v>102.939465361709</v>
      </c>
      <c r="CC23" s="588" t="n">
        <f aca="false">CC9*-1</f>
        <v>93.5305137974118</v>
      </c>
      <c r="CD23" s="588" t="n">
        <f aca="false">CD9*-1</f>
        <v>94.8177003924078</v>
      </c>
      <c r="CE23" s="588" t="n">
        <f aca="false">CE9*-1</f>
        <v>103.882012723402</v>
      </c>
      <c r="CF23" s="588" t="n">
        <f aca="false">CF9*-1</f>
        <v>107.09357721948</v>
      </c>
      <c r="CG23" s="588" t="n">
        <f aca="false">CG9*-1</f>
        <v>101.789107565229</v>
      </c>
      <c r="CH23" s="588" t="n">
        <f aca="false">CH9*-1</f>
        <v>96.6940944970971</v>
      </c>
      <c r="CI23" s="588" t="n">
        <f aca="false">CI9*-1</f>
        <v>99.4043304906856</v>
      </c>
      <c r="CJ23" s="588" t="n">
        <f aca="false">CJ9*-1</f>
        <v>108.480927612328</v>
      </c>
      <c r="CK23" s="588" t="n">
        <f aca="false">CK9*-1</f>
        <v>123.14069385641</v>
      </c>
      <c r="CL23" s="588" t="n">
        <f aca="false">CL9*-1</f>
        <v>126.45230284592</v>
      </c>
      <c r="CM23" s="588" t="n">
        <f aca="false">CM9*-1</f>
        <v>119.14305059032</v>
      </c>
      <c r="CN23" s="588" t="n">
        <f aca="false">CN9*-1</f>
        <v>104.90804483343</v>
      </c>
      <c r="CO23" s="588" t="n">
        <f aca="false">CO9*-1</f>
        <v>97.6907811808141</v>
      </c>
      <c r="CP23" s="588" t="n">
        <f aca="false">CP9*-1</f>
        <v>99.2459164736316</v>
      </c>
      <c r="CQ23" s="588" t="n">
        <f aca="false">CQ9*-1</f>
        <v>109.721397385038</v>
      </c>
      <c r="CR23" s="588" t="n">
        <f aca="false">CR9*-1</f>
        <v>113.364125856227</v>
      </c>
      <c r="CS23" s="588" t="n">
        <f aca="false">CS9*-1</f>
        <v>107.560055312446</v>
      </c>
      <c r="CT23" s="588" t="n">
        <f aca="false">CT9*-1</f>
        <v>101.924703116502</v>
      </c>
      <c r="CU23" s="588" t="n">
        <f aca="false">CU9*-1</f>
        <v>100.034358346396</v>
      </c>
      <c r="CV23" s="588" t="n">
        <f aca="false">CV9*-1</f>
        <v>108.919741715306</v>
      </c>
      <c r="CW23" s="588" t="n">
        <f aca="false">CW9*-1</f>
        <v>122.119813367173</v>
      </c>
      <c r="CX23" s="588" t="n">
        <f aca="false">CX9*-1</f>
        <v>125.709318489142</v>
      </c>
      <c r="CY23" s="588" t="n">
        <f aca="false">CY9*-1</f>
        <v>118.291692145784</v>
      </c>
      <c r="CZ23" s="588" t="n">
        <f aca="false">CZ9*-1</f>
        <v>104.390277882794</v>
      </c>
      <c r="DA23" s="588" t="n">
        <f aca="false">DA9*-1</f>
        <v>104.369693182814</v>
      </c>
      <c r="DB23" s="588" t="n">
        <f aca="false">DB9*-1</f>
        <v>105.127168981931</v>
      </c>
      <c r="DC23" s="588" t="n">
        <f aca="false">DC9*-1</f>
        <v>118.402436719235</v>
      </c>
      <c r="DD23" s="588" t="n">
        <f aca="false">DD9*-1</f>
        <v>121.160529318784</v>
      </c>
      <c r="DE23" s="588" t="n">
        <f aca="false">DE9*-1</f>
        <v>112.982163307315</v>
      </c>
      <c r="DF23" s="588" t="n">
        <f aca="false">DF9*-1</f>
        <v>108.446979735252</v>
      </c>
      <c r="DG23" s="588" t="n">
        <f aca="false">DG9*-1</f>
        <v>93.2511400734913</v>
      </c>
      <c r="DH23" s="588" t="n">
        <f aca="false">DH9*-1</f>
        <v>103.035446288329</v>
      </c>
      <c r="DI23" s="588" t="n">
        <f aca="false">DI9*-1</f>
        <v>115.136057866663</v>
      </c>
      <c r="DJ23" s="588" t="n">
        <f aca="false">DJ9*-1</f>
        <v>118.73015676057</v>
      </c>
      <c r="DK23" s="588" t="n">
        <f aca="false">DK9*-1</f>
        <v>111.289147177583</v>
      </c>
      <c r="DL23" s="588" t="n">
        <f aca="false">DL9*-1</f>
        <v>98.0224561165572</v>
      </c>
      <c r="DM23" s="588" t="n">
        <f aca="false">DM9*-1</f>
        <v>97.1645497399907</v>
      </c>
      <c r="DN23" s="588" t="n">
        <f aca="false">DN9*-1</f>
        <v>98.5111955388131</v>
      </c>
      <c r="DO23" s="588" t="n">
        <f aca="false">DO9*-1</f>
        <v>109.001941735151</v>
      </c>
      <c r="DP23" s="588" t="n">
        <f aca="false">DP9*-1</f>
        <v>111.811433592821</v>
      </c>
      <c r="DQ23" s="588" t="n">
        <f aca="false">DQ9*-1</f>
        <v>104.417329941503</v>
      </c>
      <c r="DR23" s="588" t="n">
        <f aca="false">DR9*-1</f>
        <v>99.4673271765367</v>
      </c>
      <c r="DS23" s="588" t="n">
        <f aca="false">DS9*-1</f>
        <v>91.2740930640964</v>
      </c>
      <c r="DT23" s="588" t="n">
        <f aca="false">DT9*-1</f>
        <v>99.7826263400083</v>
      </c>
      <c r="DU23" s="588" t="n">
        <f aca="false">DU9*-1</f>
        <v>108.955885289144</v>
      </c>
      <c r="DV23" s="588" t="n">
        <f aca="false">DV9*-1</f>
        <v>111.793866794009</v>
      </c>
      <c r="DW23" s="588" t="n">
        <f aca="false">DW9*-1</f>
        <v>105.99051269823</v>
      </c>
      <c r="DX23" s="588" t="n">
        <f aca="false">DX9*-1</f>
        <v>95.5268773246837</v>
      </c>
      <c r="DY23" s="588" t="n">
        <f aca="false">DY9*-1</f>
        <v>95.8306865646235</v>
      </c>
      <c r="DZ23" s="588" t="n">
        <f aca="false">DZ9*-1</f>
        <v>97.2451906008822</v>
      </c>
      <c r="EA23" s="588" t="n">
        <f aca="false">EA9*-1</f>
        <v>103.712159135344</v>
      </c>
      <c r="EB23" s="588" t="n">
        <f aca="false">EB9*-1</f>
        <v>106.283719832676</v>
      </c>
      <c r="EC23" s="588" t="n">
        <f aca="false">EC9*-1</f>
        <v>101.502313937567</v>
      </c>
      <c r="ED23" s="588" t="n">
        <f aca="false">ED9*-1</f>
        <v>97.2345244869844</v>
      </c>
      <c r="EE23" s="588" t="n">
        <f aca="false">EE9*-1</f>
        <v>88.4663939695413</v>
      </c>
      <c r="EF23" s="588" t="n">
        <f aca="false">EF9*-1</f>
        <v>98.2294262789379</v>
      </c>
      <c r="EG23" s="588" t="n">
        <f aca="false">EG9*-1</f>
        <v>107.319257423547</v>
      </c>
      <c r="EH23" s="588" t="n">
        <f aca="false">EH9*-1</f>
        <v>108.904922752438</v>
      </c>
      <c r="EI23" s="588" t="n">
        <f aca="false">EI9*-1</f>
        <v>103.0238302514</v>
      </c>
      <c r="EJ23" s="588" t="n">
        <f aca="false">EJ9*-1</f>
        <v>93.0923351144762</v>
      </c>
      <c r="EK23" s="588" t="n">
        <f aca="false">EK9*-1</f>
        <v>91.149773598057</v>
      </c>
      <c r="EL23" s="588" t="n">
        <f aca="false">EL9*-1</f>
        <v>93.1556831431083</v>
      </c>
      <c r="EM23" s="588" t="n">
        <f aca="false">EM9*-1</f>
        <v>99.1680033871549</v>
      </c>
      <c r="EN23" s="588" t="n">
        <f aca="false">EN9*-1</f>
        <v>100.24311849282</v>
      </c>
      <c r="EO23" s="588" t="n">
        <f aca="false">EO9*-1</f>
        <v>96.2764405796764</v>
      </c>
      <c r="EP23" s="588" t="n">
        <f aca="false">EP9*-1</f>
        <v>93.0250355609865</v>
      </c>
    </row>
    <row r="24" customFormat="false" ht="12.75" hidden="false" customHeight="false" outlineLevel="0" collapsed="false">
      <c r="B24" s="586" t="n">
        <v>2006</v>
      </c>
      <c r="C24" s="588" t="n">
        <f aca="false">C10*-1</f>
        <v>83.8778601822449</v>
      </c>
      <c r="D24" s="588" t="n">
        <f aca="false">D10*-1</f>
        <v>94.0892882378403</v>
      </c>
      <c r="E24" s="588" t="n">
        <f aca="false">E10*-1</f>
        <v>102.867621437696</v>
      </c>
      <c r="F24" s="588" t="n">
        <f aca="false">F10*-1</f>
        <v>104.560097794499</v>
      </c>
      <c r="G24" s="588" t="n">
        <f aca="false">G10*-1</f>
        <v>98.3513801008154</v>
      </c>
      <c r="H24" s="588" t="n">
        <f aca="false">H10*-1</f>
        <v>88.3102605325306</v>
      </c>
      <c r="I24" s="588" t="n">
        <f aca="false">I10*-1</f>
        <v>87.9605256641175</v>
      </c>
      <c r="J24" s="588" t="n">
        <f aca="false">J10*-1</f>
        <v>90.2452994952633</v>
      </c>
      <c r="K24" s="588" t="n">
        <f aca="false">K10*-1</f>
        <v>97.1446748010189</v>
      </c>
      <c r="L24" s="588" t="n">
        <f aca="false">L10*-1</f>
        <v>97.6185113231456</v>
      </c>
      <c r="M24" s="588" t="n">
        <f aca="false">M10*-1</f>
        <v>92.5864496918221</v>
      </c>
      <c r="N24" s="588" t="n">
        <f aca="false">N10*-1</f>
        <v>89.0262888164796</v>
      </c>
      <c r="O24" s="588" t="n">
        <f aca="false">O10*-1</f>
        <v>82.2264176745743</v>
      </c>
      <c r="P24" s="588" t="n">
        <f aca="false">P10*-1</f>
        <v>91.7178813474087</v>
      </c>
      <c r="Q24" s="588" t="n">
        <f aca="false">Q10*-1</f>
        <v>100.340222701997</v>
      </c>
      <c r="R24" s="588" t="n">
        <f aca="false">R10*-1</f>
        <v>101.733572383621</v>
      </c>
      <c r="S24" s="588" t="n">
        <f aca="false">S10*-1</f>
        <v>95.7467541520507</v>
      </c>
      <c r="T24" s="588" t="n">
        <f aca="false">T10*-1</f>
        <v>85.9310574108607</v>
      </c>
      <c r="U24" s="588" t="n">
        <f aca="false">U10*-1</f>
        <v>87.1523195713687</v>
      </c>
      <c r="V24" s="588" t="n">
        <f aca="false">V10*-1</f>
        <v>88.7767716716992</v>
      </c>
      <c r="W24" s="588" t="n">
        <f aca="false">W10*-1</f>
        <v>95.2404652822896</v>
      </c>
      <c r="X24" s="588" t="n">
        <f aca="false">X10*-1</f>
        <v>95.418190575952</v>
      </c>
      <c r="Y24" s="588" t="n">
        <f aca="false">Y10*-1</f>
        <v>91.0814460135297</v>
      </c>
      <c r="Z24" s="588" t="n">
        <f aca="false">Z10*-1</f>
        <v>88.1184993269748</v>
      </c>
      <c r="AA24" s="588" t="n">
        <f aca="false">AA10*-1</f>
        <v>78.2555587464791</v>
      </c>
      <c r="AB24" s="588" t="n">
        <f aca="false">AB10*-1</f>
        <v>86.6247341617675</v>
      </c>
      <c r="AC24" s="588" t="n">
        <f aca="false">AC10*-1</f>
        <v>96.6146619241818</v>
      </c>
      <c r="AD24" s="588" t="n">
        <f aca="false">AD10*-1</f>
        <v>99.7601773445597</v>
      </c>
      <c r="AE24" s="588" t="n">
        <f aca="false">AE10*-1</f>
        <v>94.0967770945907</v>
      </c>
      <c r="AF24" s="588" t="n">
        <f aca="false">AF10*-1</f>
        <v>84.0895021733407</v>
      </c>
      <c r="AG24" s="588" t="n">
        <f aca="false">AG10*-1</f>
        <v>87.6236889147201</v>
      </c>
      <c r="AH24" s="588" t="n">
        <f aca="false">AH10*-1</f>
        <v>88.6900982043534</v>
      </c>
      <c r="AI24" s="588" t="n">
        <f aca="false">AI10*-1</f>
        <v>95.0805173297961</v>
      </c>
      <c r="AJ24" s="588" t="n">
        <f aca="false">AJ10*-1</f>
        <v>95.551881317166</v>
      </c>
      <c r="AK24" s="588" t="n">
        <f aca="false">AK10*-1</f>
        <v>91.4815059502887</v>
      </c>
      <c r="AL24" s="588" t="n">
        <f aca="false">AL10*-1</f>
        <v>88.3854491602457</v>
      </c>
      <c r="AM24" s="588" t="n">
        <f aca="false">AM10*-1</f>
        <v>85.144614974169</v>
      </c>
      <c r="AN24" s="588" t="n">
        <f aca="false">AN10*-1</f>
        <v>93.0556854585147</v>
      </c>
      <c r="AO24" s="588" t="n">
        <f aca="false">AO10*-1</f>
        <v>103.670675412954</v>
      </c>
      <c r="AP24" s="588" t="n">
        <f aca="false">AP10*-1</f>
        <v>107.55056757635</v>
      </c>
      <c r="AQ24" s="588" t="n">
        <f aca="false">AQ10*-1</f>
        <v>100.922186572882</v>
      </c>
      <c r="AR24" s="588" t="n">
        <f aca="false">AR10*-1</f>
        <v>89.8142892977686</v>
      </c>
      <c r="AS24" s="588" t="n">
        <f aca="false">AS10*-1</f>
        <v>86.9697069719844</v>
      </c>
      <c r="AT24" s="588" t="n">
        <f aca="false">AT10*-1</f>
        <v>88.498613916782</v>
      </c>
      <c r="AU24" s="588" t="n">
        <f aca="false">AU10*-1</f>
        <v>94.6688844585619</v>
      </c>
      <c r="AV24" s="588" t="n">
        <f aca="false">AV10*-1</f>
        <v>96.2154201711293</v>
      </c>
      <c r="AW24" s="588" t="n">
        <f aca="false">AW10*-1</f>
        <v>91.4491549112635</v>
      </c>
      <c r="AX24" s="588" t="n">
        <f aca="false">AX10*-1</f>
        <v>87.7019251987467</v>
      </c>
      <c r="AY24" s="588" t="n">
        <f aca="false">AY10*-1</f>
        <v>90.7920032086273</v>
      </c>
      <c r="AZ24" s="588" t="n">
        <f aca="false">AZ10*-1</f>
        <v>99.5446201492035</v>
      </c>
      <c r="BA24" s="588" t="n">
        <f aca="false">BA10*-1</f>
        <v>112.228516833534</v>
      </c>
      <c r="BB24" s="588" t="n">
        <f aca="false">BB10*-1</f>
        <v>116.277703904044</v>
      </c>
      <c r="BC24" s="588" t="n">
        <f aca="false">BC10*-1</f>
        <v>109.304008556444</v>
      </c>
      <c r="BD24" s="588" t="n">
        <f aca="false">BD10*-1</f>
        <v>96.206520905585</v>
      </c>
      <c r="BE24" s="588" t="n">
        <f aca="false">BE10*-1</f>
        <v>95.7991498113947</v>
      </c>
      <c r="BF24" s="588" t="n">
        <f aca="false">BF10*-1</f>
        <v>97.2404945072696</v>
      </c>
      <c r="BG24" s="588" t="n">
        <f aca="false">BG10*-1</f>
        <v>108.436424900905</v>
      </c>
      <c r="BH24" s="588" t="n">
        <f aca="false">BH10*-1</f>
        <v>109.983202920109</v>
      </c>
      <c r="BI24" s="588" t="n">
        <f aca="false">BI10*-1</f>
        <v>102.356849945055</v>
      </c>
      <c r="BJ24" s="588" t="n">
        <f aca="false">BJ10*-1</f>
        <v>98.0482583557947</v>
      </c>
      <c r="BK24" s="588" t="n">
        <f aca="false">BK10*-1</f>
        <v>94.8259461418506</v>
      </c>
      <c r="BL24" s="588" t="n">
        <f aca="false">BL10*-1</f>
        <v>103.890839907436</v>
      </c>
      <c r="BM24" s="588" t="n">
        <f aca="false">BM10*-1</f>
        <v>117.328753833869</v>
      </c>
      <c r="BN24" s="588" t="n">
        <f aca="false">BN10*-1</f>
        <v>120.326425923734</v>
      </c>
      <c r="BO24" s="588" t="n">
        <f aca="false">BO10*-1</f>
        <v>113.53729146554</v>
      </c>
      <c r="BP24" s="588" t="n">
        <f aca="false">BP10*-1</f>
        <v>100.339036724259</v>
      </c>
      <c r="BQ24" s="588" t="n">
        <f aca="false">BQ10*-1</f>
        <v>96.3478185631186</v>
      </c>
      <c r="BR24" s="588" t="n">
        <f aca="false">BR10*-1</f>
        <v>97.2540943577885</v>
      </c>
      <c r="BS24" s="588" t="n">
        <f aca="false">BS10*-1</f>
        <v>105.60129278622</v>
      </c>
      <c r="BT24" s="588" t="n">
        <f aca="false">BT10*-1</f>
        <v>108.494305920318</v>
      </c>
      <c r="BU24" s="588" t="n">
        <f aca="false">BU10*-1</f>
        <v>103.461087102473</v>
      </c>
      <c r="BV24" s="588" t="n">
        <f aca="false">BV10*-1</f>
        <v>98.3742943348911</v>
      </c>
      <c r="BW24" s="588" t="n">
        <f aca="false">BW10*-1</f>
        <v>97.5935045751665</v>
      </c>
      <c r="BX24" s="588" t="n">
        <f aca="false">BX10*-1</f>
        <v>106.767774939019</v>
      </c>
      <c r="BY24" s="588" t="n">
        <f aca="false">BY10*-1</f>
        <v>120.358672373131</v>
      </c>
      <c r="BZ24" s="588" t="n">
        <f aca="false">BZ10*-1</f>
        <v>122.66546902324</v>
      </c>
      <c r="CA24" s="588" t="n">
        <f aca="false">CA10*-1</f>
        <v>116.271216879935</v>
      </c>
      <c r="CB24" s="588" t="n">
        <f aca="false">CB10*-1</f>
        <v>102.890909329072</v>
      </c>
      <c r="CC24" s="588" t="n">
        <f aca="false">CC10*-1</f>
        <v>93.3997465000902</v>
      </c>
      <c r="CD24" s="588" t="n">
        <f aca="false">CD10*-1</f>
        <v>94.6893401362431</v>
      </c>
      <c r="CE24" s="588" t="n">
        <f aca="false">CE10*-1</f>
        <v>103.593206848994</v>
      </c>
      <c r="CF24" s="588" t="n">
        <f aca="false">CF10*-1</f>
        <v>106.872967942677</v>
      </c>
      <c r="CG24" s="588" t="n">
        <f aca="false">CG10*-1</f>
        <v>101.680350767708</v>
      </c>
      <c r="CH24" s="588" t="n">
        <f aca="false">CH10*-1</f>
        <v>96.5640543821938</v>
      </c>
      <c r="CI24" s="588" t="n">
        <f aca="false">CI10*-1</f>
        <v>99.3705045151371</v>
      </c>
      <c r="CJ24" s="588" t="n">
        <f aca="false">CJ10*-1</f>
        <v>108.36629897921</v>
      </c>
      <c r="CK24" s="588" t="n">
        <f aca="false">CK10*-1</f>
        <v>122.98845195186</v>
      </c>
      <c r="CL24" s="588" t="n">
        <f aca="false">CL10*-1</f>
        <v>126.294295884446</v>
      </c>
      <c r="CM24" s="588" t="n">
        <f aca="false">CM10*-1</f>
        <v>119.015235981024</v>
      </c>
      <c r="CN24" s="588" t="n">
        <f aca="false">CN10*-1</f>
        <v>104.863142166277</v>
      </c>
      <c r="CO24" s="588" t="n">
        <f aca="false">CO10*-1</f>
        <v>97.4850248804446</v>
      </c>
      <c r="CP24" s="588" t="n">
        <f aca="false">CP10*-1</f>
        <v>99.0439387293883</v>
      </c>
      <c r="CQ24" s="588" t="n">
        <f aca="false">CQ10*-1</f>
        <v>109.325272911283</v>
      </c>
      <c r="CR24" s="588" t="n">
        <f aca="false">CR10*-1</f>
        <v>113.044528103131</v>
      </c>
      <c r="CS24" s="588" t="n">
        <f aca="false">CS10*-1</f>
        <v>107.388920487859</v>
      </c>
      <c r="CT24" s="588" t="n">
        <f aca="false">CT10*-1</f>
        <v>101.720090161063</v>
      </c>
      <c r="CU24" s="588" t="n">
        <f aca="false">CU10*-1</f>
        <v>100.013686674352</v>
      </c>
      <c r="CV24" s="588" t="n">
        <f aca="false">CV10*-1</f>
        <v>108.857746952137</v>
      </c>
      <c r="CW24" s="588" t="n">
        <f aca="false">CW10*-1</f>
        <v>122.044838267688</v>
      </c>
      <c r="CX24" s="588" t="n">
        <f aca="false">CX10*-1</f>
        <v>125.631641099357</v>
      </c>
      <c r="CY24" s="588" t="n">
        <f aca="false">CY10*-1</f>
        <v>118.22773929796</v>
      </c>
      <c r="CZ24" s="588" t="n">
        <f aca="false">CZ10*-1</f>
        <v>104.363860843155</v>
      </c>
      <c r="DA24" s="588" t="n">
        <f aca="false">DA10*-1</f>
        <v>103.420171431003</v>
      </c>
      <c r="DB24" s="588" t="n">
        <f aca="false">DB10*-1</f>
        <v>104.162018659733</v>
      </c>
      <c r="DC24" s="588" t="n">
        <f aca="false">DC10*-1</f>
        <v>116.657874076815</v>
      </c>
      <c r="DD24" s="588" t="n">
        <f aca="false">DD10*-1</f>
        <v>119.787052650997</v>
      </c>
      <c r="DE24" s="588" t="n">
        <f aca="false">DE10*-1</f>
        <v>112.159277343747</v>
      </c>
      <c r="DF24" s="588" t="n">
        <f aca="false">DF10*-1</f>
        <v>107.49828220104</v>
      </c>
      <c r="DG24" s="588" t="n">
        <f aca="false">DG10*-1</f>
        <v>93.1339034504027</v>
      </c>
      <c r="DH24" s="588" t="n">
        <f aca="false">DH10*-1</f>
        <v>102.723201061446</v>
      </c>
      <c r="DI24" s="588" t="n">
        <f aca="false">DI10*-1</f>
        <v>114.784695538147</v>
      </c>
      <c r="DJ24" s="588" t="n">
        <f aca="false">DJ10*-1</f>
        <v>118.37233558051</v>
      </c>
      <c r="DK24" s="588" t="n">
        <f aca="false">DK10*-1</f>
        <v>111.002851357803</v>
      </c>
      <c r="DL24" s="588" t="n">
        <f aca="false">DL10*-1</f>
        <v>97.878781782933</v>
      </c>
      <c r="DM24" s="588" t="n">
        <f aca="false">DM10*-1</f>
        <v>97.7126319130872</v>
      </c>
      <c r="DN24" s="588" t="n">
        <f aca="false">DN10*-1</f>
        <v>99.0887411573981</v>
      </c>
      <c r="DO24" s="588" t="n">
        <f aca="false">DO10*-1</f>
        <v>109.905629218897</v>
      </c>
      <c r="DP24" s="588" t="n">
        <f aca="false">DP10*-1</f>
        <v>112.540765641915</v>
      </c>
      <c r="DQ24" s="588" t="n">
        <f aca="false">DQ10*-1</f>
        <v>104.913078779798</v>
      </c>
      <c r="DR24" s="588" t="n">
        <f aca="false">DR10*-1</f>
        <v>100.017472500725</v>
      </c>
      <c r="DS24" s="588" t="n">
        <f aca="false">DS10*-1</f>
        <v>91.138016973577</v>
      </c>
      <c r="DT24" s="588" t="n">
        <f aca="false">DT10*-1</f>
        <v>99.514232901245</v>
      </c>
      <c r="DU24" s="588" t="n">
        <f aca="false">DU10*-1</f>
        <v>108.687145055982</v>
      </c>
      <c r="DV24" s="588" t="n">
        <f aca="false">DV10*-1</f>
        <v>111.533098425899</v>
      </c>
      <c r="DW24" s="588" t="n">
        <f aca="false">DW10*-1</f>
        <v>105.773968763464</v>
      </c>
      <c r="DX24" s="588" t="n">
        <f aca="false">DX10*-1</f>
        <v>95.3746094545533</v>
      </c>
      <c r="DY24" s="588" t="n">
        <f aca="false">DY10*-1</f>
        <v>95.4214056958662</v>
      </c>
      <c r="DZ24" s="588" t="n">
        <f aca="false">DZ10*-1</f>
        <v>96.8342435436625</v>
      </c>
      <c r="EA24" s="588" t="n">
        <f aca="false">EA10*-1</f>
        <v>103.235005026545</v>
      </c>
      <c r="EB24" s="588" t="n">
        <f aca="false">EB10*-1</f>
        <v>105.87577702907</v>
      </c>
      <c r="EC24" s="588" t="n">
        <f aca="false">EC10*-1</f>
        <v>101.107800806542</v>
      </c>
      <c r="ED24" s="588" t="n">
        <f aca="false">ED10*-1</f>
        <v>96.8240588895207</v>
      </c>
      <c r="EE24" s="588" t="n">
        <f aca="false">EE10*-1</f>
        <v>84.3569564359975</v>
      </c>
      <c r="EF24" s="588" t="n">
        <f aca="false">EF10*-1</f>
        <v>92.5195321516787</v>
      </c>
      <c r="EG24" s="588" t="n">
        <f aca="false">EG10*-1</f>
        <v>97.5476239023647</v>
      </c>
      <c r="EH24" s="588" t="n">
        <f aca="false">EH10*-1</f>
        <v>98.5081552820801</v>
      </c>
      <c r="EI24" s="588" t="n">
        <f aca="false">EI10*-1</f>
        <v>94.7766317251399</v>
      </c>
      <c r="EJ24" s="588" t="n">
        <f aca="false">EJ10*-1</f>
        <v>87.7938841909499</v>
      </c>
      <c r="EK24" s="588" t="n">
        <f aca="false">EK10*-1</f>
        <v>86.1935317386395</v>
      </c>
      <c r="EL24" s="588" t="n">
        <f aca="false">EL10*-1</f>
        <v>88.1393580628042</v>
      </c>
      <c r="EM24" s="588" t="n">
        <f aca="false">EM10*-1</f>
        <v>93.4756668846048</v>
      </c>
      <c r="EN24" s="588" t="n">
        <f aca="false">EN10*-1</f>
        <v>94.462721764888</v>
      </c>
      <c r="EO24" s="588" t="n">
        <f aca="false">EO10*-1</f>
        <v>91.0427154236134</v>
      </c>
      <c r="EP24" s="588" t="n">
        <f aca="false">EP10*-1</f>
        <v>87.9640220255687</v>
      </c>
    </row>
    <row r="25" customFormat="false" ht="12.75" hidden="false" customHeight="false" outlineLevel="0" collapsed="false">
      <c r="B25" s="586" t="n">
        <v>2007</v>
      </c>
      <c r="C25" s="588" t="n">
        <f aca="false">C11*-1</f>
        <v>79.6307185264751</v>
      </c>
      <c r="D25" s="588" t="n">
        <f aca="false">D11*-1</f>
        <v>88.1288045607777</v>
      </c>
      <c r="E25" s="588" t="n">
        <f aca="false">E11*-1</f>
        <v>92.9841902390234</v>
      </c>
      <c r="F25" s="588" t="n">
        <f aca="false">F11*-1</f>
        <v>94.0302636911702</v>
      </c>
      <c r="G25" s="588" t="n">
        <f aca="false">G11*-1</f>
        <v>89.9528656308331</v>
      </c>
      <c r="H25" s="588" t="n">
        <f aca="false">H11*-1</f>
        <v>83.0259877629752</v>
      </c>
      <c r="I25" s="588" t="n">
        <f aca="false">I11*-1</f>
        <v>84.8187759776328</v>
      </c>
      <c r="J25" s="588" t="n">
        <f aca="false">J11*-1</f>
        <v>87.1216648872322</v>
      </c>
      <c r="K25" s="588" t="n">
        <f aca="false">K11*-1</f>
        <v>93.6037915581875</v>
      </c>
      <c r="L25" s="588" t="n">
        <f aca="false">L11*-1</f>
        <v>93.5673719801096</v>
      </c>
      <c r="M25" s="588" t="n">
        <f aca="false">M11*-1</f>
        <v>88.9768070652069</v>
      </c>
      <c r="N25" s="588" t="n">
        <f aca="false">N11*-1</f>
        <v>85.7522406802356</v>
      </c>
      <c r="O25" s="588" t="n">
        <f aca="false">O11*-1</f>
        <v>78.1298716785044</v>
      </c>
      <c r="P25" s="588" t="n">
        <f aca="false">P11*-1</f>
        <v>85.9166197293195</v>
      </c>
      <c r="Q25" s="588" t="n">
        <f aca="false">Q11*-1</f>
        <v>90.4814612353554</v>
      </c>
      <c r="R25" s="588" t="n">
        <f aca="false">R11*-1</f>
        <v>91.2413875088382</v>
      </c>
      <c r="S25" s="588" t="n">
        <f aca="false">S11*-1</f>
        <v>87.3695653912205</v>
      </c>
      <c r="T25" s="588" t="n">
        <f aca="false">T11*-1</f>
        <v>80.7221449245763</v>
      </c>
      <c r="U25" s="588" t="n">
        <f aca="false">U11*-1</f>
        <v>82.7878469130193</v>
      </c>
      <c r="V25" s="588" t="n">
        <f aca="false">V11*-1</f>
        <v>84.3741621922615</v>
      </c>
      <c r="W25" s="588" t="n">
        <f aca="false">W11*-1</f>
        <v>90.187461091133</v>
      </c>
      <c r="X25" s="588" t="n">
        <f aca="false">X11*-1</f>
        <v>90.1364140086789</v>
      </c>
      <c r="Y25" s="588" t="n">
        <f aca="false">Y11*-1</f>
        <v>86.3446490900189</v>
      </c>
      <c r="Z25" s="588" t="n">
        <f aca="false">Z11*-1</f>
        <v>83.6284418765831</v>
      </c>
      <c r="AA25" s="588" t="n">
        <f aca="false">AA11*-1</f>
        <v>74.3348745824249</v>
      </c>
      <c r="AB25" s="588" t="n">
        <f aca="false">AB11*-1</f>
        <v>81.0827586000302</v>
      </c>
      <c r="AC25" s="588" t="n">
        <f aca="false">AC11*-1</f>
        <v>86.7639297739104</v>
      </c>
      <c r="AD25" s="588" t="n">
        <f aca="false">AD11*-1</f>
        <v>89.2252575526984</v>
      </c>
      <c r="AE25" s="588" t="n">
        <f aca="false">AE11*-1</f>
        <v>85.6792187647694</v>
      </c>
      <c r="AF25" s="588" t="n">
        <f aca="false">AF11*-1</f>
        <v>79.0061076443197</v>
      </c>
      <c r="AG25" s="588" t="n">
        <f aca="false">AG11*-1</f>
        <v>82.2948993767001</v>
      </c>
      <c r="AH25" s="588" t="n">
        <f aca="false">AH11*-1</f>
        <v>83.3110238230411</v>
      </c>
      <c r="AI25" s="588" t="n">
        <f aca="false">AI11*-1</f>
        <v>88.8651452471846</v>
      </c>
      <c r="AJ25" s="588" t="n">
        <f aca="false">AJ11*-1</f>
        <v>89.2319664738001</v>
      </c>
      <c r="AK25" s="588" t="n">
        <f aca="false">AK11*-1</f>
        <v>85.8670805748784</v>
      </c>
      <c r="AL25" s="588" t="n">
        <f aca="false">AL11*-1</f>
        <v>82.9102978622882</v>
      </c>
      <c r="AM25" s="588" t="n">
        <f aca="false">AM11*-1</f>
        <v>81.1491443089943</v>
      </c>
      <c r="AN25" s="588" t="n">
        <f aca="false">AN11*-1</f>
        <v>87.4042759730439</v>
      </c>
      <c r="AO25" s="588" t="n">
        <f aca="false">AO11*-1</f>
        <v>93.6787073159691</v>
      </c>
      <c r="AP25" s="588" t="n">
        <f aca="false">AP11*-1</f>
        <v>96.6802164635208</v>
      </c>
      <c r="AQ25" s="588" t="n">
        <f aca="false">AQ11*-1</f>
        <v>92.3090651706577</v>
      </c>
      <c r="AR25" s="588" t="n">
        <f aca="false">AR11*-1</f>
        <v>84.6634458425357</v>
      </c>
      <c r="AS25" s="588" t="n">
        <f aca="false">AS11*-1</f>
        <v>83.8234506743529</v>
      </c>
      <c r="AT25" s="588" t="n">
        <f aca="false">AT11*-1</f>
        <v>85.1868295262632</v>
      </c>
      <c r="AU25" s="588" t="n">
        <f aca="false">AU11*-1</f>
        <v>91.0541908679408</v>
      </c>
      <c r="AV25" s="588" t="n">
        <f aca="false">AV11*-1</f>
        <v>92.2020289291856</v>
      </c>
      <c r="AW25" s="588" t="n">
        <f aca="false">AW11*-1</f>
        <v>87.7896404482901</v>
      </c>
      <c r="AX25" s="588" t="n">
        <f aca="false">AX11*-1</f>
        <v>84.3445621730738</v>
      </c>
      <c r="AY25" s="588" t="n">
        <f aca="false">AY11*-1</f>
        <v>86.7264941261323</v>
      </c>
      <c r="AZ25" s="588" t="n">
        <f aca="false">AZ11*-1</f>
        <v>93.5172773137136</v>
      </c>
      <c r="BA25" s="588" t="n">
        <f aca="false">BA11*-1</f>
        <v>101.473917687127</v>
      </c>
      <c r="BB25" s="588" t="n">
        <f aca="false">BB11*-1</f>
        <v>104.69616278726</v>
      </c>
      <c r="BC25" s="588" t="n">
        <f aca="false">BC11*-1</f>
        <v>100.228482056484</v>
      </c>
      <c r="BD25" s="588" t="n">
        <f aca="false">BD11*-1</f>
        <v>90.9388151050388</v>
      </c>
      <c r="BE25" s="588" t="n">
        <f aca="false">BE11*-1</f>
        <v>91.3676279313935</v>
      </c>
      <c r="BF25" s="588" t="n">
        <f aca="false">BF11*-1</f>
        <v>92.8267125546985</v>
      </c>
      <c r="BG25" s="588" t="n">
        <f aca="false">BG11*-1</f>
        <v>102.859539814659</v>
      </c>
      <c r="BH25" s="588" t="n">
        <f aca="false">BH11*-1</f>
        <v>103.970405261133</v>
      </c>
      <c r="BI25" s="588" t="n">
        <f aca="false">BI11*-1</f>
        <v>97.5908862360977</v>
      </c>
      <c r="BJ25" s="588" t="n">
        <f aca="false">BJ11*-1</f>
        <v>93.4734274894862</v>
      </c>
      <c r="BK25" s="588" t="n">
        <f aca="false">BK11*-1</f>
        <v>90.7300886031959</v>
      </c>
      <c r="BL25" s="588" t="n">
        <f aca="false">BL11*-1</f>
        <v>97.3729649136205</v>
      </c>
      <c r="BM25" s="588" t="n">
        <f aca="false">BM11*-1</f>
        <v>105.534843584812</v>
      </c>
      <c r="BN25" s="588" t="n">
        <f aca="false">BN11*-1</f>
        <v>107.846931332617</v>
      </c>
      <c r="BO25" s="588" t="n">
        <f aca="false">BO11*-1</f>
        <v>103.756040659167</v>
      </c>
      <c r="BP25" s="588" t="n">
        <f aca="false">BP11*-1</f>
        <v>94.9094022333202</v>
      </c>
      <c r="BQ25" s="588" t="n">
        <f aca="false">BQ11*-1</f>
        <v>92.0476025941886</v>
      </c>
      <c r="BR25" s="588" t="n">
        <f aca="false">BR11*-1</f>
        <v>93.0077514772789</v>
      </c>
      <c r="BS25" s="588" t="n">
        <f aca="false">BS11*-1</f>
        <v>100.159934062822</v>
      </c>
      <c r="BT25" s="588" t="n">
        <f aca="false">BT11*-1</f>
        <v>102.519992223091</v>
      </c>
      <c r="BU25" s="588" t="n">
        <f aca="false">BU11*-1</f>
        <v>98.5730873973949</v>
      </c>
      <c r="BV25" s="588" t="n">
        <f aca="false">BV11*-1</f>
        <v>93.8611047959283</v>
      </c>
      <c r="BW25" s="588" t="n">
        <f aca="false">BW11*-1</f>
        <v>93.1958761991593</v>
      </c>
      <c r="BX25" s="588" t="n">
        <f aca="false">BX11*-1</f>
        <v>99.4961909648354</v>
      </c>
      <c r="BY25" s="588" t="n">
        <f aca="false">BY11*-1</f>
        <v>107.85628409355</v>
      </c>
      <c r="BZ25" s="588" t="n">
        <f aca="false">BZ11*-1</f>
        <v>109.642829991782</v>
      </c>
      <c r="CA25" s="588" t="n">
        <f aca="false">CA11*-1</f>
        <v>106.124975608122</v>
      </c>
      <c r="CB25" s="588" t="n">
        <f aca="false">CB11*-1</f>
        <v>97.2249191292937</v>
      </c>
      <c r="CC25" s="588" t="n">
        <f aca="false">CC11*-1</f>
        <v>89.0932911419337</v>
      </c>
      <c r="CD25" s="588" t="n">
        <f aca="false">CD11*-1</f>
        <v>90.4160813307706</v>
      </c>
      <c r="CE25" s="588" t="n">
        <f aca="false">CE11*-1</f>
        <v>97.9655288830781</v>
      </c>
      <c r="CF25" s="588" t="n">
        <f aca="false">CF11*-1</f>
        <v>100.742104203389</v>
      </c>
      <c r="CG25" s="588" t="n">
        <f aca="false">CG11*-1</f>
        <v>96.9133785909037</v>
      </c>
      <c r="CH25" s="588" t="n">
        <f aca="false">CH11*-1</f>
        <v>92.1030389129282</v>
      </c>
      <c r="CI25" s="588" t="n">
        <f aca="false">CI11*-1</f>
        <v>94.9944570188379</v>
      </c>
      <c r="CJ25" s="588" t="n">
        <f aca="false">CJ11*-1</f>
        <v>101.093096666676</v>
      </c>
      <c r="CK25" s="588" t="n">
        <f aca="false">CK11*-1</f>
        <v>110.142563058064</v>
      </c>
      <c r="CL25" s="588" t="n">
        <f aca="false">CL11*-1</f>
        <v>112.912753202398</v>
      </c>
      <c r="CM25" s="588" t="n">
        <f aca="false">CM11*-1</f>
        <v>108.623997334631</v>
      </c>
      <c r="CN25" s="588" t="n">
        <f aca="false">CN11*-1</f>
        <v>99.178365610544</v>
      </c>
      <c r="CO25" s="588" t="n">
        <f aca="false">CO11*-1</f>
        <v>93.0435240710392</v>
      </c>
      <c r="CP25" s="588" t="n">
        <f aca="false">CP11*-1</f>
        <v>94.6066275837714</v>
      </c>
      <c r="CQ25" s="588" t="n">
        <f aca="false">CQ11*-1</f>
        <v>103.561874581503</v>
      </c>
      <c r="CR25" s="588" t="n">
        <f aca="false">CR11*-1</f>
        <v>106.835367606229</v>
      </c>
      <c r="CS25" s="588" t="n">
        <f aca="false">CS11*-1</f>
        <v>102.468692120529</v>
      </c>
      <c r="CT25" s="588" t="n">
        <f aca="false">CT11*-1</f>
        <v>97.0471586913854</v>
      </c>
      <c r="CU25" s="588" t="n">
        <f aca="false">CU11*-1</f>
        <v>95.7469516714997</v>
      </c>
      <c r="CV25" s="588" t="n">
        <f aca="false">CV11*-1</f>
        <v>102.266408556816</v>
      </c>
      <c r="CW25" s="588" t="n">
        <f aca="false">CW11*-1</f>
        <v>110.399518261483</v>
      </c>
      <c r="CX25" s="588" t="n">
        <f aca="false">CX11*-1</f>
        <v>113.307008768864</v>
      </c>
      <c r="CY25" s="588" t="n">
        <f aca="false">CY11*-1</f>
        <v>108.59877631693</v>
      </c>
      <c r="CZ25" s="588" t="n">
        <f aca="false">CZ11*-1</f>
        <v>98.7787896179308</v>
      </c>
      <c r="DA25" s="588" t="n">
        <f aca="false">DA11*-1</f>
        <v>98.4481481534306</v>
      </c>
      <c r="DB25" s="588" t="n">
        <f aca="false">DB11*-1</f>
        <v>99.2190428434433</v>
      </c>
      <c r="DC25" s="588" t="n">
        <f aca="false">DC11*-1</f>
        <v>110.262027447591</v>
      </c>
      <c r="DD25" s="588" t="n">
        <f aca="false">DD11*-1</f>
        <v>113.145763068165</v>
      </c>
      <c r="DE25" s="588" t="n">
        <f aca="false">DE11*-1</f>
        <v>106.784887996157</v>
      </c>
      <c r="DF25" s="588" t="n">
        <f aca="false">DF11*-1</f>
        <v>102.321942805128</v>
      </c>
      <c r="DG25" s="588" t="n">
        <f aca="false">DG11*-1</f>
        <v>89.0073961316403</v>
      </c>
      <c r="DH25" s="588" t="n">
        <f aca="false">DH11*-1</f>
        <v>96.8563818983738</v>
      </c>
      <c r="DI25" s="588" t="n">
        <f aca="false">DI11*-1</f>
        <v>104.252832460709</v>
      </c>
      <c r="DJ25" s="588" t="n">
        <f aca="false">DJ11*-1</f>
        <v>107.03458014456</v>
      </c>
      <c r="DK25" s="588" t="n">
        <f aca="false">DK11*-1</f>
        <v>102.057315809188</v>
      </c>
      <c r="DL25" s="588" t="n">
        <f aca="false">DL11*-1</f>
        <v>92.4862450357218</v>
      </c>
      <c r="DM25" s="588" t="n">
        <f aca="false">DM11*-1</f>
        <v>94.5322585898327</v>
      </c>
      <c r="DN25" s="588" t="n">
        <f aca="false">DN11*-1</f>
        <v>95.9664120511943</v>
      </c>
      <c r="DO25" s="588" t="n">
        <f aca="false">DO11*-1</f>
        <v>106.651905684258</v>
      </c>
      <c r="DP25" s="588" t="n">
        <f aca="false">DP11*-1</f>
        <v>108.576983217011</v>
      </c>
      <c r="DQ25" s="588" t="n">
        <f aca="false">DQ11*-1</f>
        <v>101.193697814214</v>
      </c>
      <c r="DR25" s="588" t="n">
        <f aca="false">DR11*-1</f>
        <v>96.6614686490764</v>
      </c>
      <c r="DS25" s="588" t="n">
        <f aca="false">DS11*-1</f>
        <v>87.0519586185595</v>
      </c>
      <c r="DT25" s="588" t="n">
        <f aca="false">DT11*-1</f>
        <v>93.8637969530937</v>
      </c>
      <c r="DU25" s="588" t="n">
        <f aca="false">DU11*-1</f>
        <v>98.9934646328192</v>
      </c>
      <c r="DV25" s="588" t="n">
        <f aca="false">DV11*-1</f>
        <v>101.185054815542</v>
      </c>
      <c r="DW25" s="588" t="n">
        <f aca="false">DW11*-1</f>
        <v>97.5526563549506</v>
      </c>
      <c r="DX25" s="588" t="n">
        <f aca="false">DX11*-1</f>
        <v>90.1424766390733</v>
      </c>
      <c r="DY25" s="588" t="n">
        <f aca="false">DY11*-1</f>
        <v>91.1773845522509</v>
      </c>
      <c r="DZ25" s="588" t="n">
        <f aca="false">DZ11*-1</f>
        <v>92.5916956502337</v>
      </c>
      <c r="EA25" s="588" t="n">
        <f aca="false">EA11*-1</f>
        <v>98.4287752393364</v>
      </c>
      <c r="EB25" s="588" t="n">
        <f aca="false">EB11*-1</f>
        <v>100.79521859235</v>
      </c>
      <c r="EC25" s="588" t="n">
        <f aca="false">EC11*-1</f>
        <v>96.5444709921682</v>
      </c>
      <c r="ED25" s="588" t="n">
        <f aca="false">ED11*-1</f>
        <v>92.4636438429834</v>
      </c>
      <c r="EE25" s="588" t="n">
        <f aca="false">EE11*-1</f>
        <v>84.2429668182817</v>
      </c>
      <c r="EF25" s="588" t="n">
        <f aca="false">EF11*-1</f>
        <v>92.2899311015989</v>
      </c>
      <c r="EG25" s="588" t="n">
        <f aca="false">EG11*-1</f>
        <v>97.3207620730886</v>
      </c>
      <c r="EH25" s="588" t="n">
        <f aca="false">EH11*-1</f>
        <v>98.2880288505329</v>
      </c>
      <c r="EI25" s="588" t="n">
        <f aca="false">EI11*-1</f>
        <v>94.5919645135667</v>
      </c>
      <c r="EJ25" s="588" t="n">
        <f aca="false">EJ11*-1</f>
        <v>87.6663977733353</v>
      </c>
      <c r="EK25" s="588" t="n">
        <f aca="false">EK11*-1</f>
        <v>85.9279128707684</v>
      </c>
      <c r="EL25" s="588" t="n">
        <f aca="false">EL11*-1</f>
        <v>87.8664931339726</v>
      </c>
      <c r="EM25" s="588" t="n">
        <f aca="false">EM11*-1</f>
        <v>93.1510677886638</v>
      </c>
      <c r="EN25" s="588" t="n">
        <f aca="false">EN11*-1</f>
        <v>94.1903662295887</v>
      </c>
      <c r="EO25" s="588" t="n">
        <f aca="false">EO11*-1</f>
        <v>90.7879760388314</v>
      </c>
      <c r="EP25" s="588" t="n">
        <f aca="false">EP11*-1</f>
        <v>87.69847123493</v>
      </c>
    </row>
    <row r="26" customFormat="false" ht="12.75" hidden="false" customHeight="false" outlineLevel="0" collapsed="false">
      <c r="B26" s="586" t="n">
        <v>2008</v>
      </c>
      <c r="C26" s="588" t="n">
        <f aca="false">C12*-1</f>
        <v>79.9995894135605</v>
      </c>
      <c r="D26" s="588" t="n">
        <f aca="false">D12*-1</f>
        <v>88.4895346834372</v>
      </c>
      <c r="E26" s="588" t="n">
        <f aca="false">E12*-1</f>
        <v>94.0121857839179</v>
      </c>
      <c r="F26" s="588" t="n">
        <f aca="false">F12*-1</f>
        <v>95.1655508399599</v>
      </c>
      <c r="G26" s="588" t="n">
        <f aca="false">G12*-1</f>
        <v>91.1043542922388</v>
      </c>
      <c r="H26" s="588" t="n">
        <f aca="false">H12*-1</f>
        <v>83.4668056716912</v>
      </c>
      <c r="I26" s="588" t="n">
        <f aca="false">I12*-1</f>
        <v>85.1261441919655</v>
      </c>
      <c r="J26" s="588" t="n">
        <f aca="false">J12*-1</f>
        <v>87.4425206409533</v>
      </c>
      <c r="K26" s="588" t="n">
        <f aca="false">K12*-1</f>
        <v>94.402256351282</v>
      </c>
      <c r="L26" s="588" t="n">
        <f aca="false">L12*-1</f>
        <v>94.6643102594435</v>
      </c>
      <c r="M26" s="588" t="n">
        <f aca="false">M12*-1</f>
        <v>89.4994562676559</v>
      </c>
      <c r="N26" s="588" t="n">
        <f aca="false">N12*-1</f>
        <v>86.0639165555139</v>
      </c>
      <c r="O26" s="588" t="n">
        <f aca="false">O12*-1</f>
        <v>78.7137794167095</v>
      </c>
      <c r="P26" s="588" t="n">
        <f aca="false">P12*-1</f>
        <v>86.6781314686974</v>
      </c>
      <c r="Q26" s="588" t="n">
        <f aca="false">Q12*-1</f>
        <v>91.9528913005948</v>
      </c>
      <c r="R26" s="588" t="n">
        <f aca="false">R12*-1</f>
        <v>92.8509404293542</v>
      </c>
      <c r="S26" s="588" t="n">
        <f aca="false">S12*-1</f>
        <v>88.910069098812</v>
      </c>
      <c r="T26" s="588" t="n">
        <f aca="false">T12*-1</f>
        <v>81.4053794627806</v>
      </c>
      <c r="U26" s="588" t="n">
        <f aca="false">U12*-1</f>
        <v>84.1978972463714</v>
      </c>
      <c r="V26" s="588" t="n">
        <f aca="false">V12*-1</f>
        <v>85.78298739952</v>
      </c>
      <c r="W26" s="588" t="n">
        <f aca="false">W12*-1</f>
        <v>92.3375500747602</v>
      </c>
      <c r="X26" s="588" t="n">
        <f aca="false">X12*-1</f>
        <v>92.4310453860506</v>
      </c>
      <c r="Y26" s="588" t="n">
        <f aca="false">Y12*-1</f>
        <v>87.9153660716377</v>
      </c>
      <c r="Z26" s="588" t="n">
        <f aca="false">Z12*-1</f>
        <v>85.0285267298382</v>
      </c>
      <c r="AA26" s="588" t="n">
        <f aca="false">AA12*-1</f>
        <v>74.8348484926264</v>
      </c>
      <c r="AB26" s="588" t="n">
        <f aca="false">AB12*-1</f>
        <v>81.6891246513626</v>
      </c>
      <c r="AC26" s="588" t="n">
        <f aca="false">AC12*-1</f>
        <v>88.0801136003259</v>
      </c>
      <c r="AD26" s="588" t="n">
        <f aca="false">AD12*-1</f>
        <v>90.7285007497871</v>
      </c>
      <c r="AE26" s="588" t="n">
        <f aca="false">AE12*-1</f>
        <v>87.1024335629367</v>
      </c>
      <c r="AF26" s="588" t="n">
        <f aca="false">AF12*-1</f>
        <v>79.5946940707944</v>
      </c>
      <c r="AG26" s="588" t="n">
        <f aca="false">AG12*-1</f>
        <v>81.6859604410023</v>
      </c>
      <c r="AH26" s="588" t="n">
        <f aca="false">AH12*-1</f>
        <v>82.7302596357812</v>
      </c>
      <c r="AI26" s="588" t="n">
        <f aca="false">AI12*-1</f>
        <v>88.6270576855139</v>
      </c>
      <c r="AJ26" s="588" t="n">
        <f aca="false">AJ12*-1</f>
        <v>89.5040440747268</v>
      </c>
      <c r="AK26" s="588" t="n">
        <f aca="false">AK12*-1</f>
        <v>85.5679907944816</v>
      </c>
      <c r="AL26" s="588" t="n">
        <f aca="false">AL12*-1</f>
        <v>82.2994370174214</v>
      </c>
      <c r="AM26" s="588" t="n">
        <f aca="false">AM12*-1</f>
        <v>81.5009842590423</v>
      </c>
      <c r="AN26" s="588" t="n">
        <f aca="false">AN12*-1</f>
        <v>87.7257286434779</v>
      </c>
      <c r="AO26" s="588" t="n">
        <f aca="false">AO12*-1</f>
        <v>94.6848568794594</v>
      </c>
      <c r="AP26" s="588" t="n">
        <f aca="false">AP12*-1</f>
        <v>97.9396531165114</v>
      </c>
      <c r="AQ26" s="588" t="n">
        <f aca="false">AQ12*-1</f>
        <v>93.4662524197543</v>
      </c>
      <c r="AR26" s="588" t="n">
        <f aca="false">AR12*-1</f>
        <v>85.0964836374312</v>
      </c>
      <c r="AS26" s="588" t="n">
        <f aca="false">AS12*-1</f>
        <v>85.2431714583521</v>
      </c>
      <c r="AT26" s="588" t="n">
        <f aca="false">AT12*-1</f>
        <v>86.6241772609161</v>
      </c>
      <c r="AU26" s="588" t="n">
        <f aca="false">AU12*-1</f>
        <v>93.2777406386176</v>
      </c>
      <c r="AV26" s="588" t="n">
        <f aca="false">AV12*-1</f>
        <v>94.6554306431282</v>
      </c>
      <c r="AW26" s="588" t="n">
        <f aca="false">AW12*-1</f>
        <v>89.3062146220884</v>
      </c>
      <c r="AX26" s="588" t="n">
        <f aca="false">AX12*-1</f>
        <v>85.761765691363</v>
      </c>
      <c r="AY26" s="588" t="n">
        <f aca="false">AY12*-1</f>
        <v>87.1236174278988</v>
      </c>
      <c r="AZ26" s="588" t="n">
        <f aca="false">AZ12*-1</f>
        <v>93.902936724081</v>
      </c>
      <c r="BA26" s="588" t="n">
        <f aca="false">BA12*-1</f>
        <v>102.550998821271</v>
      </c>
      <c r="BB26" s="588" t="n">
        <f aca="false">BB12*-1</f>
        <v>106.033158609104</v>
      </c>
      <c r="BC26" s="588" t="n">
        <f aca="false">BC12*-1</f>
        <v>101.451600468391</v>
      </c>
      <c r="BD26" s="588" t="n">
        <f aca="false">BD12*-1</f>
        <v>91.4615133186379</v>
      </c>
      <c r="BE26" s="588" t="n">
        <f aca="false">BE12*-1</f>
        <v>90.9832547231919</v>
      </c>
      <c r="BF26" s="588" t="n">
        <f aca="false">BF12*-1</f>
        <v>92.4815555967125</v>
      </c>
      <c r="BG26" s="588" t="n">
        <f aca="false">BG12*-1</f>
        <v>102.464192223287</v>
      </c>
      <c r="BH26" s="588" t="n">
        <f aca="false">BH12*-1</f>
        <v>104.281944450924</v>
      </c>
      <c r="BI26" s="588" t="n">
        <f aca="false">BI12*-1</f>
        <v>97.6979474422816</v>
      </c>
      <c r="BJ26" s="588" t="n">
        <f aca="false">BJ12*-1</f>
        <v>93.1412037571148</v>
      </c>
      <c r="BK26" s="588" t="n">
        <f aca="false">BK12*-1</f>
        <v>91.3569821947824</v>
      </c>
      <c r="BL26" s="588" t="n">
        <f aca="false">BL12*-1</f>
        <v>98.1621039461879</v>
      </c>
      <c r="BM26" s="588" t="n">
        <f aca="false">BM12*-1</f>
        <v>106.976857755214</v>
      </c>
      <c r="BN26" s="588" t="n">
        <f aca="false">BN12*-1</f>
        <v>109.526578625196</v>
      </c>
      <c r="BO26" s="588" t="n">
        <f aca="false">BO12*-1</f>
        <v>105.311766904544</v>
      </c>
      <c r="BP26" s="588" t="n">
        <f aca="false">BP12*-1</f>
        <v>95.7016986654477</v>
      </c>
      <c r="BQ26" s="588" t="n">
        <f aca="false">BQ12*-1</f>
        <v>92.8135228141381</v>
      </c>
      <c r="BR26" s="588" t="n">
        <f aca="false">BR12*-1</f>
        <v>93.8312290541993</v>
      </c>
      <c r="BS26" s="588" t="n">
        <f aca="false">BS12*-1</f>
        <v>101.700214994334</v>
      </c>
      <c r="BT26" s="588" t="n">
        <f aca="false">BT12*-1</f>
        <v>104.330707799333</v>
      </c>
      <c r="BU26" s="588" t="n">
        <f aca="false">BU12*-1</f>
        <v>99.8044079354628</v>
      </c>
      <c r="BV26" s="588" t="n">
        <f aca="false">BV12*-1</f>
        <v>94.7467755138472</v>
      </c>
      <c r="BW26" s="588" t="n">
        <f aca="false">BW12*-1</f>
        <v>93.946390014597</v>
      </c>
      <c r="BX26" s="588" t="n">
        <f aca="false">BX12*-1</f>
        <v>100.318270491418</v>
      </c>
      <c r="BY26" s="588" t="n">
        <f aca="false">BY12*-1</f>
        <v>109.241372886156</v>
      </c>
      <c r="BZ26" s="588" t="n">
        <f aca="false">BZ12*-1</f>
        <v>111.22339435584</v>
      </c>
      <c r="CA26" s="588" t="n">
        <f aca="false">CA12*-1</f>
        <v>107.65113508119</v>
      </c>
      <c r="CB26" s="588" t="n">
        <f aca="false">CB12*-1</f>
        <v>98.1221220563746</v>
      </c>
      <c r="CC26" s="588" t="n">
        <f aca="false">CC12*-1</f>
        <v>89.7612105469783</v>
      </c>
      <c r="CD26" s="588" t="n">
        <f aca="false">CD12*-1</f>
        <v>91.144177898956</v>
      </c>
      <c r="CE26" s="588" t="n">
        <f aca="false">CE12*-1</f>
        <v>99.2386357061038</v>
      </c>
      <c r="CF26" s="588" t="n">
        <f aca="false">CF12*-1</f>
        <v>102.301424833677</v>
      </c>
      <c r="CG26" s="588" t="n">
        <f aca="false">CG12*-1</f>
        <v>97.9478297979819</v>
      </c>
      <c r="CH26" s="588" t="n">
        <f aca="false">CH12*-1</f>
        <v>92.8112879622784</v>
      </c>
      <c r="CI26" s="588" t="n">
        <f aca="false">CI12*-1</f>
        <v>95.7009802010505</v>
      </c>
      <c r="CJ26" s="588" t="n">
        <f aca="false">CJ12*-1</f>
        <v>101.88220663749</v>
      </c>
      <c r="CK26" s="588" t="n">
        <f aca="false">CK12*-1</f>
        <v>111.562432305873</v>
      </c>
      <c r="CL26" s="588" t="n">
        <f aca="false">CL12*-1</f>
        <v>114.540197187144</v>
      </c>
      <c r="CM26" s="588" t="n">
        <f aca="false">CM12*-1</f>
        <v>110.15812839401</v>
      </c>
      <c r="CN26" s="588" t="n">
        <f aca="false">CN12*-1</f>
        <v>100.040326435796</v>
      </c>
      <c r="CO26" s="588" t="n">
        <f aca="false">CO12*-1</f>
        <v>93.6926421030613</v>
      </c>
      <c r="CP26" s="588" t="n">
        <f aca="false">CP12*-1</f>
        <v>95.2910068622558</v>
      </c>
      <c r="CQ26" s="588" t="n">
        <f aca="false">CQ12*-1</f>
        <v>104.761640939599</v>
      </c>
      <c r="CR26" s="588" t="n">
        <f aca="false">CR12*-1</f>
        <v>108.357583447064</v>
      </c>
      <c r="CS26" s="588" t="n">
        <f aca="false">CS12*-1</f>
        <v>103.48020871157</v>
      </c>
      <c r="CT26" s="588" t="n">
        <f aca="false">CT12*-1</f>
        <v>97.78641118504</v>
      </c>
      <c r="CU26" s="588" t="n">
        <f aca="false">CU12*-1</f>
        <v>96.2768144512067</v>
      </c>
      <c r="CV26" s="588" t="n">
        <f aca="false">CV12*-1</f>
        <v>102.774256195499</v>
      </c>
      <c r="CW26" s="588" t="n">
        <f aca="false">CW12*-1</f>
        <v>111.600043270589</v>
      </c>
      <c r="CX26" s="588" t="n">
        <f aca="false">CX12*-1</f>
        <v>114.80127317562</v>
      </c>
      <c r="CY26" s="588" t="n">
        <f aca="false">CY12*-1</f>
        <v>109.973068685541</v>
      </c>
      <c r="CZ26" s="588" t="n">
        <f aca="false">CZ12*-1</f>
        <v>99.456791936195</v>
      </c>
      <c r="DA26" s="588" t="n">
        <f aca="false">DA12*-1</f>
        <v>100.416449856836</v>
      </c>
      <c r="DB26" s="588" t="n">
        <f aca="false">DB12*-1</f>
        <v>101.183537819523</v>
      </c>
      <c r="DC26" s="588" t="n">
        <f aca="false">DC12*-1</f>
        <v>113.940527488533</v>
      </c>
      <c r="DD26" s="588" t="n">
        <f aca="false">DD12*-1</f>
        <v>116.721080738248</v>
      </c>
      <c r="DE26" s="588" t="n">
        <f aca="false">DE12*-1</f>
        <v>108.866451868078</v>
      </c>
      <c r="DF26" s="588" t="n">
        <f aca="false">DF12*-1</f>
        <v>104.306141517803</v>
      </c>
      <c r="DG26" s="588" t="n">
        <f aca="false">DG12*-1</f>
        <v>89.3867968896457</v>
      </c>
      <c r="DH26" s="588" t="n">
        <f aca="false">DH12*-1</f>
        <v>97.2524736196731</v>
      </c>
      <c r="DI26" s="588" t="n">
        <f aca="false">DI12*-1</f>
        <v>105.345184754683</v>
      </c>
      <c r="DJ26" s="588" t="n">
        <f aca="false">DJ12*-1</f>
        <v>108.404776018882</v>
      </c>
      <c r="DK26" s="588" t="n">
        <f aca="false">DK12*-1</f>
        <v>103.318511458543</v>
      </c>
      <c r="DL26" s="588" t="n">
        <f aca="false">DL12*-1</f>
        <v>92.9793845377195</v>
      </c>
      <c r="DM26" s="588" t="n">
        <f aca="false">DM12*-1</f>
        <v>94.900504729683</v>
      </c>
      <c r="DN26" s="588" t="n">
        <f aca="false">DN12*-1</f>
        <v>96.3426357132563</v>
      </c>
      <c r="DO26" s="588" t="n">
        <f aca="false">DO12*-1</f>
        <v>107.524793322535</v>
      </c>
      <c r="DP26" s="588" t="n">
        <f aca="false">DP12*-1</f>
        <v>109.929253569093</v>
      </c>
      <c r="DQ26" s="588" t="n">
        <f aca="false">DQ12*-1</f>
        <v>101.879242446388</v>
      </c>
      <c r="DR26" s="588" t="n">
        <f aca="false">DR12*-1</f>
        <v>97.0633884550955</v>
      </c>
      <c r="DS26" s="588" t="n">
        <f aca="false">DS12*-1</f>
        <v>87.4891651968248</v>
      </c>
      <c r="DT26" s="588" t="n">
        <f aca="false">DT12*-1</f>
        <v>94.3370689653223</v>
      </c>
      <c r="DU26" s="588" t="n">
        <f aca="false">DU12*-1</f>
        <v>100.151455073893</v>
      </c>
      <c r="DV26" s="588" t="n">
        <f aca="false">DV12*-1</f>
        <v>102.576017862559</v>
      </c>
      <c r="DW26" s="588" t="n">
        <f aca="false">DW12*-1</f>
        <v>98.8578388931011</v>
      </c>
      <c r="DX26" s="588" t="n">
        <f aca="false">DX12*-1</f>
        <v>90.6690094746921</v>
      </c>
      <c r="DY26" s="588" t="n">
        <f aca="false">DY12*-1</f>
        <v>89.887236408532</v>
      </c>
      <c r="DZ26" s="588" t="n">
        <f aca="false">DZ12*-1</f>
        <v>91.2872510701086</v>
      </c>
      <c r="EA26" s="588" t="n">
        <f aca="false">EA12*-1</f>
        <v>97.3691010537057</v>
      </c>
      <c r="EB26" s="588" t="n">
        <f aca="false">EB12*-1</f>
        <v>100.383065420574</v>
      </c>
      <c r="EC26" s="588" t="n">
        <f aca="false">EC12*-1</f>
        <v>95.5688122040111</v>
      </c>
      <c r="ED26" s="588" t="n">
        <f aca="false">ED12*-1</f>
        <v>91.1696290667793</v>
      </c>
      <c r="EE26" s="588" t="n">
        <f aca="false">EE12*-1</f>
        <v>84.5915656687798</v>
      </c>
      <c r="EF26" s="588" t="n">
        <f aca="false">EF12*-1</f>
        <v>92.6117529196516</v>
      </c>
      <c r="EG26" s="588" t="n">
        <f aca="false">EG12*-1</f>
        <v>98.3124764128972</v>
      </c>
      <c r="EH26" s="588" t="n">
        <f aca="false">EH12*-1</f>
        <v>99.3970487662607</v>
      </c>
      <c r="EI26" s="588" t="n">
        <f aca="false">EI12*-1</f>
        <v>95.7571289894672</v>
      </c>
      <c r="EJ26" s="588" t="n">
        <f aca="false">EJ12*-1</f>
        <v>88.0885460606971</v>
      </c>
      <c r="EK26" s="588" t="n">
        <f aca="false">EK12*-1</f>
        <v>87.774864015718</v>
      </c>
      <c r="EL26" s="588" t="n">
        <f aca="false">EL12*-1</f>
        <v>89.7607613313673</v>
      </c>
      <c r="EM26" s="588" t="n">
        <f aca="false">EM12*-1</f>
        <v>95.8242762703735</v>
      </c>
      <c r="EN26" s="588" t="n">
        <f aca="false">EN12*-1</f>
        <v>96.8678600442537</v>
      </c>
      <c r="EO26" s="588" t="n">
        <f aca="false">EO12*-1</f>
        <v>92.8094172942126</v>
      </c>
      <c r="EP26" s="588" t="n">
        <f aca="false">EP12*-1</f>
        <v>89.5440811552892</v>
      </c>
    </row>
    <row r="27" customFormat="false" ht="12.75" hidden="false" customHeight="false" outlineLevel="0" collapsed="false">
      <c r="B27" s="586" t="n">
        <v>2009</v>
      </c>
      <c r="C27" s="588" t="n">
        <f aca="false">C13*-1</f>
        <v>79.9177648264326</v>
      </c>
      <c r="D27" s="588" t="n">
        <f aca="false">D13*-1</f>
        <v>88.3212819458495</v>
      </c>
      <c r="E27" s="588" t="n">
        <f aca="false">E13*-1</f>
        <v>93.8464637595715</v>
      </c>
      <c r="F27" s="588" t="n">
        <f aca="false">F13*-1</f>
        <v>95.004112465677</v>
      </c>
      <c r="G27" s="588" t="n">
        <f aca="false">G13*-1</f>
        <v>90.9709571412069</v>
      </c>
      <c r="H27" s="588" t="n">
        <f aca="false">H13*-1</f>
        <v>83.3753640651012</v>
      </c>
      <c r="I27" s="588" t="n">
        <f aca="false">I13*-1</f>
        <v>83.647987721145</v>
      </c>
      <c r="J27" s="588" t="n">
        <f aca="false">J13*-1</f>
        <v>85.9059377784588</v>
      </c>
      <c r="K27" s="588" t="n">
        <f aca="false">K13*-1</f>
        <v>92.5466610327088</v>
      </c>
      <c r="L27" s="588" t="n">
        <f aca="false">L13*-1</f>
        <v>93.1262300620475</v>
      </c>
      <c r="M27" s="588" t="n">
        <f aca="false">M13*-1</f>
        <v>88.0751649744438</v>
      </c>
      <c r="N27" s="588" t="n">
        <f aca="false">N13*-1</f>
        <v>84.5762832491316</v>
      </c>
      <c r="O27" s="588" t="n">
        <f aca="false">O13*-1</f>
        <v>78.3502894974724</v>
      </c>
      <c r="P27" s="588" t="n">
        <f aca="false">P13*-1</f>
        <v>85.9548789598906</v>
      </c>
      <c r="Q27" s="588" t="n">
        <f aca="false">Q13*-1</f>
        <v>91.2331490735404</v>
      </c>
      <c r="R27" s="588" t="n">
        <f aca="false">R13*-1</f>
        <v>92.14664652069</v>
      </c>
      <c r="S27" s="588" t="n">
        <f aca="false">S13*-1</f>
        <v>88.3394441133161</v>
      </c>
      <c r="T27" s="588" t="n">
        <f aca="false">T13*-1</f>
        <v>81.0006703364379</v>
      </c>
      <c r="U27" s="588" t="n">
        <f aca="false">U13*-1</f>
        <v>82.5969104434285</v>
      </c>
      <c r="V27" s="588" t="n">
        <f aca="false">V13*-1</f>
        <v>84.159536588209</v>
      </c>
      <c r="W27" s="588" t="n">
        <f aca="false">W13*-1</f>
        <v>90.3733754844577</v>
      </c>
      <c r="X27" s="588" t="n">
        <f aca="false">X13*-1</f>
        <v>90.7859153380538</v>
      </c>
      <c r="Y27" s="588" t="n">
        <f aca="false">Y13*-1</f>
        <v>86.4129006479802</v>
      </c>
      <c r="Z27" s="588" t="n">
        <f aca="false">Z13*-1</f>
        <v>83.4160289228948</v>
      </c>
      <c r="AA27" s="588" t="n">
        <f aca="false">AA13*-1</f>
        <v>74.681328217784</v>
      </c>
      <c r="AB27" s="588" t="n">
        <f aca="false">AB13*-1</f>
        <v>81.3740729156808</v>
      </c>
      <c r="AC27" s="588" t="n">
        <f aca="false">AC13*-1</f>
        <v>87.7605863251094</v>
      </c>
      <c r="AD27" s="588" t="n">
        <f aca="false">AD13*-1</f>
        <v>90.4154107831387</v>
      </c>
      <c r="AE27" s="588" t="n">
        <f aca="false">AE13*-1</f>
        <v>86.8508406819161</v>
      </c>
      <c r="AF27" s="588" t="n">
        <f aca="false">AF13*-1</f>
        <v>79.4215349164789</v>
      </c>
      <c r="AG27" s="588" t="n">
        <f aca="false">AG13*-1</f>
        <v>82.5122784036545</v>
      </c>
      <c r="AH27" s="588" t="n">
        <f aca="false">AH13*-1</f>
        <v>83.5361358184501</v>
      </c>
      <c r="AI27" s="588" t="n">
        <f aca="false">AI13*-1</f>
        <v>89.5924184094017</v>
      </c>
      <c r="AJ27" s="588" t="n">
        <f aca="false">AJ13*-1</f>
        <v>90.3178915944807</v>
      </c>
      <c r="AK27" s="588" t="n">
        <f aca="false">AK13*-1</f>
        <v>86.3377310368466</v>
      </c>
      <c r="AL27" s="588" t="n">
        <f aca="false">AL13*-1</f>
        <v>83.1266314215394</v>
      </c>
      <c r="AM27" s="588" t="n">
        <f aca="false">AM13*-1</f>
        <v>81.3986597167606</v>
      </c>
      <c r="AN27" s="588" t="n">
        <f aca="false">AN13*-1</f>
        <v>87.5123825983439</v>
      </c>
      <c r="AO27" s="588" t="n">
        <f aca="false">AO13*-1</f>
        <v>94.4512604127209</v>
      </c>
      <c r="AP27" s="588" t="n">
        <f aca="false">AP13*-1</f>
        <v>97.7002595421131</v>
      </c>
      <c r="AQ27" s="588" t="n">
        <f aca="false">AQ13*-1</f>
        <v>93.2840709433819</v>
      </c>
      <c r="AR27" s="588" t="n">
        <f aca="false">AR13*-1</f>
        <v>84.9799162693552</v>
      </c>
      <c r="AS27" s="588" t="n">
        <f aca="false">AS13*-1</f>
        <v>84.8429870055133</v>
      </c>
      <c r="AT27" s="588" t="n">
        <f aca="false">AT13*-1</f>
        <v>86.2287259544434</v>
      </c>
      <c r="AU27" s="588" t="n">
        <f aca="false">AU13*-1</f>
        <v>92.7762282165096</v>
      </c>
      <c r="AV27" s="588" t="n">
        <f aca="false">AV13*-1</f>
        <v>94.2310378206812</v>
      </c>
      <c r="AW27" s="588" t="n">
        <f aca="false">AW13*-1</f>
        <v>88.9569617243603</v>
      </c>
      <c r="AX27" s="588" t="n">
        <f aca="false">AX13*-1</f>
        <v>85.3630233823035</v>
      </c>
      <c r="AY27" s="588" t="n">
        <f aca="false">AY13*-1</f>
        <v>87.0347429651844</v>
      </c>
      <c r="AZ27" s="588" t="n">
        <f aca="false">AZ13*-1</f>
        <v>93.6579807927703</v>
      </c>
      <c r="BA27" s="588" t="n">
        <f aca="false">BA13*-1</f>
        <v>102.245977016105</v>
      </c>
      <c r="BB27" s="588" t="n">
        <f aca="false">BB13*-1</f>
        <v>105.721689646597</v>
      </c>
      <c r="BC27" s="588" t="n">
        <f aca="false">BC13*-1</f>
        <v>101.203592835849</v>
      </c>
      <c r="BD27" s="588" t="n">
        <f aca="false">BD13*-1</f>
        <v>91.350811959273</v>
      </c>
      <c r="BE27" s="588" t="n">
        <f aca="false">BE13*-1</f>
        <v>90.0841479993129</v>
      </c>
      <c r="BF27" s="588" t="n">
        <f aca="false">BF13*-1</f>
        <v>91.5989760946951</v>
      </c>
      <c r="BG27" s="588" t="n">
        <f aca="false">BG13*-1</f>
        <v>100.944043557882</v>
      </c>
      <c r="BH27" s="588" t="n">
        <f aca="false">BH13*-1</f>
        <v>103.076745712382</v>
      </c>
      <c r="BI27" s="588" t="n">
        <f aca="false">BI13*-1</f>
        <v>96.9501231745591</v>
      </c>
      <c r="BJ27" s="588" t="n">
        <f aca="false">BJ13*-1</f>
        <v>92.2471161486061</v>
      </c>
      <c r="BK27" s="588" t="n">
        <f aca="false">BK13*-1</f>
        <v>90.8311045199881</v>
      </c>
      <c r="BL27" s="588" t="n">
        <f aca="false">BL13*-1</f>
        <v>97.575451627308</v>
      </c>
      <c r="BM27" s="588" t="n">
        <f aca="false">BM13*-1</f>
        <v>106.311494442254</v>
      </c>
      <c r="BN27" s="588" t="n">
        <f aca="false">BN13*-1</f>
        <v>108.812206611884</v>
      </c>
      <c r="BO27" s="588" t="n">
        <f aca="false">BO13*-1</f>
        <v>104.614588369778</v>
      </c>
      <c r="BP27" s="588" t="n">
        <f aca="false">BP13*-1</f>
        <v>95.0913661599827</v>
      </c>
      <c r="BQ27" s="588" t="n">
        <f aca="false">BQ13*-1</f>
        <v>92.3615075451412</v>
      </c>
      <c r="BR27" s="588" t="n">
        <f aca="false">BR13*-1</f>
        <v>93.3590375573879</v>
      </c>
      <c r="BS27" s="588" t="n">
        <f aca="false">BS13*-1</f>
        <v>101.205008273538</v>
      </c>
      <c r="BT27" s="588" t="n">
        <f aca="false">BT13*-1</f>
        <v>103.773357782376</v>
      </c>
      <c r="BU27" s="588" t="n">
        <f aca="false">BU13*-1</f>
        <v>99.2249946261874</v>
      </c>
      <c r="BV27" s="588" t="n">
        <f aca="false">BV13*-1</f>
        <v>94.2237852965282</v>
      </c>
      <c r="BW27" s="588" t="n">
        <f aca="false">BW13*-1</f>
        <v>93.4513752959182</v>
      </c>
      <c r="BX27" s="588" t="n">
        <f aca="false">BX13*-1</f>
        <v>99.7935959823539</v>
      </c>
      <c r="BY27" s="588" t="n">
        <f aca="false">BY13*-1</f>
        <v>108.638138752939</v>
      </c>
      <c r="BZ27" s="588" t="n">
        <f aca="false">BZ13*-1</f>
        <v>110.559805520175</v>
      </c>
      <c r="CA27" s="588" t="n">
        <f aca="false">CA13*-1</f>
        <v>106.998784187229</v>
      </c>
      <c r="CB27" s="588" t="n">
        <f aca="false">CB13*-1</f>
        <v>97.5302916695105</v>
      </c>
      <c r="CC27" s="588" t="n">
        <f aca="false">CC13*-1</f>
        <v>89.2720887472813</v>
      </c>
      <c r="CD27" s="588" t="n">
        <f aca="false">CD13*-1</f>
        <v>90.6334665756714</v>
      </c>
      <c r="CE27" s="588" t="n">
        <f aca="false">CE13*-1</f>
        <v>98.6680692282391</v>
      </c>
      <c r="CF27" s="588" t="n">
        <f aca="false">CF13*-1</f>
        <v>101.675496161517</v>
      </c>
      <c r="CG27" s="588" t="n">
        <f aca="false">CG13*-1</f>
        <v>97.3364271054814</v>
      </c>
      <c r="CH27" s="588" t="n">
        <f aca="false">CH13*-1</f>
        <v>92.2482386910469</v>
      </c>
      <c r="CI27" s="588" t="n">
        <f aca="false">CI13*-1</f>
        <v>95.2499960478446</v>
      </c>
      <c r="CJ27" s="588" t="n">
        <f aca="false">CJ13*-1</f>
        <v>101.402416652962</v>
      </c>
      <c r="CK27" s="588" t="n">
        <f aca="false">CK13*-1</f>
        <v>111.004213300127</v>
      </c>
      <c r="CL27" s="588" t="n">
        <f aca="false">CL13*-1</f>
        <v>113.916903088416</v>
      </c>
      <c r="CM27" s="588" t="n">
        <f aca="false">CM13*-1</f>
        <v>109.541456316998</v>
      </c>
      <c r="CN27" s="588" t="n">
        <f aca="false">CN13*-1</f>
        <v>99.4811213057831</v>
      </c>
      <c r="CO27" s="588" t="n">
        <f aca="false">CO13*-1</f>
        <v>93.2172467026789</v>
      </c>
      <c r="CP27" s="588" t="n">
        <f aca="false">CP13*-1</f>
        <v>94.797446582691</v>
      </c>
      <c r="CQ27" s="588" t="n">
        <f aca="false">CQ13*-1</f>
        <v>104.195912482492</v>
      </c>
      <c r="CR27" s="588" t="n">
        <f aca="false">CR13*-1</f>
        <v>107.74049799726</v>
      </c>
      <c r="CS27" s="588" t="n">
        <f aca="false">CS13*-1</f>
        <v>102.881978547546</v>
      </c>
      <c r="CT27" s="588" t="n">
        <f aca="false">CT13*-1</f>
        <v>97.2420843219699</v>
      </c>
      <c r="CU27" s="588" t="n">
        <f aca="false">CU13*-1</f>
        <v>95.6332081385553</v>
      </c>
      <c r="CV27" s="588" t="n">
        <f aca="false">CV13*-1</f>
        <v>101.929424126421</v>
      </c>
      <c r="CW27" s="588" t="n">
        <f aca="false">CW13*-1</f>
        <v>110.643419509082</v>
      </c>
      <c r="CX27" s="588" t="n">
        <f aca="false">CX13*-1</f>
        <v>113.773227542135</v>
      </c>
      <c r="CY27" s="588" t="n">
        <f aca="false">CY13*-1</f>
        <v>109.009159656047</v>
      </c>
      <c r="CZ27" s="588" t="n">
        <f aca="false">CZ13*-1</f>
        <v>98.7057250379407</v>
      </c>
      <c r="DA27" s="588" t="n">
        <f aca="false">DA13*-1</f>
        <v>99.4901951552706</v>
      </c>
      <c r="DB27" s="588" t="n">
        <f aca="false">DB13*-1</f>
        <v>100.232764386596</v>
      </c>
      <c r="DC27" s="588" t="n">
        <f aca="false">DC13*-1</f>
        <v>112.627422889542</v>
      </c>
      <c r="DD27" s="588" t="n">
        <f aca="false">DD13*-1</f>
        <v>115.489724300866</v>
      </c>
      <c r="DE27" s="588" t="n">
        <f aca="false">DE13*-1</f>
        <v>107.859869133934</v>
      </c>
      <c r="DF27" s="588" t="n">
        <f aca="false">DF13*-1</f>
        <v>103.301506915107</v>
      </c>
      <c r="DG27" s="588" t="n">
        <f aca="false">DG13*-1</f>
        <v>88.9380983141444</v>
      </c>
      <c r="DH27" s="588" t="n">
        <f aca="false">DH13*-1</f>
        <v>96.6806795614668</v>
      </c>
      <c r="DI27" s="588" t="n">
        <f aca="false">DI13*-1</f>
        <v>104.753363849649</v>
      </c>
      <c r="DJ27" s="588" t="n">
        <f aca="false">DJ13*-1</f>
        <v>107.794793491109</v>
      </c>
      <c r="DK27" s="588" t="n">
        <f aca="false">DK13*-1</f>
        <v>102.704238650532</v>
      </c>
      <c r="DL27" s="588" t="n">
        <f aca="false">DL13*-1</f>
        <v>92.447229045322</v>
      </c>
      <c r="DM27" s="588" t="n">
        <f aca="false">DM13*-1</f>
        <v>93.1909304894938</v>
      </c>
      <c r="DN27" s="588" t="n">
        <f aca="false">DN13*-1</f>
        <v>94.5362328874749</v>
      </c>
      <c r="DO27" s="588" t="n">
        <f aca="false">DO13*-1</f>
        <v>104.928934715567</v>
      </c>
      <c r="DP27" s="588" t="n">
        <f aca="false">DP13*-1</f>
        <v>107.710810876499</v>
      </c>
      <c r="DQ27" s="588" t="n">
        <f aca="false">DQ13*-1</f>
        <v>100.194156759264</v>
      </c>
      <c r="DR27" s="588" t="n">
        <f aca="false">DR13*-1</f>
        <v>95.2768284858803</v>
      </c>
      <c r="DS27" s="588" t="n">
        <f aca="false">DS13*-1</f>
        <v>85.3098496986501</v>
      </c>
      <c r="DT27" s="588" t="n">
        <f aca="false">DT13*-1</f>
        <v>90.9591120809531</v>
      </c>
      <c r="DU27" s="588" t="n">
        <f aca="false">DU13*-1</f>
        <v>96.7106008611065</v>
      </c>
      <c r="DV27" s="588" t="n">
        <f aca="false">DV13*-1</f>
        <v>99.0828824398734</v>
      </c>
      <c r="DW27" s="588" t="n">
        <f aca="false">DW13*-1</f>
        <v>95.3725287830491</v>
      </c>
      <c r="DX27" s="588" t="n">
        <f aca="false">DX13*-1</f>
        <v>87.5943257229459</v>
      </c>
      <c r="DY27" s="588" t="n">
        <f aca="false">DY13*-1</f>
        <v>88.4915519310014</v>
      </c>
      <c r="DZ27" s="588" t="n">
        <f aca="false">DZ13*-1</f>
        <v>89.5975262671104</v>
      </c>
      <c r="EA27" s="588" t="n">
        <f aca="false">EA13*-1</f>
        <v>95.6847522053899</v>
      </c>
      <c r="EB27" s="588" t="n">
        <f aca="false">EB13*-1</f>
        <v>98.5572001741923</v>
      </c>
      <c r="EC27" s="588" t="n">
        <f aca="false">EC13*-1</f>
        <v>93.7273103160331</v>
      </c>
      <c r="ED27" s="588" t="n">
        <f aca="false">ED13*-1</f>
        <v>89.5457144829937</v>
      </c>
      <c r="EE27" s="588" t="n">
        <f aca="false">EE13*-1</f>
        <v>83.2180292293978</v>
      </c>
      <c r="EF27" s="588" t="n">
        <f aca="false">EF13*-1</f>
        <v>89.1119496064478</v>
      </c>
      <c r="EG27" s="588" t="n">
        <f aca="false">EG13*-1</f>
        <v>94.7149821686482</v>
      </c>
      <c r="EH27" s="588" t="n">
        <f aca="false">EH13*-1</f>
        <v>95.7139477473483</v>
      </c>
      <c r="EI27" s="588" t="n">
        <f aca="false">EI13*-1</f>
        <v>92.0672991981551</v>
      </c>
      <c r="EJ27" s="588" t="n">
        <f aca="false">EJ13*-1</f>
        <v>85.0420797352967</v>
      </c>
      <c r="EK27" s="588" t="n">
        <f aca="false">EK13*-1</f>
        <v>86.5894599157643</v>
      </c>
      <c r="EL27" s="588" t="n">
        <f aca="false">EL13*-1</f>
        <v>87.9355767528013</v>
      </c>
      <c r="EM27" s="588" t="n">
        <f aca="false">EM13*-1</f>
        <v>93.839072998053</v>
      </c>
      <c r="EN27" s="588" t="n">
        <f aca="false">EN13*-1</f>
        <v>94.8643878907766</v>
      </c>
      <c r="EO27" s="588" t="n">
        <f aca="false">EO13*-1</f>
        <v>90.8402941980129</v>
      </c>
      <c r="EP27" s="588" t="n">
        <f aca="false">EP13*-1</f>
        <v>87.9103866024303</v>
      </c>
    </row>
    <row r="28" customFormat="false" ht="12.75" hidden="false" customHeight="false" outlineLevel="0" collapsed="false">
      <c r="B28" s="586" t="n">
        <v>2010</v>
      </c>
      <c r="C28" s="588" t="n">
        <f aca="false">C14*-1</f>
        <v>76.5378584075019</v>
      </c>
      <c r="D28" s="588" t="n">
        <f aca="false">D14*-1</f>
        <v>83.5255778997899</v>
      </c>
      <c r="E28" s="588" t="n">
        <f aca="false">E14*-1</f>
        <v>86.7249386048469</v>
      </c>
      <c r="F28" s="588" t="n">
        <f aca="false">F14*-1</f>
        <v>86.3805702211625</v>
      </c>
      <c r="G28" s="588" t="n">
        <f aca="false">G14*-1</f>
        <v>82.2998244844397</v>
      </c>
      <c r="H28" s="588" t="n">
        <f aca="false">H14*-1</f>
        <v>77.9122080613162</v>
      </c>
      <c r="I28" s="588" t="n">
        <f aca="false">I14*-1</f>
        <v>79.5213883692198</v>
      </c>
      <c r="J28" s="588" t="n">
        <f aca="false">J14*-1</f>
        <v>81.2620644612766</v>
      </c>
      <c r="K28" s="588" t="n">
        <f aca="false">K14*-1</f>
        <v>86.1359508722116</v>
      </c>
      <c r="L28" s="588" t="n">
        <f aca="false">L14*-1</f>
        <v>84.6061640612778</v>
      </c>
      <c r="M28" s="588" t="n">
        <f aca="false">M14*-1</f>
        <v>81.6740591873452</v>
      </c>
      <c r="N28" s="588" t="n">
        <f aca="false">N14*-1</f>
        <v>80.0941437625166</v>
      </c>
      <c r="O28" s="588" t="n">
        <f aca="false">O14*-1</f>
        <v>71.9687558941014</v>
      </c>
      <c r="P28" s="588" t="n">
        <f aca="false">P14*-1</f>
        <v>76.0231898912134</v>
      </c>
      <c r="Q28" s="588" t="n">
        <f aca="false">Q14*-1</f>
        <v>78.9029172484539</v>
      </c>
      <c r="R28" s="588" t="n">
        <f aca="false">R14*-1</f>
        <v>78.348955092299</v>
      </c>
      <c r="S28" s="588" t="n">
        <f aca="false">S14*-1</f>
        <v>75.4078411842979</v>
      </c>
      <c r="T28" s="588" t="n">
        <f aca="false">T14*-1</f>
        <v>72.5512057059727</v>
      </c>
      <c r="U28" s="588" t="n">
        <f aca="false">U14*-1</f>
        <v>70.7498857161491</v>
      </c>
      <c r="V28" s="588" t="n">
        <f aca="false">V14*-1</f>
        <v>71.9678672531353</v>
      </c>
      <c r="W28" s="588" t="n">
        <f aca="false">W14*-1</f>
        <v>74.8888748601428</v>
      </c>
      <c r="X28" s="588" t="n">
        <f aca="false">X14*-1</f>
        <v>74.4163288385364</v>
      </c>
      <c r="Y28" s="588" t="n">
        <f aca="false">Y14*-1</f>
        <v>72.8456719138492</v>
      </c>
      <c r="Z28" s="588" t="n">
        <f aca="false">Z14*-1</f>
        <v>71.345211232377</v>
      </c>
      <c r="AA28" s="588" t="n">
        <f aca="false">AA14*-1</f>
        <v>68.6186791699877</v>
      </c>
      <c r="AB28" s="588" t="n">
        <f aca="false">AB14*-1</f>
        <v>71.1811943118416</v>
      </c>
      <c r="AC28" s="588" t="n">
        <f aca="false">AC14*-1</f>
        <v>75.0374127180696</v>
      </c>
      <c r="AD28" s="588" t="n">
        <f aca="false">AD14*-1</f>
        <v>76.0361110959704</v>
      </c>
      <c r="AE28" s="588" t="n">
        <f aca="false">AE14*-1</f>
        <v>73.4952430703595</v>
      </c>
      <c r="AF28" s="588" t="n">
        <f aca="false">AF14*-1</f>
        <v>70.9475397021002</v>
      </c>
      <c r="AG28" s="588" t="n">
        <f aca="false">AG14*-1</f>
        <v>70.4608561038211</v>
      </c>
      <c r="AH28" s="588" t="n">
        <f aca="false">AH14*-1</f>
        <v>71.3607615460128</v>
      </c>
      <c r="AI28" s="588" t="n">
        <f aca="false">AI14*-1</f>
        <v>74.0048036711048</v>
      </c>
      <c r="AJ28" s="588" t="n">
        <f aca="false">AJ14*-1</f>
        <v>73.9405499818986</v>
      </c>
      <c r="AK28" s="588" t="n">
        <f aca="false">AK14*-1</f>
        <v>72.450147426966</v>
      </c>
      <c r="AL28" s="588" t="n">
        <f aca="false">AL14*-1</f>
        <v>70.7496238100473</v>
      </c>
      <c r="AM28" s="588" t="n">
        <f aca="false">AM14*-1</f>
        <v>76.1877752746914</v>
      </c>
      <c r="AN28" s="588" t="n">
        <f aca="false">AN14*-1</f>
        <v>79.3230734582585</v>
      </c>
      <c r="AO28" s="588" t="n">
        <f aca="false">AO14*-1</f>
        <v>83.4997276133065</v>
      </c>
      <c r="AP28" s="588" t="n">
        <f aca="false">AP14*-1</f>
        <v>84.5655854553492</v>
      </c>
      <c r="AQ28" s="588" t="n">
        <f aca="false">AQ14*-1</f>
        <v>81.5097698103558</v>
      </c>
      <c r="AR28" s="588" t="n">
        <f aca="false">AR14*-1</f>
        <v>77.8111403847437</v>
      </c>
      <c r="AS28" s="588" t="n">
        <f aca="false">AS14*-1</f>
        <v>74.3344462848328</v>
      </c>
      <c r="AT28" s="588" t="n">
        <f aca="false">AT14*-1</f>
        <v>75.4619757468752</v>
      </c>
      <c r="AU28" s="588" t="n">
        <f aca="false">AU14*-1</f>
        <v>78.4612495752615</v>
      </c>
      <c r="AV28" s="588" t="n">
        <f aca="false">AV14*-1</f>
        <v>78.5328601893342</v>
      </c>
      <c r="AW28" s="588" t="n">
        <f aca="false">AW14*-1</f>
        <v>77.0137655396672</v>
      </c>
      <c r="AX28" s="588" t="n">
        <f aca="false">AX14*-1</f>
        <v>74.7307030070967</v>
      </c>
      <c r="AY28" s="588" t="n">
        <f aca="false">AY14*-1</f>
        <v>82.4128840822926</v>
      </c>
      <c r="AZ28" s="588" t="n">
        <f aca="false">AZ14*-1</f>
        <v>86.2502956493062</v>
      </c>
      <c r="BA28" s="588" t="n">
        <f aca="false">BA14*-1</f>
        <v>91.5711169920775</v>
      </c>
      <c r="BB28" s="588" t="n">
        <f aca="false">BB14*-1</f>
        <v>92.7490978075189</v>
      </c>
      <c r="BC28" s="588" t="n">
        <f aca="false">BC14*-1</f>
        <v>89.3433262683523</v>
      </c>
      <c r="BD28" s="588" t="n">
        <f aca="false">BD14*-1</f>
        <v>84.6174822852512</v>
      </c>
      <c r="BE28" s="588" t="n">
        <f aca="false">BE14*-1</f>
        <v>82.9790178825623</v>
      </c>
      <c r="BF28" s="588" t="n">
        <f aca="false">BF14*-1</f>
        <v>84.3156095666975</v>
      </c>
      <c r="BG28" s="588" t="n">
        <f aca="false">BG14*-1</f>
        <v>89.2761169689171</v>
      </c>
      <c r="BH28" s="588" t="n">
        <f aca="false">BH14*-1</f>
        <v>89.8188345035153</v>
      </c>
      <c r="BI28" s="588" t="n">
        <f aca="false">BI14*-1</f>
        <v>87.5056081494009</v>
      </c>
      <c r="BJ28" s="588" t="n">
        <f aca="false">BJ14*-1</f>
        <v>84.7125140859909</v>
      </c>
      <c r="BK28" s="588" t="n">
        <f aca="false">BK14*-1</f>
        <v>86.6301601577776</v>
      </c>
      <c r="BL28" s="588" t="n">
        <f aca="false">BL14*-1</f>
        <v>92.2752887074179</v>
      </c>
      <c r="BM28" s="588" t="n">
        <f aca="false">BM14*-1</f>
        <v>98.5475770147059</v>
      </c>
      <c r="BN28" s="588" t="n">
        <f aca="false">BN14*-1</f>
        <v>99.1468991297746</v>
      </c>
      <c r="BO28" s="588" t="n">
        <f aca="false">BO14*-1</f>
        <v>95.2349332752464</v>
      </c>
      <c r="BP28" s="588" t="n">
        <f aca="false">BP14*-1</f>
        <v>89.1244307965947</v>
      </c>
      <c r="BQ28" s="588" t="n">
        <f aca="false">BQ14*-1</f>
        <v>87.5664078110151</v>
      </c>
      <c r="BR28" s="588" t="n">
        <f aca="false">BR14*-1</f>
        <v>88.3255894493993</v>
      </c>
      <c r="BS28" s="588" t="n">
        <f aca="false">BS14*-1</f>
        <v>93.4757662026264</v>
      </c>
      <c r="BT28" s="588" t="n">
        <f aca="false">BT14*-1</f>
        <v>93.8419949533809</v>
      </c>
      <c r="BU28" s="588" t="n">
        <f aca="false">BU14*-1</f>
        <v>91.2872034932237</v>
      </c>
      <c r="BV28" s="588" t="n">
        <f aca="false">BV14*-1</f>
        <v>88.6615734202454</v>
      </c>
      <c r="BW28" s="588" t="n">
        <f aca="false">BW14*-1</f>
        <v>88.5700899958035</v>
      </c>
      <c r="BX28" s="588" t="n">
        <f aca="false">BX14*-1</f>
        <v>93.9681708336061</v>
      </c>
      <c r="BY28" s="588" t="n">
        <f aca="false">BY14*-1</f>
        <v>100.615620979894</v>
      </c>
      <c r="BZ28" s="588" t="n">
        <f aca="false">BZ14*-1</f>
        <v>100.900124607874</v>
      </c>
      <c r="CA28" s="588" t="n">
        <f aca="false">CA14*-1</f>
        <v>97.3827416115082</v>
      </c>
      <c r="CB28" s="588" t="n">
        <f aca="false">CB14*-1</f>
        <v>90.7960247390818</v>
      </c>
      <c r="CC28" s="588" t="n">
        <f aca="false">CC14*-1</f>
        <v>85.0349445881418</v>
      </c>
      <c r="CD28" s="588" t="n">
        <f aca="false">CD14*-1</f>
        <v>86.0633962991204</v>
      </c>
      <c r="CE28" s="588" t="n">
        <f aca="false">CE14*-1</f>
        <v>92.1677135977629</v>
      </c>
      <c r="CF28" s="588" t="n">
        <f aca="false">CF14*-1</f>
        <v>92.9096553360958</v>
      </c>
      <c r="CG28" s="588" t="n">
        <f aca="false">CG14*-1</f>
        <v>90.2475438358348</v>
      </c>
      <c r="CH28" s="588" t="n">
        <f aca="false">CH14*-1</f>
        <v>87.621133219383</v>
      </c>
      <c r="CI28" s="588" t="n">
        <f aca="false">CI14*-1</f>
        <v>90.6529194653387</v>
      </c>
      <c r="CJ28" s="588" t="n">
        <f aca="false">CJ14*-1</f>
        <v>95.7785385937215</v>
      </c>
      <c r="CK28" s="588" t="n">
        <f aca="false">CK14*-1</f>
        <v>102.882635866567</v>
      </c>
      <c r="CL28" s="588" t="n">
        <f aca="false">CL14*-1</f>
        <v>104.002848320741</v>
      </c>
      <c r="CM28" s="588" t="n">
        <f aca="false">CM14*-1</f>
        <v>99.8516142457589</v>
      </c>
      <c r="CN28" s="588" t="n">
        <f aca="false">CN14*-1</f>
        <v>92.9239446170239</v>
      </c>
      <c r="CO28" s="588" t="n">
        <f aca="false">CO14*-1</f>
        <v>89.0457830839206</v>
      </c>
      <c r="CP28" s="588" t="n">
        <f aca="false">CP14*-1</f>
        <v>90.4113507594828</v>
      </c>
      <c r="CQ28" s="588" t="n">
        <f aca="false">CQ14*-1</f>
        <v>97.9247286313464</v>
      </c>
      <c r="CR28" s="588" t="n">
        <f aca="false">CR14*-1</f>
        <v>99.0509520868274</v>
      </c>
      <c r="CS28" s="588" t="n">
        <f aca="false">CS14*-1</f>
        <v>95.9349311297316</v>
      </c>
      <c r="CT28" s="588" t="n">
        <f aca="false">CT14*-1</f>
        <v>92.4972499315361</v>
      </c>
      <c r="CU28" s="588" t="n">
        <f aca="false">CU14*-1</f>
        <v>90.310235946164</v>
      </c>
      <c r="CV28" s="588" t="n">
        <f aca="false">CV14*-1</f>
        <v>93.4652175829062</v>
      </c>
      <c r="CW28" s="588" t="n">
        <f aca="false">CW14*-1</f>
        <v>98.9235605921566</v>
      </c>
      <c r="CX28" s="588" t="n">
        <f aca="false">CX14*-1</f>
        <v>99.5888402815838</v>
      </c>
      <c r="CY28" s="588" t="n">
        <f aca="false">CY14*-1</f>
        <v>96.0125497843662</v>
      </c>
      <c r="CZ28" s="588" t="n">
        <f aca="false">CZ14*-1</f>
        <v>91.2470023537178</v>
      </c>
      <c r="DA28" s="588" t="n">
        <f aca="false">DA14*-1</f>
        <v>90.3522086364967</v>
      </c>
      <c r="DB28" s="588" t="n">
        <f aca="false">DB14*-1</f>
        <v>91.0191433453492</v>
      </c>
      <c r="DC28" s="588" t="n">
        <f aca="false">DC14*-1</f>
        <v>97.3842305191851</v>
      </c>
      <c r="DD28" s="588" t="n">
        <f aca="false">DD14*-1</f>
        <v>99.3357440800118</v>
      </c>
      <c r="DE28" s="588" t="n">
        <f aca="false">DE14*-1</f>
        <v>96.9144506611397</v>
      </c>
      <c r="DF28" s="588" t="n">
        <f aca="false">DF14*-1</f>
        <v>93.9659112554843</v>
      </c>
      <c r="DG28" s="588" t="n">
        <f aca="false">DG14*-1</f>
        <v>-0</v>
      </c>
      <c r="DH28" s="588" t="n">
        <f aca="false">DH14*-1</f>
        <v>-0</v>
      </c>
      <c r="DI28" s="588" t="n">
        <f aca="false">DI14*-1</f>
        <v>-0</v>
      </c>
      <c r="DJ28" s="588" t="n">
        <f aca="false">DJ14*-1</f>
        <v>-0</v>
      </c>
      <c r="DK28" s="588" t="n">
        <f aca="false">DK14*-1</f>
        <v>-0</v>
      </c>
      <c r="DL28" s="588" t="n">
        <f aca="false">DL14*-1</f>
        <v>-0</v>
      </c>
      <c r="DM28" s="588" t="n">
        <f aca="false">DM14*-1</f>
        <v>-0</v>
      </c>
      <c r="DN28" s="588" t="n">
        <f aca="false">DN14*-1</f>
        <v>-0</v>
      </c>
      <c r="DO28" s="588" t="n">
        <f aca="false">DO14*-1</f>
        <v>-0</v>
      </c>
      <c r="DP28" s="588" t="n">
        <f aca="false">DP14*-1</f>
        <v>-0</v>
      </c>
      <c r="DQ28" s="588" t="n">
        <f aca="false">DQ14*-1</f>
        <v>-0</v>
      </c>
      <c r="DR28" s="588" t="n">
        <f aca="false">DR14*-1</f>
        <v>-0</v>
      </c>
      <c r="DS28" s="588" t="n">
        <f aca="false">DS14*-1</f>
        <v>-0</v>
      </c>
      <c r="DT28" s="588" t="n">
        <f aca="false">DT14*-1</f>
        <v>-0</v>
      </c>
      <c r="DU28" s="588" t="n">
        <f aca="false">DU14*-1</f>
        <v>-0</v>
      </c>
      <c r="DV28" s="588" t="n">
        <f aca="false">DV14*-1</f>
        <v>-0</v>
      </c>
      <c r="DW28" s="588" t="n">
        <f aca="false">DW14*-1</f>
        <v>-0</v>
      </c>
      <c r="DX28" s="588" t="n">
        <f aca="false">DX14*-1</f>
        <v>-0</v>
      </c>
      <c r="DY28" s="588" t="n">
        <f aca="false">DY14*-1</f>
        <v>-0</v>
      </c>
      <c r="DZ28" s="588" t="n">
        <f aca="false">DZ14*-1</f>
        <v>-0</v>
      </c>
      <c r="EA28" s="588" t="n">
        <f aca="false">EA14*-1</f>
        <v>-0</v>
      </c>
      <c r="EB28" s="588" t="n">
        <f aca="false">EB14*-1</f>
        <v>-0</v>
      </c>
      <c r="EC28" s="588" t="n">
        <f aca="false">EC14*-1</f>
        <v>-0</v>
      </c>
      <c r="ED28" s="588" t="n">
        <f aca="false">ED14*-1</f>
        <v>-0</v>
      </c>
      <c r="EE28" s="588" t="n">
        <f aca="false">EE14*-1</f>
        <v>-0</v>
      </c>
      <c r="EF28" s="588" t="n">
        <f aca="false">EF14*-1</f>
        <v>-0</v>
      </c>
      <c r="EG28" s="588" t="n">
        <f aca="false">EG14*-1</f>
        <v>-0</v>
      </c>
      <c r="EH28" s="588" t="n">
        <f aca="false">EH14*-1</f>
        <v>-0</v>
      </c>
      <c r="EI28" s="588" t="n">
        <f aca="false">EI14*-1</f>
        <v>-0</v>
      </c>
      <c r="EJ28" s="588" t="n">
        <f aca="false">EJ14*-1</f>
        <v>-0</v>
      </c>
      <c r="EK28" s="588" t="n">
        <f aca="false">EK14*-1</f>
        <v>-0</v>
      </c>
      <c r="EL28" s="588" t="n">
        <f aca="false">EL14*-1</f>
        <v>-0</v>
      </c>
      <c r="EM28" s="588" t="n">
        <f aca="false">EM14*-1</f>
        <v>-0</v>
      </c>
      <c r="EN28" s="588" t="n">
        <f aca="false">EN14*-1</f>
        <v>-0</v>
      </c>
      <c r="EO28" s="588" t="n">
        <f aca="false">EO14*-1</f>
        <v>-0</v>
      </c>
      <c r="EP28" s="588" t="n">
        <f aca="false">EP14*-1</f>
        <v>-0</v>
      </c>
    </row>
    <row r="29" customFormat="false" ht="12.75" hidden="false" customHeight="false" outlineLevel="0" collapsed="false">
      <c r="B29" s="589" t="s">
        <v>507</v>
      </c>
      <c r="C29" s="590" t="n">
        <f aca="false">MAX(C18:EP28)</f>
        <v>126.653370812041</v>
      </c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  <c r="AC29" s="588"/>
      <c r="AD29" s="588"/>
      <c r="AE29" s="588"/>
      <c r="AF29" s="588"/>
      <c r="AG29" s="588"/>
      <c r="AH29" s="588"/>
      <c r="AI29" s="588"/>
      <c r="AJ29" s="588"/>
      <c r="AK29" s="588"/>
      <c r="AL29" s="588"/>
      <c r="AM29" s="588"/>
      <c r="AN29" s="588"/>
      <c r="AO29" s="588"/>
      <c r="AP29" s="588"/>
      <c r="AQ29" s="588"/>
      <c r="AR29" s="588"/>
      <c r="AS29" s="588"/>
      <c r="AT29" s="588"/>
      <c r="AU29" s="588"/>
      <c r="AV29" s="588"/>
      <c r="AW29" s="588"/>
      <c r="AX29" s="588"/>
      <c r="AY29" s="588"/>
      <c r="AZ29" s="588"/>
      <c r="BA29" s="588"/>
      <c r="BB29" s="588"/>
      <c r="BC29" s="588"/>
      <c r="BD29" s="588"/>
      <c r="BE29" s="588"/>
      <c r="BF29" s="588"/>
      <c r="BG29" s="588"/>
      <c r="BH29" s="588"/>
      <c r="BI29" s="588"/>
      <c r="BJ29" s="588"/>
      <c r="BK29" s="588"/>
      <c r="BL29" s="588"/>
      <c r="BM29" s="588"/>
      <c r="BN29" s="588"/>
      <c r="BO29" s="588"/>
      <c r="BP29" s="588"/>
      <c r="BQ29" s="588"/>
      <c r="BR29" s="588"/>
      <c r="BS29" s="588"/>
      <c r="BT29" s="588"/>
      <c r="BU29" s="588"/>
      <c r="BV29" s="588"/>
      <c r="BW29" s="588"/>
      <c r="BX29" s="588"/>
      <c r="BY29" s="588"/>
      <c r="BZ29" s="588"/>
      <c r="CA29" s="588"/>
      <c r="CB29" s="588"/>
      <c r="CC29" s="588"/>
      <c r="CD29" s="588"/>
      <c r="CE29" s="588"/>
      <c r="CF29" s="588"/>
      <c r="CG29" s="588"/>
      <c r="CH29" s="588"/>
      <c r="CI29" s="588"/>
      <c r="CJ29" s="588"/>
      <c r="CK29" s="588"/>
      <c r="CL29" s="588"/>
      <c r="CM29" s="588"/>
      <c r="CN29" s="588"/>
      <c r="CO29" s="588"/>
      <c r="CP29" s="588"/>
      <c r="CQ29" s="588"/>
      <c r="CR29" s="588"/>
      <c r="CS29" s="588"/>
      <c r="CT29" s="588"/>
      <c r="CU29" s="588"/>
      <c r="CV29" s="588"/>
      <c r="CW29" s="588"/>
      <c r="CX29" s="588"/>
      <c r="CY29" s="588"/>
      <c r="CZ29" s="588"/>
      <c r="DA29" s="588"/>
      <c r="DB29" s="588"/>
      <c r="DC29" s="588"/>
      <c r="DD29" s="588"/>
      <c r="DE29" s="588"/>
      <c r="DF29" s="588"/>
      <c r="DG29" s="588"/>
      <c r="DH29" s="588"/>
      <c r="DI29" s="588"/>
      <c r="DJ29" s="588"/>
      <c r="DK29" s="588"/>
      <c r="DL29" s="588"/>
      <c r="DM29" s="588"/>
      <c r="DN29" s="588"/>
      <c r="DO29" s="588"/>
      <c r="DP29" s="588"/>
      <c r="DQ29" s="588"/>
      <c r="DR29" s="588"/>
      <c r="DS29" s="588"/>
      <c r="DT29" s="588"/>
      <c r="DU29" s="588"/>
      <c r="DV29" s="588"/>
      <c r="DW29" s="588"/>
      <c r="DX29" s="588"/>
      <c r="DY29" s="588"/>
      <c r="DZ29" s="588"/>
      <c r="EA29" s="588"/>
      <c r="EB29" s="588"/>
      <c r="EC29" s="588"/>
      <c r="ED29" s="588"/>
      <c r="EE29" s="588"/>
      <c r="EF29" s="588"/>
      <c r="EG29" s="588"/>
      <c r="EH29" s="588"/>
      <c r="EI29" s="588"/>
      <c r="EJ29" s="588"/>
      <c r="EK29" s="588"/>
      <c r="EL29" s="588"/>
      <c r="EM29" s="588"/>
      <c r="EN29" s="588"/>
      <c r="EO29" s="588"/>
      <c r="EP29" s="588"/>
    </row>
    <row r="30" customFormat="false" ht="12.75" hidden="false" customHeight="false" outlineLevel="0" collapsed="false">
      <c r="B30" s="591" t="s">
        <v>64</v>
      </c>
      <c r="C30" s="592" t="n">
        <f aca="false">MIN(C18:EP28)</f>
        <v>-0</v>
      </c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  <c r="AC30" s="588"/>
      <c r="AD30" s="588"/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8"/>
      <c r="AP30" s="588"/>
      <c r="AQ30" s="588"/>
      <c r="AR30" s="588"/>
      <c r="AS30" s="588"/>
      <c r="AT30" s="588"/>
      <c r="AU30" s="588"/>
      <c r="AV30" s="588"/>
      <c r="AW30" s="588"/>
      <c r="AX30" s="588"/>
      <c r="AY30" s="588"/>
      <c r="AZ30" s="588"/>
      <c r="BA30" s="588"/>
      <c r="BB30" s="588"/>
      <c r="BC30" s="588"/>
      <c r="BD30" s="588"/>
      <c r="BE30" s="588"/>
      <c r="BF30" s="588"/>
      <c r="BG30" s="588"/>
      <c r="BH30" s="588"/>
      <c r="BI30" s="588"/>
      <c r="BJ30" s="588"/>
      <c r="BK30" s="588"/>
      <c r="BL30" s="588"/>
      <c r="BM30" s="588"/>
      <c r="BN30" s="588"/>
      <c r="BO30" s="588"/>
      <c r="BP30" s="588"/>
      <c r="BQ30" s="588"/>
      <c r="BR30" s="588"/>
      <c r="BS30" s="588"/>
      <c r="BT30" s="588"/>
      <c r="BU30" s="588"/>
      <c r="BV30" s="588"/>
      <c r="BW30" s="588"/>
      <c r="BX30" s="588"/>
      <c r="BY30" s="588"/>
      <c r="BZ30" s="588"/>
      <c r="CA30" s="588"/>
      <c r="CB30" s="588"/>
      <c r="CC30" s="588"/>
      <c r="CD30" s="588"/>
      <c r="CE30" s="588"/>
      <c r="CF30" s="588"/>
      <c r="CG30" s="588"/>
      <c r="CH30" s="588"/>
      <c r="CI30" s="588"/>
      <c r="CJ30" s="588"/>
      <c r="CK30" s="588"/>
      <c r="CL30" s="588"/>
      <c r="CM30" s="588"/>
      <c r="CN30" s="588"/>
      <c r="CO30" s="588"/>
      <c r="CP30" s="588"/>
      <c r="CQ30" s="588"/>
      <c r="CR30" s="588"/>
      <c r="CS30" s="588"/>
      <c r="CT30" s="588"/>
      <c r="CU30" s="588"/>
      <c r="CV30" s="588"/>
      <c r="CW30" s="588"/>
      <c r="CX30" s="588"/>
      <c r="CY30" s="588"/>
      <c r="CZ30" s="588"/>
      <c r="DA30" s="588"/>
      <c r="DB30" s="588"/>
      <c r="DC30" s="588"/>
      <c r="DD30" s="588"/>
      <c r="DE30" s="588"/>
      <c r="DF30" s="588"/>
      <c r="DG30" s="588"/>
      <c r="DH30" s="588"/>
      <c r="DI30" s="588"/>
      <c r="DJ30" s="588"/>
      <c r="DK30" s="588"/>
      <c r="DL30" s="588"/>
      <c r="DM30" s="588"/>
      <c r="DN30" s="588"/>
      <c r="DO30" s="588"/>
      <c r="DP30" s="588"/>
      <c r="DQ30" s="588"/>
      <c r="DR30" s="588"/>
      <c r="DS30" s="588"/>
      <c r="DT30" s="588"/>
      <c r="DU30" s="588"/>
      <c r="DV30" s="588"/>
      <c r="DW30" s="588"/>
      <c r="DX30" s="588"/>
      <c r="DY30" s="588"/>
      <c r="DZ30" s="588"/>
      <c r="EA30" s="588"/>
      <c r="EB30" s="588"/>
      <c r="EC30" s="588"/>
      <c r="ED30" s="588"/>
      <c r="EE30" s="588"/>
      <c r="EF30" s="588"/>
      <c r="EG30" s="588"/>
      <c r="EH30" s="588"/>
      <c r="EI30" s="588"/>
      <c r="EJ30" s="588"/>
      <c r="EK30" s="588"/>
      <c r="EL30" s="588"/>
      <c r="EM30" s="588"/>
      <c r="EN30" s="588"/>
      <c r="EO30" s="588"/>
      <c r="EP30" s="588"/>
    </row>
    <row r="31" customFormat="false" ht="12.75" hidden="false" customHeight="false" outlineLevel="0" collapsed="false">
      <c r="B31" s="586"/>
      <c r="C31" s="588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  <c r="AC31" s="588"/>
      <c r="AD31" s="588"/>
      <c r="AE31" s="588"/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588"/>
      <c r="AR31" s="588"/>
      <c r="AS31" s="588"/>
      <c r="AT31" s="588"/>
      <c r="AU31" s="588"/>
      <c r="AV31" s="588"/>
      <c r="AW31" s="588"/>
      <c r="AX31" s="588"/>
      <c r="AY31" s="588"/>
      <c r="AZ31" s="588"/>
      <c r="BA31" s="588"/>
      <c r="BB31" s="588"/>
      <c r="BC31" s="588"/>
      <c r="BD31" s="588"/>
      <c r="BE31" s="588"/>
      <c r="BF31" s="588"/>
      <c r="BG31" s="588"/>
      <c r="BH31" s="588"/>
      <c r="BI31" s="588"/>
      <c r="BJ31" s="588"/>
      <c r="BK31" s="588"/>
      <c r="BL31" s="588"/>
      <c r="BM31" s="588"/>
      <c r="BN31" s="588"/>
      <c r="BO31" s="588"/>
      <c r="BP31" s="588"/>
      <c r="BQ31" s="588"/>
      <c r="BR31" s="588"/>
      <c r="BS31" s="588"/>
      <c r="BT31" s="588"/>
      <c r="BU31" s="588"/>
      <c r="BV31" s="588"/>
      <c r="BW31" s="588"/>
      <c r="BX31" s="588"/>
      <c r="BY31" s="588"/>
      <c r="BZ31" s="588"/>
      <c r="CA31" s="588"/>
      <c r="CB31" s="588"/>
      <c r="CC31" s="588"/>
      <c r="CD31" s="588"/>
      <c r="CE31" s="588"/>
      <c r="CF31" s="588"/>
      <c r="CG31" s="588"/>
      <c r="CH31" s="588"/>
      <c r="CI31" s="588"/>
      <c r="CJ31" s="588"/>
      <c r="CK31" s="588"/>
      <c r="CL31" s="588"/>
      <c r="CM31" s="588"/>
      <c r="CN31" s="588"/>
      <c r="CO31" s="588"/>
      <c r="CP31" s="588"/>
      <c r="CQ31" s="588"/>
      <c r="CR31" s="588"/>
      <c r="CS31" s="588"/>
      <c r="CT31" s="588"/>
      <c r="CU31" s="588"/>
      <c r="CV31" s="588"/>
      <c r="CW31" s="588"/>
      <c r="CX31" s="588"/>
      <c r="CY31" s="588"/>
      <c r="CZ31" s="588"/>
      <c r="DA31" s="588"/>
      <c r="DB31" s="588"/>
      <c r="DC31" s="588"/>
      <c r="DD31" s="588"/>
      <c r="DE31" s="588"/>
      <c r="DF31" s="588"/>
      <c r="DG31" s="588"/>
      <c r="DH31" s="588"/>
      <c r="DI31" s="588"/>
      <c r="DJ31" s="588"/>
      <c r="DK31" s="588"/>
      <c r="DL31" s="588"/>
      <c r="DM31" s="588"/>
      <c r="DN31" s="588"/>
      <c r="DO31" s="588"/>
      <c r="DP31" s="588"/>
      <c r="DQ31" s="588"/>
      <c r="DR31" s="588"/>
      <c r="DS31" s="588"/>
      <c r="DT31" s="588"/>
      <c r="DU31" s="588"/>
      <c r="DV31" s="588"/>
      <c r="DW31" s="588"/>
      <c r="DX31" s="588"/>
      <c r="DY31" s="588"/>
      <c r="DZ31" s="588"/>
      <c r="EA31" s="588"/>
      <c r="EB31" s="588"/>
      <c r="EC31" s="588"/>
      <c r="ED31" s="588"/>
      <c r="EE31" s="588"/>
      <c r="EF31" s="588"/>
      <c r="EG31" s="588"/>
      <c r="EH31" s="588"/>
      <c r="EI31" s="588"/>
      <c r="EJ31" s="588"/>
      <c r="EK31" s="588"/>
      <c r="EL31" s="588"/>
      <c r="EM31" s="588"/>
      <c r="EN31" s="588"/>
      <c r="EO31" s="588"/>
      <c r="EP31" s="588"/>
    </row>
    <row r="32" customFormat="false" ht="12.75" hidden="false" customHeight="false" outlineLevel="0" collapsed="false">
      <c r="B32" s="584" t="s">
        <v>180</v>
      </c>
      <c r="C32" s="593" t="s">
        <v>483</v>
      </c>
      <c r="D32" s="586" t="s">
        <v>484</v>
      </c>
      <c r="E32" s="593" t="s">
        <v>485</v>
      </c>
      <c r="F32" s="586" t="s">
        <v>486</v>
      </c>
      <c r="G32" s="593" t="s">
        <v>487</v>
      </c>
      <c r="H32" s="586" t="s">
        <v>488</v>
      </c>
      <c r="I32" s="593" t="s">
        <v>489</v>
      </c>
      <c r="J32" s="586" t="s">
        <v>490</v>
      </c>
      <c r="K32" s="593" t="s">
        <v>491</v>
      </c>
      <c r="L32" s="586" t="s">
        <v>492</v>
      </c>
      <c r="M32" s="593" t="s">
        <v>493</v>
      </c>
      <c r="N32" s="586" t="s">
        <v>494</v>
      </c>
      <c r="O32" s="594" t="s">
        <v>508</v>
      </c>
    </row>
    <row r="33" customFormat="false" ht="12.75" hidden="false" customHeight="false" outlineLevel="0" collapsed="false">
      <c r="B33" s="586" t="n">
        <v>2000</v>
      </c>
      <c r="C33" s="588" t="n">
        <f aca="false">IF(C$17="WD1",MAX(C18:N18),0)</f>
        <v>-0</v>
      </c>
      <c r="D33" s="588" t="n">
        <f aca="false">IF(O$17="WD1",MAX(O18:Z18),0)</f>
        <v>-0</v>
      </c>
      <c r="E33" s="588" t="n">
        <f aca="false">IF(AA$17="WD1",MAX(AA18:AL18),0)</f>
        <v>25.6528835156879</v>
      </c>
      <c r="F33" s="588" t="n">
        <f aca="false">IF(AM$17="WD1",MAX(AM18:AX18),0)</f>
        <v>1.18401684545468</v>
      </c>
      <c r="G33" s="588" t="n">
        <f aca="false">IF(AY$17="WD1",MAX(AY18:BJ18),0)</f>
        <v>4.95388642527938</v>
      </c>
      <c r="H33" s="588" t="n">
        <f aca="false">IF(BK$17="WD1",MAX(BK18:BV18),0)</f>
        <v>0.733862290641029</v>
      </c>
      <c r="I33" s="588" t="n">
        <f aca="false">IF(BW$17="WD1",MAX(BW18:CH18),0)</f>
        <v>1.34788953570771</v>
      </c>
      <c r="J33" s="588" t="n">
        <f aca="false">IF(CI$17="WD1",MAX(CI18:CT18),0)</f>
        <v>2.51096977668846</v>
      </c>
      <c r="K33" s="588" t="n">
        <f aca="false">IF(CU$17="WD1",MAX(CU18:DF18),0)</f>
        <v>1.6844448559848</v>
      </c>
      <c r="L33" s="588" t="n">
        <f aca="false">IF(DG$17="WD1",MAX(DG18:DR18),0)</f>
        <v>10.1122555279437</v>
      </c>
      <c r="M33" s="588" t="n">
        <f aca="false">IF(DS$17="WD1",MAX(DS18:ED18),0)</f>
        <v>4.801413704457</v>
      </c>
      <c r="N33" s="588" t="n">
        <f aca="false">IF(EE$17="WD1",MAX(EE18:EP18),0)</f>
        <v>2.26709025541724</v>
      </c>
      <c r="O33" s="588" t="n">
        <f aca="false">MAX(C33:N33)</f>
        <v>25.6528835156879</v>
      </c>
      <c r="P33" s="588"/>
      <c r="Q33" s="588"/>
      <c r="R33" s="588"/>
      <c r="S33" s="588"/>
      <c r="T33" s="588"/>
      <c r="U33" s="588"/>
      <c r="V33" s="588"/>
      <c r="W33" s="588"/>
      <c r="X33" s="588"/>
      <c r="Y33" s="588"/>
    </row>
    <row r="34" customFormat="false" ht="12.75" hidden="false" customHeight="false" outlineLevel="0" collapsed="false">
      <c r="B34" s="586" t="n">
        <v>2001</v>
      </c>
      <c r="C34" s="588" t="n">
        <f aca="false">IF(C$17="WD1",MAX(C19:N19),0)</f>
        <v>16.8230329223148</v>
      </c>
      <c r="D34" s="588" t="n">
        <f aca="false">IF(O$17="WD1",MAX(O19:Z19),0)</f>
        <v>19.4348068754559</v>
      </c>
      <c r="E34" s="588" t="n">
        <f aca="false">IF(AA$17="WD1",MAX(AA19:AL19),0)</f>
        <v>15.4694955094387</v>
      </c>
      <c r="F34" s="588" t="n">
        <f aca="false">IF(AM$17="WD1",MAX(AM19:AX19),0)</f>
        <v>12.1879884486226</v>
      </c>
      <c r="G34" s="588" t="n">
        <f aca="false">IF(AY$17="WD1",MAX(AY19:BJ19),0)</f>
        <v>14.3557764819963</v>
      </c>
      <c r="H34" s="588" t="n">
        <f aca="false">IF(BK$17="WD1",MAX(BK19:BV19),0)</f>
        <v>3.22247046490708</v>
      </c>
      <c r="I34" s="588" t="n">
        <f aca="false">IF(BW$17="WD1",MAX(BW19:CH19),0)</f>
        <v>97.8625492665679</v>
      </c>
      <c r="J34" s="588" t="n">
        <f aca="false">IF(CI$17="WD1",MAX(CI19:CT19),0)</f>
        <v>101.516762903013</v>
      </c>
      <c r="K34" s="588" t="n">
        <f aca="false">IF(CU$17="WD1",MAX(CU19:DF19),0)</f>
        <v>101.648698025508</v>
      </c>
      <c r="L34" s="588" t="n">
        <f aca="false">IF(DG$17="WD1",MAX(DG19:DR19),0)</f>
        <v>107.70904484399</v>
      </c>
      <c r="M34" s="588" t="n">
        <f aca="false">IF(DS$17="WD1",MAX(DS19:ED19),0)</f>
        <v>94.5336206775425</v>
      </c>
      <c r="N34" s="588" t="n">
        <f aca="false">IF(EE$17="WD1",MAX(EE19:EP19),0)</f>
        <v>89.491366638915</v>
      </c>
      <c r="O34" s="588" t="n">
        <f aca="false">MAX(C34:N34)</f>
        <v>107.70904484399</v>
      </c>
      <c r="P34" s="588"/>
      <c r="Q34" s="588"/>
      <c r="R34" s="588"/>
      <c r="S34" s="588"/>
      <c r="T34" s="588"/>
      <c r="U34" s="588"/>
      <c r="V34" s="588"/>
      <c r="W34" s="588"/>
      <c r="X34" s="588"/>
      <c r="Y34" s="588"/>
    </row>
    <row r="35" customFormat="false" ht="12.75" hidden="false" customHeight="false" outlineLevel="0" collapsed="false">
      <c r="B35" s="586" t="n">
        <v>2002</v>
      </c>
      <c r="C35" s="588" t="n">
        <f aca="false">IF(C$17="WD1",MAX(C20:N20),0)</f>
        <v>90.268673892974</v>
      </c>
      <c r="D35" s="588" t="n">
        <f aca="false">IF(O$17="WD1",MAX(O20:Z20),0)</f>
        <v>89.3150872350913</v>
      </c>
      <c r="E35" s="588" t="n">
        <f aca="false">IF(AA$17="WD1",MAX(AA20:AL20),0)</f>
        <v>83.1541970776421</v>
      </c>
      <c r="F35" s="588" t="n">
        <f aca="false">IF(AM$17="WD1",MAX(AM20:AX20),0)</f>
        <v>92.9308604593557</v>
      </c>
      <c r="G35" s="588" t="n">
        <f aca="false">IF(AY$17="WD1",MAX(AY20:BJ20),0)</f>
        <v>104.636078104071</v>
      </c>
      <c r="H35" s="588" t="n">
        <f aca="false">IF(BK$17="WD1",MAX(BK20:BV20),0)</f>
        <v>95.5003431176935</v>
      </c>
      <c r="I35" s="588" t="n">
        <f aca="false">IF(BW$17="WD1",MAX(BW20:CH20),0)</f>
        <v>98.0606137649424</v>
      </c>
      <c r="J35" s="588" t="n">
        <f aca="false">IF(CI$17="WD1",MAX(CI20:CT20),0)</f>
        <v>101.517150306385</v>
      </c>
      <c r="K35" s="588" t="n">
        <f aca="false">IF(CU$17="WD1",MAX(CU20:DF20),0)</f>
        <v>103.693834482944</v>
      </c>
      <c r="L35" s="588" t="n">
        <f aca="false">IF(DG$17="WD1",MAX(DG20:DR20),0)</f>
        <v>104.417468556195</v>
      </c>
      <c r="M35" s="588" t="n">
        <f aca="false">IF(DS$17="WD1",MAX(DS20:ED20),0)</f>
        <v>93.4811108216758</v>
      </c>
      <c r="N35" s="588" t="n">
        <f aca="false">IF(EE$17="WD1",MAX(EE20:EP20),0)</f>
        <v>90.1869066833971</v>
      </c>
      <c r="O35" s="588" t="n">
        <f aca="false">MAX(C35:N35)</f>
        <v>104.636078104071</v>
      </c>
      <c r="P35" s="588"/>
      <c r="Q35" s="588"/>
      <c r="R35" s="588"/>
      <c r="S35" s="588"/>
      <c r="T35" s="588"/>
      <c r="U35" s="588"/>
      <c r="V35" s="588"/>
      <c r="W35" s="588"/>
      <c r="X35" s="588"/>
      <c r="Y35" s="588"/>
    </row>
    <row r="36" customFormat="false" ht="12.75" hidden="false" customHeight="false" outlineLevel="0" collapsed="false">
      <c r="B36" s="586" t="n">
        <v>2003</v>
      </c>
      <c r="C36" s="588" t="n">
        <f aca="false">IF(C$17="WD1",MAX(C21:N21),0)</f>
        <v>88.5444462309903</v>
      </c>
      <c r="D36" s="588" t="n">
        <f aca="false">IF(O$17="WD1",MAX(O21:Z21),0)</f>
        <v>85.9639638153618</v>
      </c>
      <c r="E36" s="588" t="n">
        <f aca="false">IF(AA$17="WD1",MAX(AA21:AL21),0)</f>
        <v>81.730722727509</v>
      </c>
      <c r="F36" s="588" t="n">
        <f aca="false">IF(AM$17="WD1",MAX(AM21:AX21),0)</f>
        <v>105.179254355782</v>
      </c>
      <c r="G36" s="588" t="n">
        <f aca="false">IF(AY$17="WD1",MAX(AY21:BJ21),0)</f>
        <v>115.138999657993</v>
      </c>
      <c r="H36" s="588" t="n">
        <f aca="false">IF(BK$17="WD1",MAX(BK21:BV21),0)</f>
        <v>116.767986799213</v>
      </c>
      <c r="I36" s="588" t="n">
        <f aca="false">IF(BW$17="WD1",MAX(BW21:CH21),0)</f>
        <v>119.01354443982</v>
      </c>
      <c r="J36" s="588" t="n">
        <f aca="false">IF(CI$17="WD1",MAX(CI21:CT21),0)</f>
        <v>122.705200477893</v>
      </c>
      <c r="K36" s="588" t="n">
        <f aca="false">IF(CU$17="WD1",MAX(CU21:DF21),0)</f>
        <v>122.896076088114</v>
      </c>
      <c r="L36" s="588" t="n">
        <f aca="false">IF(DG$17="WD1",MAX(DG21:DR21),0)</f>
        <v>115.615669694779</v>
      </c>
      <c r="M36" s="588" t="n">
        <f aca="false">IF(DS$17="WD1",MAX(DS21:ED21),0)</f>
        <v>109.782082287813</v>
      </c>
      <c r="N36" s="588" t="n">
        <f aca="false">IF(EE$17="WD1",MAX(EE21:EP21),0)</f>
        <v>106.654100949883</v>
      </c>
      <c r="O36" s="588" t="n">
        <f aca="false">MAX(C36:N36)</f>
        <v>122.896076088114</v>
      </c>
      <c r="P36" s="588"/>
      <c r="Q36" s="588"/>
      <c r="R36" s="588"/>
      <c r="S36" s="588"/>
      <c r="T36" s="588"/>
      <c r="U36" s="588"/>
      <c r="V36" s="588"/>
      <c r="W36" s="588"/>
      <c r="X36" s="588"/>
      <c r="Y36" s="588"/>
    </row>
    <row r="37" customFormat="false" ht="12.75" hidden="false" customHeight="false" outlineLevel="0" collapsed="false">
      <c r="B37" s="586" t="n">
        <v>2004</v>
      </c>
      <c r="C37" s="588" t="n">
        <f aca="false">IF(C$17="WD1",MAX(C22:N22),0)</f>
        <v>104.708431095665</v>
      </c>
      <c r="D37" s="588" t="n">
        <f aca="false">IF(O$17="WD1",MAX(O22:Z22),0)</f>
        <v>102.416318101459</v>
      </c>
      <c r="E37" s="588" t="n">
        <f aca="false">IF(AA$17="WD1",MAX(AA22:AL22),0)</f>
        <v>99.6933302358254</v>
      </c>
      <c r="F37" s="588" t="n">
        <f aca="false">IF(AM$17="WD1",MAX(AM22:AX22),0)</f>
        <v>107.827997416388</v>
      </c>
      <c r="G37" s="588" t="n">
        <f aca="false">IF(AY$17="WD1",MAX(AY22:BJ22),0)</f>
        <v>117.707199696767</v>
      </c>
      <c r="H37" s="588" t="n">
        <f aca="false">IF(BK$17="WD1",MAX(BK22:BV22),0)</f>
        <v>120.490141064229</v>
      </c>
      <c r="I37" s="588" t="n">
        <f aca="false">IF(BW$17="WD1",MAX(BW22:CH22),0)</f>
        <v>122.982689550901</v>
      </c>
      <c r="J37" s="588" t="n">
        <f aca="false">IF(CI$17="WD1",MAX(CI22:CT22),0)</f>
        <v>126.653370812041</v>
      </c>
      <c r="K37" s="588" t="n">
        <f aca="false">IF(CU$17="WD1",MAX(CU22:DF22),0)</f>
        <v>125.992982948114</v>
      </c>
      <c r="L37" s="588" t="n">
        <f aca="false">IF(DG$17="WD1",MAX(DG22:DR22),0)</f>
        <v>118.988373566536</v>
      </c>
      <c r="M37" s="588" t="n">
        <f aca="false">IF(DS$17="WD1",MAX(DS22:ED22),0)</f>
        <v>112.096681134636</v>
      </c>
      <c r="N37" s="588" t="n">
        <f aca="false">IF(EE$17="WD1",MAX(EE22:EP22),0)</f>
        <v>109.050201992539</v>
      </c>
      <c r="O37" s="588" t="n">
        <f aca="false">MAX(C37:N37)</f>
        <v>126.653370812041</v>
      </c>
      <c r="P37" s="588"/>
      <c r="Q37" s="588"/>
      <c r="R37" s="588"/>
      <c r="S37" s="588"/>
      <c r="T37" s="588"/>
      <c r="U37" s="588"/>
      <c r="V37" s="588"/>
      <c r="W37" s="588"/>
      <c r="X37" s="588"/>
      <c r="Y37" s="588"/>
    </row>
    <row r="38" customFormat="false" ht="12.75" hidden="false" customHeight="false" outlineLevel="0" collapsed="false">
      <c r="B38" s="586" t="n">
        <v>2005</v>
      </c>
      <c r="C38" s="588" t="n">
        <f aca="false">IF(C$17="WD1",MAX(C23:N23),0)</f>
        <v>104.683914348816</v>
      </c>
      <c r="D38" s="588" t="n">
        <f aca="false">IF(O$17="WD1",MAX(O23:Z23),0)</f>
        <v>101.949643510913</v>
      </c>
      <c r="E38" s="588" t="n">
        <f aca="false">IF(AA$17="WD1",MAX(AA23:AL23),0)</f>
        <v>99.7351611771988</v>
      </c>
      <c r="F38" s="588" t="n">
        <f aca="false">IF(AM$17="WD1",MAX(AM23:AX23),0)</f>
        <v>107.710401618156</v>
      </c>
      <c r="G38" s="588" t="n">
        <f aca="false">IF(AY$17="WD1",MAX(AY23:BJ23),0)</f>
        <v>116.920455667358</v>
      </c>
      <c r="H38" s="588" t="n">
        <f aca="false">IF(BK$17="WD1",MAX(BK23:BV23),0)</f>
        <v>120.432868079816</v>
      </c>
      <c r="I38" s="588" t="n">
        <f aca="false">IF(BW$17="WD1",MAX(BW23:CH23),0)</f>
        <v>122.831496076938</v>
      </c>
      <c r="J38" s="588" t="n">
        <f aca="false">IF(CI$17="WD1",MAX(CI23:CT23),0)</f>
        <v>126.45230284592</v>
      </c>
      <c r="K38" s="588" t="n">
        <f aca="false">IF(CU$17="WD1",MAX(CU23:DF23),0)</f>
        <v>125.709318489142</v>
      </c>
      <c r="L38" s="588" t="n">
        <f aca="false">IF(DG$17="WD1",MAX(DG23:DR23),0)</f>
        <v>118.73015676057</v>
      </c>
      <c r="M38" s="588" t="n">
        <f aca="false">IF(DS$17="WD1",MAX(DS23:ED23),0)</f>
        <v>111.793866794009</v>
      </c>
      <c r="N38" s="588" t="n">
        <f aca="false">IF(EE$17="WD1",MAX(EE23:EP23),0)</f>
        <v>108.904922752438</v>
      </c>
      <c r="O38" s="588" t="n">
        <f aca="false">MAX(C38:N38)</f>
        <v>126.45230284592</v>
      </c>
      <c r="P38" s="588"/>
      <c r="Q38" s="588"/>
      <c r="R38" s="588"/>
      <c r="S38" s="588"/>
      <c r="T38" s="588"/>
      <c r="U38" s="588"/>
      <c r="V38" s="588"/>
      <c r="W38" s="588"/>
      <c r="X38" s="588"/>
      <c r="Y38" s="588"/>
    </row>
    <row r="39" customFormat="false" ht="12.75" hidden="false" customHeight="false" outlineLevel="0" collapsed="false">
      <c r="B39" s="586" t="n">
        <v>2006</v>
      </c>
      <c r="C39" s="588" t="n">
        <f aca="false">IF(C$17="WD1",MAX(C24:N24),0)</f>
        <v>104.560097794499</v>
      </c>
      <c r="D39" s="588" t="n">
        <f aca="false">IF(O$17="WD1",MAX(O24:Z24),0)</f>
        <v>101.733572383621</v>
      </c>
      <c r="E39" s="588" t="n">
        <f aca="false">IF(AA$17="WD1",MAX(AA24:AL24),0)</f>
        <v>99.7601773445597</v>
      </c>
      <c r="F39" s="588" t="n">
        <f aca="false">IF(AM$17="WD1",MAX(AM24:AX24),0)</f>
        <v>107.55056757635</v>
      </c>
      <c r="G39" s="588" t="n">
        <f aca="false">IF(AY$17="WD1",MAX(AY24:BJ24),0)</f>
        <v>116.277703904044</v>
      </c>
      <c r="H39" s="588" t="n">
        <f aca="false">IF(BK$17="WD1",MAX(BK24:BV24),0)</f>
        <v>120.326425923734</v>
      </c>
      <c r="I39" s="588" t="n">
        <f aca="false">IF(BW$17="WD1",MAX(BW24:CH24),0)</f>
        <v>122.66546902324</v>
      </c>
      <c r="J39" s="588" t="n">
        <f aca="false">IF(CI$17="WD1",MAX(CI24:CT24),0)</f>
        <v>126.294295884446</v>
      </c>
      <c r="K39" s="588" t="n">
        <f aca="false">IF(CU$17="WD1",MAX(CU24:DF24),0)</f>
        <v>125.631641099357</v>
      </c>
      <c r="L39" s="588" t="n">
        <f aca="false">IF(DG$17="WD1",MAX(DG24:DR24),0)</f>
        <v>118.37233558051</v>
      </c>
      <c r="M39" s="588" t="n">
        <f aca="false">IF(DS$17="WD1",MAX(DS24:ED24),0)</f>
        <v>111.533098425899</v>
      </c>
      <c r="N39" s="588" t="n">
        <f aca="false">IF(EE$17="WD1",MAX(EE24:EP24),0)</f>
        <v>98.5081552820801</v>
      </c>
      <c r="O39" s="588" t="n">
        <f aca="false">MAX(C39:N39)</f>
        <v>126.294295884446</v>
      </c>
      <c r="P39" s="588"/>
      <c r="Q39" s="588"/>
      <c r="R39" s="588"/>
      <c r="S39" s="588"/>
      <c r="T39" s="588"/>
      <c r="U39" s="588"/>
      <c r="V39" s="588"/>
      <c r="W39" s="588"/>
      <c r="X39" s="588"/>
      <c r="Y39" s="588"/>
    </row>
    <row r="40" customFormat="false" ht="12.75" hidden="false" customHeight="false" outlineLevel="0" collapsed="false">
      <c r="B40" s="586" t="n">
        <v>2007</v>
      </c>
      <c r="C40" s="588" t="n">
        <f aca="false">IF(C$17="WD1",MAX(C25:N25),0)</f>
        <v>94.0302636911702</v>
      </c>
      <c r="D40" s="588" t="n">
        <f aca="false">IF(O$17="WD1",MAX(O25:Z25),0)</f>
        <v>91.2413875088382</v>
      </c>
      <c r="E40" s="588" t="n">
        <f aca="false">IF(AA$17="WD1",MAX(AA25:AL25),0)</f>
        <v>89.2319664738001</v>
      </c>
      <c r="F40" s="588" t="n">
        <f aca="false">IF(AM$17="WD1",MAX(AM25:AX25),0)</f>
        <v>96.6802164635208</v>
      </c>
      <c r="G40" s="588" t="n">
        <f aca="false">IF(AY$17="WD1",MAX(AY25:BJ25),0)</f>
        <v>104.69616278726</v>
      </c>
      <c r="H40" s="588" t="n">
        <f aca="false">IF(BK$17="WD1",MAX(BK25:BV25),0)</f>
        <v>107.846931332617</v>
      </c>
      <c r="I40" s="588" t="n">
        <f aca="false">IF(BW$17="WD1",MAX(BW25:CH25),0)</f>
        <v>109.642829991782</v>
      </c>
      <c r="J40" s="588" t="n">
        <f aca="false">IF(CI$17="WD1",MAX(CI25:CT25),0)</f>
        <v>112.912753202398</v>
      </c>
      <c r="K40" s="588" t="n">
        <f aca="false">IF(CU$17="WD1",MAX(CU25:DF25),0)</f>
        <v>113.307008768864</v>
      </c>
      <c r="L40" s="588" t="n">
        <f aca="false">IF(DG$17="WD1",MAX(DG25:DR25),0)</f>
        <v>108.576983217011</v>
      </c>
      <c r="M40" s="588" t="n">
        <f aca="false">IF(DS$17="WD1",MAX(DS25:ED25),0)</f>
        <v>101.185054815542</v>
      </c>
      <c r="N40" s="588" t="n">
        <f aca="false">IF(EE$17="WD1",MAX(EE25:EP25),0)</f>
        <v>98.2880288505329</v>
      </c>
      <c r="O40" s="588" t="n">
        <f aca="false">MAX(C40:N40)</f>
        <v>113.307008768864</v>
      </c>
      <c r="P40" s="588"/>
      <c r="Q40" s="588"/>
      <c r="R40" s="588"/>
      <c r="S40" s="588"/>
      <c r="T40" s="588"/>
      <c r="U40" s="588"/>
      <c r="V40" s="588"/>
      <c r="W40" s="588"/>
      <c r="X40" s="588"/>
      <c r="Y40" s="588"/>
    </row>
    <row r="41" customFormat="false" ht="12.75" hidden="false" customHeight="false" outlineLevel="0" collapsed="false">
      <c r="B41" s="586" t="n">
        <v>2008</v>
      </c>
      <c r="C41" s="588" t="n">
        <f aca="false">IF(C$17="WD1",MAX(C26:N26),0)</f>
        <v>95.1655508399599</v>
      </c>
      <c r="D41" s="588" t="n">
        <f aca="false">IF(O$17="WD1",MAX(O26:Z26),0)</f>
        <v>92.8509404293542</v>
      </c>
      <c r="E41" s="588" t="n">
        <f aca="false">IF(AA$17="WD1",MAX(AA26:AL26),0)</f>
        <v>90.7285007497871</v>
      </c>
      <c r="F41" s="588" t="n">
        <f aca="false">IF(AM$17="WD1",MAX(AM26:AX26),0)</f>
        <v>97.9396531165114</v>
      </c>
      <c r="G41" s="588" t="n">
        <f aca="false">IF(AY$17="WD1",MAX(AY26:BJ26),0)</f>
        <v>106.033158609104</v>
      </c>
      <c r="H41" s="588" t="n">
        <f aca="false">IF(BK$17="WD1",MAX(BK26:BV26),0)</f>
        <v>109.526578625196</v>
      </c>
      <c r="I41" s="588" t="n">
        <f aca="false">IF(BW$17="WD1",MAX(BW26:CH26),0)</f>
        <v>111.22339435584</v>
      </c>
      <c r="J41" s="588" t="n">
        <f aca="false">IF(CI$17="WD1",MAX(CI26:CT26),0)</f>
        <v>114.540197187144</v>
      </c>
      <c r="K41" s="588" t="n">
        <f aca="false">IF(CU$17="WD1",MAX(CU26:DF26),0)</f>
        <v>116.721080738248</v>
      </c>
      <c r="L41" s="588" t="n">
        <f aca="false">IF(DG$17="WD1",MAX(DG26:DR26),0)</f>
        <v>109.929253569093</v>
      </c>
      <c r="M41" s="588" t="n">
        <f aca="false">IF(DS$17="WD1",MAX(DS26:ED26),0)</f>
        <v>102.576017862559</v>
      </c>
      <c r="N41" s="588" t="n">
        <f aca="false">IF(EE$17="WD1",MAX(EE26:EP26),0)</f>
        <v>99.3970487662607</v>
      </c>
      <c r="O41" s="588" t="n">
        <f aca="false">MAX(C41:N41)</f>
        <v>116.721080738248</v>
      </c>
      <c r="P41" s="588"/>
      <c r="Q41" s="588"/>
      <c r="R41" s="588"/>
      <c r="S41" s="588"/>
      <c r="T41" s="588"/>
      <c r="U41" s="588"/>
      <c r="V41" s="588"/>
      <c r="W41" s="588"/>
      <c r="X41" s="588"/>
      <c r="Y41" s="588"/>
    </row>
    <row r="42" customFormat="false" ht="12.75" hidden="false" customHeight="false" outlineLevel="0" collapsed="false">
      <c r="B42" s="586" t="n">
        <v>2009</v>
      </c>
      <c r="C42" s="588" t="n">
        <f aca="false">IF(C$17="WD1",MAX(C27:N27),0)</f>
        <v>95.004112465677</v>
      </c>
      <c r="D42" s="588" t="n">
        <f aca="false">IF(O$17="WD1",MAX(O27:Z27),0)</f>
        <v>92.14664652069</v>
      </c>
      <c r="E42" s="588" t="n">
        <f aca="false">IF(AA$17="WD1",MAX(AA27:AL27),0)</f>
        <v>90.4154107831387</v>
      </c>
      <c r="F42" s="588" t="n">
        <f aca="false">IF(AM$17="WD1",MAX(AM27:AX27),0)</f>
        <v>97.7002595421131</v>
      </c>
      <c r="G42" s="588" t="n">
        <f aca="false">IF(AY$17="WD1",MAX(AY27:BJ27),0)</f>
        <v>105.721689646597</v>
      </c>
      <c r="H42" s="588" t="n">
        <f aca="false">IF(BK$17="WD1",MAX(BK27:BV27),0)</f>
        <v>108.812206611884</v>
      </c>
      <c r="I42" s="588" t="n">
        <f aca="false">IF(BW$17="WD1",MAX(BW27:CH27),0)</f>
        <v>110.559805520175</v>
      </c>
      <c r="J42" s="588" t="n">
        <f aca="false">IF(CI$17="WD1",MAX(CI27:CT27),0)</f>
        <v>113.916903088416</v>
      </c>
      <c r="K42" s="588" t="n">
        <f aca="false">IF(CU$17="WD1",MAX(CU27:DF27),0)</f>
        <v>115.489724300866</v>
      </c>
      <c r="L42" s="588" t="n">
        <f aca="false">IF(DG$17="WD1",MAX(DG27:DR27),0)</f>
        <v>107.794793491109</v>
      </c>
      <c r="M42" s="588" t="n">
        <f aca="false">IF(DS$17="WD1",MAX(DS27:ED27),0)</f>
        <v>99.0828824398734</v>
      </c>
      <c r="N42" s="588" t="n">
        <f aca="false">IF(EE$17="WD1",MAX(EE27:EP27),0)</f>
        <v>95.7139477473483</v>
      </c>
      <c r="O42" s="588" t="n">
        <f aca="false">MAX(C42:N42)</f>
        <v>115.489724300866</v>
      </c>
      <c r="P42" s="588"/>
      <c r="Q42" s="588"/>
      <c r="R42" s="588"/>
      <c r="S42" s="588"/>
      <c r="T42" s="588"/>
      <c r="U42" s="588"/>
      <c r="V42" s="588"/>
      <c r="W42" s="588"/>
      <c r="X42" s="588"/>
      <c r="Y42" s="588"/>
    </row>
    <row r="43" customFormat="false" ht="12.75" hidden="false" customHeight="false" outlineLevel="0" collapsed="false">
      <c r="B43" s="586" t="n">
        <v>2010</v>
      </c>
      <c r="C43" s="588" t="n">
        <f aca="false">IF(C$17="WD1",MAX(C28:N28),0)</f>
        <v>86.7249386048469</v>
      </c>
      <c r="D43" s="588" t="n">
        <f aca="false">IF(O$17="WD1",MAX(O28:Z28),0)</f>
        <v>78.9029172484539</v>
      </c>
      <c r="E43" s="588" t="n">
        <f aca="false">IF(AA$17="WD1",MAX(AA28:AL28),0)</f>
        <v>76.0361110959704</v>
      </c>
      <c r="F43" s="588" t="n">
        <f aca="false">IF(AM$17="WD1",MAX(AM28:AX28),0)</f>
        <v>84.5655854553492</v>
      </c>
      <c r="G43" s="588" t="n">
        <f aca="false">IF(AY$17="WD1",MAX(AY28:BJ28),0)</f>
        <v>92.7490978075189</v>
      </c>
      <c r="H43" s="588" t="n">
        <f aca="false">IF(BK$17="WD1",MAX(BK28:BV28),0)</f>
        <v>99.1468991297746</v>
      </c>
      <c r="I43" s="588" t="n">
        <f aca="false">IF(BW$17="WD1",MAX(BW28:CH28),0)</f>
        <v>100.900124607874</v>
      </c>
      <c r="J43" s="588" t="n">
        <f aca="false">IF(CI$17="WD1",MAX(CI28:CT28),0)</f>
        <v>104.002848320741</v>
      </c>
      <c r="K43" s="588" t="n">
        <f aca="false">IF(CU$17="WD1",MAX(CU28:DF28),0)</f>
        <v>99.5888402815838</v>
      </c>
      <c r="L43" s="588" t="n">
        <f aca="false">IF(DG$17="WD1",MAX(DG28:DR28),0)</f>
        <v>-0</v>
      </c>
      <c r="M43" s="588" t="n">
        <f aca="false">IF(DS$17="WD1",MAX(DS28:ED28),0)</f>
        <v>-0</v>
      </c>
      <c r="N43" s="588" t="n">
        <f aca="false">IF(EE$17="WD1",MAX(EE28:EP28),0)</f>
        <v>-0</v>
      </c>
      <c r="O43" s="588" t="n">
        <f aca="false">MAX(C43:N43)</f>
        <v>104.002848320741</v>
      </c>
      <c r="P43" s="588"/>
      <c r="Q43" s="588"/>
      <c r="R43" s="588"/>
      <c r="S43" s="588"/>
      <c r="T43" s="588"/>
      <c r="U43" s="588"/>
      <c r="V43" s="588"/>
      <c r="W43" s="588"/>
      <c r="X43" s="588"/>
      <c r="Y43" s="588"/>
    </row>
    <row r="44" customFormat="false" ht="12.75" hidden="false" customHeight="false" outlineLevel="0" collapsed="false">
      <c r="C44" s="5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0.0527860018896766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0.0527860018896766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37" colorId="64" zoomScale="75" zoomScaleNormal="75" zoomScalePageLayoutView="100" workbookViewId="0">
      <selection pane="topLeft" activeCell="A60" activeCellId="0" sqref="A6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C11/$H$69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C12/$H$69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C14/$H$69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C19/$H$69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N19/$H$69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C20/$H$69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N20/$H$69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C21/$H$69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N21/$H$69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C22/$H$69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N22/$H$69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C23/$H$69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N23/$H$69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C24/$H$69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N24/$H$69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C25/$H$69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N25/$H$69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C26/$H$69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C27/$H$69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C28/$H$69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C29/$H$69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C30/$H$69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N30/$H$69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C31/$H$69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N31/$H$69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C32/$H$69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C33/$H$69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-25.3002018720177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C37/$H$69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C38/$H$69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C39/$H$69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C40/$H$69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C41/$H$69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C42/$H$69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C43/$H$69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C44/$H$69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C45/$H$69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C46/$H$69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C47/$H$69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C48/$H$69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C49/$H$69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C50/$H$69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C53/$H$69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C54/$H$69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194" t="s">
        <v>226</v>
      </c>
      <c r="B55" s="146" t="n">
        <f aca="false">C55/$C$58</f>
        <v>0.00952415738028231</v>
      </c>
      <c r="C55" s="147" t="n">
        <v>1000</v>
      </c>
      <c r="D55" s="70" t="n">
        <f aca="false">C55/$H$69</f>
        <v>5.31914893617021</v>
      </c>
      <c r="E55" s="31"/>
      <c r="F55" s="77" t="s">
        <v>227</v>
      </c>
      <c r="G55" s="31"/>
      <c r="H55" s="195" t="n">
        <v>0.7</v>
      </c>
      <c r="I55" s="31"/>
      <c r="J55" s="32"/>
      <c r="L55" s="175" t="s">
        <v>228</v>
      </c>
      <c r="M55" s="34"/>
      <c r="N55" s="196" t="n">
        <v>0.085</v>
      </c>
      <c r="O55" s="197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8" t="n">
        <f aca="false">SUM(C53:C55)</f>
        <v>1000</v>
      </c>
      <c r="D56" s="70" t="n">
        <f aca="false">C56/$H$69</f>
        <v>5.31914893617021</v>
      </c>
      <c r="E56" s="31"/>
      <c r="F56" s="77" t="s">
        <v>229</v>
      </c>
      <c r="G56" s="31"/>
      <c r="H56" s="195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190" t="s">
        <v>230</v>
      </c>
      <c r="G57" s="31"/>
      <c r="H57" s="31"/>
      <c r="I57" s="31"/>
      <c r="J57" s="32"/>
    </row>
    <row r="58" customFormat="false" ht="16.5" hidden="false" customHeight="false" outlineLevel="0" collapsed="false">
      <c r="A58" s="199" t="s">
        <v>231</v>
      </c>
      <c r="B58" s="200" t="n">
        <f aca="false">B56+B50+B34</f>
        <v>1</v>
      </c>
      <c r="C58" s="201" t="n">
        <f aca="false">C59*(1+B59)</f>
        <v>104996.16502246</v>
      </c>
      <c r="D58" s="202" t="n">
        <f aca="false">C58/$H$69</f>
        <v>558.490239481169</v>
      </c>
      <c r="E58" s="31"/>
      <c r="F58" s="77" t="s">
        <v>218</v>
      </c>
      <c r="G58" s="31"/>
      <c r="H58" s="110" t="n">
        <f aca="false">H19-H52</f>
        <v>0</v>
      </c>
      <c r="I58" s="76"/>
      <c r="J58" s="32"/>
    </row>
    <row r="59" customFormat="false" ht="16.5" hidden="false" customHeight="false" outlineLevel="0" collapsed="false">
      <c r="A59" s="31" t="s">
        <v>232</v>
      </c>
      <c r="B59" s="203" t="n">
        <v>0</v>
      </c>
      <c r="C59" s="204" t="n">
        <f aca="false">C56+C50+C34</f>
        <v>104996.16502246</v>
      </c>
      <c r="D59" s="31"/>
      <c r="E59" s="31"/>
      <c r="F59" s="77" t="s">
        <v>221</v>
      </c>
      <c r="G59" s="83"/>
      <c r="H59" s="205"/>
      <c r="I59" s="76"/>
      <c r="J59" s="32"/>
    </row>
    <row r="60" customFormat="false" ht="15.75" hidden="false" customHeight="false" outlineLevel="0" collapsed="false">
      <c r="A60" s="41" t="s">
        <v>233</v>
      </c>
      <c r="B60" s="49"/>
      <c r="C60" s="188"/>
      <c r="D60" s="206"/>
      <c r="E60" s="31"/>
      <c r="F60" s="30"/>
      <c r="G60" s="31"/>
      <c r="H60" s="31"/>
      <c r="I60" s="31"/>
      <c r="J60" s="32"/>
    </row>
    <row r="61" customFormat="false" ht="15.75" hidden="false" customHeight="false" outlineLevel="0" collapsed="false">
      <c r="A61" s="30"/>
      <c r="B61" s="31"/>
      <c r="C61" s="31"/>
      <c r="D61" s="133"/>
      <c r="E61" s="31"/>
      <c r="F61" s="77" t="s">
        <v>234</v>
      </c>
      <c r="G61" s="83"/>
      <c r="H61" s="205" t="n">
        <f aca="false">P17</f>
        <v>2.23</v>
      </c>
      <c r="I61" s="76"/>
      <c r="J61" s="32"/>
    </row>
    <row r="62" customFormat="false" ht="15.75" hidden="false" customHeight="false" outlineLevel="0" collapsed="false">
      <c r="A62" s="207" t="s">
        <v>235</v>
      </c>
      <c r="B62" s="208"/>
      <c r="C62" s="209" t="n">
        <f aca="false">D58</f>
        <v>558.490239481169</v>
      </c>
      <c r="D62" s="32"/>
      <c r="E62" s="31"/>
      <c r="F62" s="77"/>
      <c r="G62" s="31"/>
      <c r="H62" s="163"/>
      <c r="I62" s="76"/>
      <c r="J62" s="32"/>
    </row>
    <row r="63" customFormat="false" ht="16.5" hidden="false" customHeight="false" outlineLevel="0" collapsed="false">
      <c r="A63" s="210"/>
      <c r="B63" s="138"/>
      <c r="C63" s="138"/>
      <c r="D63" s="32"/>
      <c r="E63" s="31"/>
      <c r="F63" s="150" t="s">
        <v>236</v>
      </c>
      <c r="G63" s="34"/>
      <c r="H63" s="151" t="n">
        <f aca="false">H69*H73</f>
        <v>263200</v>
      </c>
      <c r="I63" s="211"/>
      <c r="J63" s="35"/>
    </row>
    <row r="64" customFormat="false" ht="16.5" hidden="false" customHeight="false" outlineLevel="0" collapsed="false">
      <c r="A64" s="77"/>
      <c r="B64" s="83"/>
      <c r="C64" s="60" t="s">
        <v>237</v>
      </c>
      <c r="D64" s="160" t="s">
        <v>238</v>
      </c>
      <c r="E64" s="31"/>
    </row>
    <row r="65" customFormat="false" ht="15.75" hidden="false" customHeight="false" outlineLevel="0" collapsed="false">
      <c r="A65" s="99" t="s">
        <v>62</v>
      </c>
      <c r="B65" s="212"/>
      <c r="C65" s="213" t="n">
        <f aca="false">Debt!E68</f>
        <v>1.5</v>
      </c>
      <c r="D65" s="214" t="n">
        <f aca="false">Debt!E69</f>
        <v>1.5</v>
      </c>
      <c r="E65" s="31"/>
      <c r="F65" s="44" t="s">
        <v>239</v>
      </c>
      <c r="G65" s="47"/>
      <c r="H65" s="188"/>
      <c r="I65" s="42"/>
      <c r="J65" s="48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123"/>
      <c r="G66" s="215"/>
      <c r="H66" s="76"/>
      <c r="I66" s="31"/>
      <c r="J66" s="32"/>
    </row>
    <row r="67" customFormat="false" ht="15.75" hidden="false" customHeight="false" outlineLevel="0" collapsed="false">
      <c r="A67" s="99" t="s">
        <v>240</v>
      </c>
      <c r="B67" s="31"/>
      <c r="C67" s="31"/>
      <c r="D67" s="32"/>
      <c r="E67" s="31"/>
      <c r="F67" s="77" t="s">
        <v>241</v>
      </c>
      <c r="G67" s="31"/>
      <c r="H67" s="216" t="n">
        <f aca="false">H12*H13</f>
        <v>188</v>
      </c>
      <c r="I67" s="31"/>
      <c r="J67" s="32"/>
    </row>
    <row r="68" customFormat="false" ht="15.75" hidden="false" customHeight="false" outlineLevel="0" collapsed="false">
      <c r="A68" s="77" t="s">
        <v>242</v>
      </c>
      <c r="B68" s="83"/>
      <c r="C68" s="107" t="n">
        <f aca="false">'Returns Analysis'!C39</f>
        <v>0.0527860018896766</v>
      </c>
      <c r="D68" s="32"/>
      <c r="E68" s="31"/>
      <c r="F68" s="99" t="s">
        <v>243</v>
      </c>
      <c r="G68" s="31"/>
      <c r="H68" s="217" t="n"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0.12535254626036</v>
      </c>
      <c r="D69" s="164"/>
      <c r="E69" s="31"/>
      <c r="F69" s="55" t="s">
        <v>244</v>
      </c>
      <c r="G69" s="186"/>
      <c r="H69" s="218" t="n">
        <f aca="false">SUM(H67:H68)</f>
        <v>188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0.11999591130988</v>
      </c>
      <c r="D70" s="173" t="s">
        <v>245</v>
      </c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9" t="n">
        <f aca="false">'Returns Analysis'!C60</f>
        <v>0.120010518712824</v>
      </c>
      <c r="D71" s="168" t="n">
        <v>0.12</v>
      </c>
      <c r="E71" s="31"/>
      <c r="F71" s="77" t="s">
        <v>246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247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9" t="s">
        <v>248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  <c r="F73" s="150" t="s">
        <v>249</v>
      </c>
      <c r="G73" s="34"/>
      <c r="H73" s="220" t="n">
        <v>1400</v>
      </c>
      <c r="I73" s="34"/>
      <c r="J73" s="35"/>
    </row>
    <row r="74" customFormat="false" ht="15.75" hidden="false" customHeight="false" outlineLevel="0" collapsed="false">
      <c r="A74" s="77" t="s">
        <v>250</v>
      </c>
      <c r="B74" s="198" t="n">
        <f aca="false">IS!C30</f>
        <v>14975.7911455633</v>
      </c>
      <c r="C74" s="198" t="n">
        <f aca="false">IS!D30</f>
        <v>17916.3022790467</v>
      </c>
      <c r="D74" s="221" t="n">
        <f aca="false">IS!E30</f>
        <v>18778.3521158483</v>
      </c>
      <c r="E74" s="83"/>
    </row>
    <row r="75" customFormat="false" ht="15.75" hidden="false" customHeight="false" outlineLevel="0" collapsed="false">
      <c r="A75" s="77" t="s">
        <v>251</v>
      </c>
      <c r="B75" s="198" t="n">
        <f aca="false">IS!C43</f>
        <v>5396.76714229584</v>
      </c>
      <c r="C75" s="198" t="n">
        <f aca="false">IS!D43</f>
        <v>5681.70815352057</v>
      </c>
      <c r="D75" s="221" t="n">
        <f aca="false">IS!E43</f>
        <v>6614.80979732473</v>
      </c>
      <c r="E75" s="83"/>
    </row>
    <row r="76" customFormat="false" ht="15.75" hidden="false" customHeight="false" outlineLevel="0" collapsed="false">
      <c r="A76" s="77" t="s">
        <v>252</v>
      </c>
      <c r="B76" s="198" t="n">
        <f aca="false">'Returns Analysis'!C13</f>
        <v>12732.7108562539</v>
      </c>
      <c r="C76" s="198" t="n">
        <f aca="false">'Returns Analysis'!D13</f>
        <v>13067.7245310708</v>
      </c>
      <c r="D76" s="221" t="n">
        <f aca="false">'Returns Analysis'!E13</f>
        <v>14602.856162799</v>
      </c>
      <c r="E76" s="31"/>
    </row>
    <row r="77" customFormat="false" ht="16.5" hidden="false" customHeight="false" outlineLevel="0" collapsed="false">
      <c r="A77" s="150" t="s">
        <v>253</v>
      </c>
      <c r="B77" s="222" t="n">
        <f aca="false">'Returns Analysis'!C21</f>
        <v>6372.09400212137</v>
      </c>
      <c r="C77" s="222" t="n">
        <f aca="false">'Returns Analysis'!D21</f>
        <v>4082.21916739948</v>
      </c>
      <c r="D77" s="223" t="n">
        <f aca="false">'Returns Analysis'!E21</f>
        <v>4271.91799813519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4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8"/>
    </row>
    <row r="100" customFormat="false" ht="15.75" hidden="false" customHeight="false" outlineLevel="0" collapsed="false">
      <c r="E100" s="198"/>
    </row>
    <row r="101" customFormat="false" ht="15.75" hidden="false" customHeight="false" outlineLevel="0" collapsed="false">
      <c r="E101" s="198"/>
    </row>
    <row r="102" customFormat="false" ht="15.75" hidden="false" customHeight="false" outlineLevel="0" collapsed="false">
      <c r="E102" s="198"/>
    </row>
    <row r="118" customFormat="false" ht="15.75" hidden="false" customHeight="false" outlineLevel="0" collapsed="false">
      <c r="I118" s="224"/>
    </row>
    <row r="119" customFormat="false" ht="15.75" hidden="false" customHeight="false" outlineLevel="0" collapsed="false">
      <c r="I119" s="224"/>
    </row>
    <row r="120" customFormat="false" ht="15.75" hidden="false" customHeight="false" outlineLevel="0" collapsed="false">
      <c r="I120" s="224"/>
    </row>
    <row r="121" customFormat="false" ht="15.75" hidden="false" customHeight="false" outlineLevel="0" collapsed="false">
      <c r="I121" s="224"/>
    </row>
    <row r="122" customFormat="false" ht="15.75" hidden="false" customHeight="false" outlineLevel="0" collapsed="false">
      <c r="I122" s="224"/>
    </row>
    <row r="123" customFormat="false" ht="15.75" hidden="false" customHeight="false" outlineLevel="0" collapsed="false">
      <c r="I123" s="224"/>
    </row>
    <row r="124" customFormat="false" ht="15.75" hidden="false" customHeight="false" outlineLevel="0" collapsed="false">
      <c r="I124" s="224"/>
    </row>
    <row r="125" customFormat="false" ht="15.75" hidden="false" customHeight="false" outlineLevel="0" collapsed="false">
      <c r="I125" s="224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5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5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5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5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6"/>
      <c r="M136" s="205"/>
      <c r="N136" s="205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5"/>
      <c r="K137" s="205"/>
      <c r="L137" s="227"/>
      <c r="M137" s="228"/>
      <c r="N137" s="228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8"/>
      <c r="K138" s="228"/>
      <c r="L138" s="229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9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5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5"/>
    </row>
    <row r="151" customFormat="false" ht="15.75" hidden="false" customHeight="false" outlineLevel="0" collapsed="false">
      <c r="J151" s="228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</row>
    <row r="4" customFormat="false" ht="18.75" hidden="false" customHeight="false" outlineLevel="0" collapsed="false">
      <c r="B4" s="2" t="s">
        <v>254</v>
      </c>
      <c r="C4" s="232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</row>
    <row r="5" customFormat="false" ht="18.75" hidden="false" customHeight="false" outlineLevel="0" collapsed="false">
      <c r="B5" s="6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customFormat="false" ht="15.75" hidden="false" customHeight="false" outlineLevel="0" collapsed="false">
      <c r="B6" s="234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5"/>
      <c r="C7" s="83"/>
      <c r="D7" s="236" t="n">
        <f aca="false">(Assumptions!H18/12)</f>
        <v>0.666666666666667</v>
      </c>
      <c r="E7" s="236" t="n">
        <f aca="false">D7+1</f>
        <v>1.66666666666667</v>
      </c>
      <c r="F7" s="236" t="n">
        <f aca="false">E7+1</f>
        <v>2.66666666666667</v>
      </c>
      <c r="G7" s="236" t="n">
        <f aca="false">F7+1</f>
        <v>3.66666666666667</v>
      </c>
      <c r="H7" s="236" t="n">
        <f aca="false">G7+1</f>
        <v>4.66666666666667</v>
      </c>
      <c r="I7" s="236" t="n">
        <f aca="false">H7+1</f>
        <v>5.66666666666667</v>
      </c>
      <c r="J7" s="236" t="n">
        <f aca="false">I7+1</f>
        <v>6.66666666666667</v>
      </c>
      <c r="K7" s="236" t="n">
        <f aca="false">J7+1</f>
        <v>7.66666666666667</v>
      </c>
      <c r="L7" s="236" t="n">
        <f aca="false">K7+1</f>
        <v>8.66666666666667</v>
      </c>
      <c r="M7" s="236" t="n">
        <f aca="false">L7+1</f>
        <v>9.66666666666667</v>
      </c>
      <c r="N7" s="236" t="n">
        <f aca="false">M7+1</f>
        <v>10.6666666666667</v>
      </c>
      <c r="O7" s="236" t="n">
        <f aca="false">N7+1</f>
        <v>11.6666666666667</v>
      </c>
      <c r="P7" s="236" t="n">
        <f aca="false">O7+1</f>
        <v>12.6666666666667</v>
      </c>
      <c r="Q7" s="236" t="n">
        <f aca="false">P7+1</f>
        <v>13.6666666666667</v>
      </c>
      <c r="R7" s="236" t="n">
        <f aca="false">Q7+1</f>
        <v>14.6666666666667</v>
      </c>
      <c r="S7" s="236" t="n">
        <f aca="false">R7+1</f>
        <v>15.6666666666667</v>
      </c>
      <c r="T7" s="236" t="n">
        <f aca="false">S7+1</f>
        <v>16.6666666666667</v>
      </c>
      <c r="U7" s="236" t="n">
        <f aca="false">T7+1</f>
        <v>17.6666666666667</v>
      </c>
      <c r="V7" s="236" t="n">
        <f aca="false">U7+1</f>
        <v>18.6666666666667</v>
      </c>
      <c r="W7" s="236" t="n">
        <f aca="false">V7+1</f>
        <v>19.6666666666667</v>
      </c>
      <c r="X7" s="236" t="n">
        <f aca="false">W7+1</f>
        <v>20.6666666666667</v>
      </c>
      <c r="Y7" s="236" t="n">
        <f aca="false">X7+1</f>
        <v>21.6666666666667</v>
      </c>
      <c r="Z7" s="236" t="n">
        <f aca="false">Y7+1</f>
        <v>22.6666666666667</v>
      </c>
      <c r="AA7" s="236" t="n">
        <f aca="false">Z7+1</f>
        <v>23.6666666666667</v>
      </c>
      <c r="AB7" s="236" t="n">
        <f aca="false">AA7+1</f>
        <v>24.6666666666667</v>
      </c>
      <c r="AC7" s="236" t="n">
        <f aca="false">AB7+1</f>
        <v>25.6666666666667</v>
      </c>
      <c r="AD7" s="236" t="n">
        <f aca="false">AC7+1</f>
        <v>26.6666666666667</v>
      </c>
      <c r="AE7" s="236" t="n">
        <f aca="false">AD7+1</f>
        <v>27.6666666666667</v>
      </c>
      <c r="AF7" s="236" t="n">
        <f aca="false">AE7+1</f>
        <v>28.6666666666667</v>
      </c>
      <c r="AG7" s="236" t="n">
        <f aca="false">AF7+1</f>
        <v>29.6666666666667</v>
      </c>
      <c r="AH7" s="236" t="n">
        <f aca="false">AG7+1</f>
        <v>30.6666666666667</v>
      </c>
    </row>
    <row r="8" customFormat="false" ht="16.5" hidden="false" customHeight="false" outlineLevel="0" collapsed="false">
      <c r="B8" s="237"/>
      <c r="C8" s="237"/>
      <c r="D8" s="238" t="n">
        <f aca="false">YEAR(Assumptions!H17)</f>
        <v>2001</v>
      </c>
      <c r="E8" s="238" t="n">
        <f aca="false">D8+1</f>
        <v>2002</v>
      </c>
      <c r="F8" s="238" t="n">
        <f aca="false">E8+1</f>
        <v>2003</v>
      </c>
      <c r="G8" s="238" t="n">
        <f aca="false">F8+1</f>
        <v>2004</v>
      </c>
      <c r="H8" s="238" t="n">
        <f aca="false">G8+1</f>
        <v>2005</v>
      </c>
      <c r="I8" s="238" t="n">
        <f aca="false">H8+1</f>
        <v>2006</v>
      </c>
      <c r="J8" s="238" t="n">
        <f aca="false">I8+1</f>
        <v>2007</v>
      </c>
      <c r="K8" s="238" t="n">
        <f aca="false">J8+1</f>
        <v>2008</v>
      </c>
      <c r="L8" s="238" t="n">
        <f aca="false">K8+1</f>
        <v>2009</v>
      </c>
      <c r="M8" s="238" t="n">
        <f aca="false">L8+1</f>
        <v>2010</v>
      </c>
      <c r="N8" s="238" t="n">
        <f aca="false">M8+1</f>
        <v>2011</v>
      </c>
      <c r="O8" s="238" t="n">
        <f aca="false">N8+1</f>
        <v>2012</v>
      </c>
      <c r="P8" s="238" t="n">
        <f aca="false">O8+1</f>
        <v>2013</v>
      </c>
      <c r="Q8" s="238" t="n">
        <f aca="false">P8+1</f>
        <v>2014</v>
      </c>
      <c r="R8" s="238" t="n">
        <f aca="false">Q8+1</f>
        <v>2015</v>
      </c>
      <c r="S8" s="238" t="n">
        <f aca="false">R8+1</f>
        <v>2016</v>
      </c>
      <c r="T8" s="238" t="n">
        <f aca="false">S8+1</f>
        <v>2017</v>
      </c>
      <c r="U8" s="238" t="n">
        <f aca="false">T8+1</f>
        <v>2018</v>
      </c>
      <c r="V8" s="238" t="n">
        <f aca="false">U8+1</f>
        <v>2019</v>
      </c>
      <c r="W8" s="238" t="n">
        <f aca="false">V8+1</f>
        <v>2020</v>
      </c>
      <c r="X8" s="238" t="n">
        <f aca="false">W8+1</f>
        <v>2021</v>
      </c>
      <c r="Y8" s="238" t="n">
        <f aca="false">X8+1</f>
        <v>2022</v>
      </c>
      <c r="Z8" s="238" t="n">
        <f aca="false">Y8+1</f>
        <v>2023</v>
      </c>
      <c r="AA8" s="238" t="n">
        <f aca="false">Z8+1</f>
        <v>2024</v>
      </c>
      <c r="AB8" s="238" t="n">
        <f aca="false">AA8+1</f>
        <v>2025</v>
      </c>
      <c r="AC8" s="238" t="n">
        <f aca="false">AB8+1</f>
        <v>2026</v>
      </c>
      <c r="AD8" s="238" t="n">
        <f aca="false">AC8+1</f>
        <v>2027</v>
      </c>
      <c r="AE8" s="238" t="n">
        <f aca="false">AD8+1</f>
        <v>2028</v>
      </c>
      <c r="AF8" s="238" t="n">
        <f aca="false">AE8+1</f>
        <v>2029</v>
      </c>
      <c r="AG8" s="238" t="n">
        <f aca="false">AF8+1</f>
        <v>2030</v>
      </c>
      <c r="AH8" s="238" t="n">
        <f aca="false">AG8+1</f>
        <v>2031</v>
      </c>
    </row>
    <row r="9" customFormat="false" ht="15.75" hidden="false" customHeight="false" outlineLevel="0" collapsed="false">
      <c r="B9" s="83"/>
      <c r="C9" s="83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</row>
    <row r="10" customFormat="false" ht="15.75" hidden="false" customHeight="false" outlineLevel="0" collapsed="false">
      <c r="A10" s="1"/>
      <c r="B10" s="240" t="s">
        <v>255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41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256</v>
      </c>
      <c r="C12" s="31"/>
      <c r="D12" s="242" t="n">
        <f aca="false">Assumptions!$H$53</f>
        <v>5.5</v>
      </c>
      <c r="E12" s="242" t="n">
        <f aca="false">Assumptions!$H$53</f>
        <v>5.5</v>
      </c>
      <c r="F12" s="242" t="n">
        <f aca="false">Assumptions!$H$53</f>
        <v>5.5</v>
      </c>
      <c r="G12" s="242" t="n">
        <f aca="false">Assumptions!$H$53</f>
        <v>5.5</v>
      </c>
      <c r="H12" s="242" t="n">
        <f aca="false">Assumptions!$H$53</f>
        <v>5.5</v>
      </c>
      <c r="I12" s="242" t="n">
        <f aca="false">Assumptions!$H$53</f>
        <v>5.5</v>
      </c>
      <c r="J12" s="242" t="n">
        <f aca="false">Assumptions!$H$53</f>
        <v>5.5</v>
      </c>
      <c r="K12" s="242" t="n">
        <f aca="false">Assumptions!$H$53</f>
        <v>5.5</v>
      </c>
      <c r="L12" s="242" t="n">
        <f aca="false">Assumptions!$H$53</f>
        <v>5.5</v>
      </c>
      <c r="M12" s="242" t="n">
        <f aca="false">Assumptions!$H$53</f>
        <v>5.5</v>
      </c>
      <c r="N12" s="242" t="n">
        <f aca="false">Assumptions!$H$53</f>
        <v>5.5</v>
      </c>
      <c r="O12" s="242" t="n">
        <f aca="false">Assumptions!$H$53</f>
        <v>5.5</v>
      </c>
      <c r="P12" s="242" t="n">
        <f aca="false">Assumptions!$H$53</f>
        <v>5.5</v>
      </c>
      <c r="Q12" s="242" t="n">
        <f aca="false">Assumptions!$H$53</f>
        <v>5.5</v>
      </c>
      <c r="R12" s="242" t="n">
        <f aca="false">Assumptions!$H$53</f>
        <v>5.5</v>
      </c>
      <c r="S12" s="242" t="n">
        <f aca="false">Assumptions!$H$53</f>
        <v>5.5</v>
      </c>
      <c r="T12" s="242" t="n">
        <f aca="false">Assumptions!$H$53</f>
        <v>5.5</v>
      </c>
      <c r="U12" s="242" t="n">
        <f aca="false">Assumptions!$H$53</f>
        <v>5.5</v>
      </c>
      <c r="V12" s="242" t="n">
        <f aca="false">Assumptions!$H$53</f>
        <v>5.5</v>
      </c>
      <c r="W12" s="242" t="n">
        <f aca="false">Assumptions!$H$53</f>
        <v>5.5</v>
      </c>
      <c r="X12" s="242" t="n">
        <f aca="false">Assumptions!$H$53</f>
        <v>5.5</v>
      </c>
      <c r="Y12" s="242" t="n">
        <f aca="false">Assumptions!$H$53</f>
        <v>5.5</v>
      </c>
      <c r="Z12" s="242" t="n">
        <f aca="false">Assumptions!$H$53</f>
        <v>5.5</v>
      </c>
      <c r="AA12" s="242" t="n">
        <f aca="false">Assumptions!$H$53</f>
        <v>5.5</v>
      </c>
      <c r="AB12" s="242" t="n">
        <f aca="false">Assumptions!$H$53</f>
        <v>5.5</v>
      </c>
      <c r="AC12" s="242" t="n">
        <f aca="false">Assumptions!$H$53</f>
        <v>5.5</v>
      </c>
      <c r="AD12" s="242" t="n">
        <f aca="false">Assumptions!$H$53</f>
        <v>5.5</v>
      </c>
      <c r="AE12" s="242" t="n">
        <f aca="false">Assumptions!$H$53</f>
        <v>5.5</v>
      </c>
      <c r="AF12" s="242" t="n">
        <f aca="false">Assumptions!$H$53</f>
        <v>5.5</v>
      </c>
      <c r="AG12" s="242" t="n">
        <f aca="false">Assumptions!$H$53</f>
        <v>5.5</v>
      </c>
      <c r="AH12" s="242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257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3" t="n">
        <v>5.49333333333333</v>
      </c>
      <c r="E15" s="243" t="n">
        <v>5.65813333333333</v>
      </c>
      <c r="F15" s="243" t="n">
        <v>5.64575616666667</v>
      </c>
      <c r="G15" s="243" t="n">
        <v>5.72133645083333</v>
      </c>
      <c r="H15" s="243" t="n">
        <v>5.69976419864167</v>
      </c>
      <c r="I15" s="243" t="n">
        <v>5.77125276655683</v>
      </c>
      <c r="J15" s="243" t="n">
        <v>5.84190086076813</v>
      </c>
      <c r="K15" s="243" t="n">
        <v>5.91159371314221</v>
      </c>
      <c r="L15" s="243" t="n">
        <v>6.08894152453647</v>
      </c>
      <c r="M15" s="243" t="n">
        <v>6.15961673866056</v>
      </c>
      <c r="N15" s="243" t="n">
        <v>6.34440524082038</v>
      </c>
      <c r="O15" s="243" t="n">
        <v>6.4159239908078</v>
      </c>
      <c r="P15" s="243" t="n">
        <v>6.60840171053204</v>
      </c>
      <c r="Q15" s="243" t="n">
        <v>6.68060461811007</v>
      </c>
      <c r="R15" s="243" t="n">
        <v>6.75119213860331</v>
      </c>
      <c r="S15" s="243" t="n">
        <v>6.82000236616985</v>
      </c>
      <c r="T15" s="243" t="n">
        <v>6.88686513446563</v>
      </c>
      <c r="U15" s="243" t="n">
        <v>6.95160166672961</v>
      </c>
      <c r="V15" s="243" t="n">
        <v>7.0140242123084</v>
      </c>
      <c r="W15" s="243" t="n">
        <v>7.07393566912187</v>
      </c>
      <c r="X15" s="243" t="n">
        <v>7.13112919155307</v>
      </c>
      <c r="Y15" s="243" t="n">
        <v>7.18538778322793</v>
      </c>
      <c r="Z15" s="243" t="n">
        <v>7.23964637490278</v>
      </c>
      <c r="AA15" s="243" t="n">
        <v>7.29390496657765</v>
      </c>
      <c r="AB15" s="243" t="n">
        <v>7.34816355825251</v>
      </c>
      <c r="AC15" s="243" t="n">
        <v>7.40242214992737</v>
      </c>
      <c r="AD15" s="243" t="n">
        <v>7.45668074160222</v>
      </c>
      <c r="AE15" s="243" t="n">
        <v>7.51093933327709</v>
      </c>
      <c r="AF15" s="243" t="n">
        <v>7.56519792495195</v>
      </c>
      <c r="AG15" s="243" t="n">
        <v>7.61945651662681</v>
      </c>
      <c r="AH15" s="243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3" t="n">
        <v>4.3775</v>
      </c>
      <c r="E16" s="243" t="n">
        <v>4.508825</v>
      </c>
      <c r="F16" s="243" t="n">
        <v>4.73515033333333</v>
      </c>
      <c r="G16" s="243" t="n">
        <v>4.87720484333333</v>
      </c>
      <c r="H16" s="243" t="n">
        <v>5.02352098863333</v>
      </c>
      <c r="I16" s="243" t="n">
        <v>5.17422661829233</v>
      </c>
      <c r="J16" s="243" t="n">
        <v>5.3294534168411</v>
      </c>
      <c r="K16" s="243" t="n">
        <v>5.2782086724484</v>
      </c>
      <c r="L16" s="243" t="n">
        <v>5.21909273531698</v>
      </c>
      <c r="M16" s="243" t="n">
        <v>5.03968642254046</v>
      </c>
      <c r="N16" s="243" t="n">
        <v>4.96017137009593</v>
      </c>
      <c r="O16" s="243" t="n">
        <v>4.87134969672444</v>
      </c>
      <c r="P16" s="243" t="n">
        <v>4.89511237817188</v>
      </c>
      <c r="Q16" s="243" t="n">
        <v>4.91591660577911</v>
      </c>
      <c r="R16" s="243" t="n">
        <v>4.80373286785236</v>
      </c>
      <c r="S16" s="243" t="n">
        <v>4.81411931729636</v>
      </c>
      <c r="T16" s="243" t="n">
        <v>4.82080559412594</v>
      </c>
      <c r="U16" s="243" t="n">
        <v>4.96542976194972</v>
      </c>
      <c r="V16" s="243" t="n">
        <v>5.11439265480821</v>
      </c>
      <c r="W16" s="243" t="n">
        <v>5.11731516489667</v>
      </c>
      <c r="X16" s="243" t="n">
        <v>5.27083461984357</v>
      </c>
      <c r="Y16" s="243" t="n">
        <v>5.42895965843888</v>
      </c>
      <c r="Z16" s="243" t="n">
        <v>5.58708469703418</v>
      </c>
      <c r="AA16" s="243" t="n">
        <v>5.74520973562949</v>
      </c>
      <c r="AB16" s="243" t="n">
        <v>5.9033347742248</v>
      </c>
      <c r="AC16" s="243" t="n">
        <v>6.06145981282011</v>
      </c>
      <c r="AD16" s="243" t="n">
        <v>6.21958485141541</v>
      </c>
      <c r="AE16" s="243" t="n">
        <v>6.37770989001072</v>
      </c>
      <c r="AF16" s="243" t="n">
        <v>6.53583492860603</v>
      </c>
      <c r="AG16" s="243" t="n">
        <v>6.69395996720133</v>
      </c>
      <c r="AH16" s="243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4" t="n">
        <v>0</v>
      </c>
      <c r="E17" s="244" t="n">
        <v>0</v>
      </c>
      <c r="F17" s="244" t="n">
        <v>0</v>
      </c>
      <c r="G17" s="244" t="n">
        <v>0</v>
      </c>
      <c r="H17" s="244" t="n">
        <v>0</v>
      </c>
      <c r="I17" s="244" t="n">
        <v>0</v>
      </c>
      <c r="J17" s="244" t="n">
        <v>0</v>
      </c>
      <c r="K17" s="244" t="n">
        <v>0</v>
      </c>
      <c r="L17" s="244" t="n">
        <v>0</v>
      </c>
      <c r="M17" s="244" t="n">
        <v>0</v>
      </c>
      <c r="N17" s="244" t="n">
        <v>0</v>
      </c>
      <c r="O17" s="244" t="n">
        <v>0</v>
      </c>
      <c r="P17" s="244" t="n">
        <v>0</v>
      </c>
      <c r="Q17" s="244" t="n">
        <v>0</v>
      </c>
      <c r="R17" s="244" t="n">
        <v>0</v>
      </c>
      <c r="S17" s="244" t="n">
        <v>0</v>
      </c>
      <c r="T17" s="244" t="n">
        <v>0</v>
      </c>
      <c r="U17" s="244" t="n">
        <v>0</v>
      </c>
      <c r="V17" s="244" t="n">
        <v>0</v>
      </c>
      <c r="W17" s="244" t="n">
        <v>0</v>
      </c>
      <c r="X17" s="244" t="n">
        <v>0</v>
      </c>
      <c r="Y17" s="244" t="n">
        <v>0</v>
      </c>
      <c r="Z17" s="244" t="n">
        <v>0</v>
      </c>
      <c r="AA17" s="244" t="n">
        <v>0</v>
      </c>
      <c r="AB17" s="244" t="n">
        <v>0</v>
      </c>
      <c r="AC17" s="244" t="n">
        <v>0</v>
      </c>
      <c r="AD17" s="244" t="n">
        <v>0</v>
      </c>
      <c r="AE17" s="244" t="n">
        <v>0</v>
      </c>
      <c r="AF17" s="244" t="n">
        <v>0</v>
      </c>
      <c r="AG17" s="244" t="n">
        <v>0</v>
      </c>
      <c r="AH17" s="244" t="n">
        <v>0</v>
      </c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6" t="n">
        <v>0</v>
      </c>
      <c r="E18" s="246" t="n">
        <v>0</v>
      </c>
      <c r="F18" s="246" t="n">
        <v>0</v>
      </c>
      <c r="G18" s="246" t="n">
        <v>0</v>
      </c>
      <c r="H18" s="246" t="n">
        <v>0</v>
      </c>
      <c r="I18" s="246" t="n">
        <v>0</v>
      </c>
      <c r="J18" s="246" t="n">
        <v>0</v>
      </c>
      <c r="K18" s="246" t="n">
        <v>0</v>
      </c>
      <c r="L18" s="246" t="n">
        <v>0</v>
      </c>
      <c r="M18" s="246" t="n">
        <v>0</v>
      </c>
      <c r="N18" s="246" t="n">
        <v>0</v>
      </c>
      <c r="O18" s="246" t="n">
        <v>0</v>
      </c>
      <c r="P18" s="246" t="n">
        <v>0</v>
      </c>
      <c r="Q18" s="246" t="n">
        <v>0</v>
      </c>
      <c r="R18" s="246" t="n">
        <v>0</v>
      </c>
      <c r="S18" s="246" t="n">
        <v>0</v>
      </c>
      <c r="T18" s="246" t="n">
        <v>0</v>
      </c>
      <c r="U18" s="246" t="n">
        <v>0</v>
      </c>
      <c r="V18" s="246" t="n">
        <v>0</v>
      </c>
      <c r="W18" s="246" t="n">
        <v>0</v>
      </c>
      <c r="X18" s="246" t="n">
        <v>0</v>
      </c>
      <c r="Y18" s="246" t="n">
        <v>0</v>
      </c>
      <c r="Z18" s="246" t="n">
        <v>0</v>
      </c>
      <c r="AA18" s="246" t="n">
        <v>0</v>
      </c>
      <c r="AB18" s="246" t="n">
        <v>0</v>
      </c>
      <c r="AC18" s="246" t="n">
        <v>0</v>
      </c>
      <c r="AD18" s="246" t="n">
        <v>0</v>
      </c>
      <c r="AE18" s="246" t="n">
        <v>0</v>
      </c>
      <c r="AF18" s="246" t="n">
        <v>0</v>
      </c>
      <c r="AG18" s="246" t="n">
        <v>0</v>
      </c>
      <c r="AH18" s="246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7" t="n">
        <f aca="false">Assumptions!V13</f>
        <v>1</v>
      </c>
      <c r="B19" s="31" t="s">
        <v>258</v>
      </c>
      <c r="C19" s="248"/>
      <c r="D19" s="249" t="n">
        <f aca="false">CHOOSE($A$19,D15,D16,D17,D18)</f>
        <v>5.49333333333333</v>
      </c>
      <c r="E19" s="249" t="n">
        <f aca="false">CHOOSE($A$19,E15,E16,E17,E18)</f>
        <v>5.65813333333333</v>
      </c>
      <c r="F19" s="249" t="n">
        <f aca="false">CHOOSE($A$19,F15,F16,F17,F18)</f>
        <v>5.64575616666667</v>
      </c>
      <c r="G19" s="249" t="n">
        <f aca="false">CHOOSE($A$19,G15,G16,G17,G18)</f>
        <v>5.72133645083333</v>
      </c>
      <c r="H19" s="249" t="n">
        <f aca="false">CHOOSE($A$19,H15,H16,H17,H18)</f>
        <v>5.69976419864167</v>
      </c>
      <c r="I19" s="249" t="n">
        <f aca="false">CHOOSE($A$19,I15,I16,I17,I18)</f>
        <v>5.77125276655683</v>
      </c>
      <c r="J19" s="249" t="n">
        <f aca="false">CHOOSE($A$19,J15,J16,J17,J18)</f>
        <v>5.84190086076813</v>
      </c>
      <c r="K19" s="249" t="n">
        <f aca="false">CHOOSE($A$19,K15,K16,K17,K18)</f>
        <v>5.91159371314221</v>
      </c>
      <c r="L19" s="249" t="n">
        <f aca="false">CHOOSE($A$19,L15,L16,L17,L18)</f>
        <v>6.08894152453647</v>
      </c>
      <c r="M19" s="249" t="n">
        <f aca="false">CHOOSE($A$19,M15,M16,M17,M18)</f>
        <v>6.15961673866056</v>
      </c>
      <c r="N19" s="249" t="n">
        <f aca="false">CHOOSE($A$19,N15,N16,N17,N18)</f>
        <v>6.34440524082038</v>
      </c>
      <c r="O19" s="249" t="n">
        <f aca="false">CHOOSE($A$19,O15,O16,O17,O18)</f>
        <v>6.4159239908078</v>
      </c>
      <c r="P19" s="249" t="n">
        <f aca="false">CHOOSE($A$19,P15,P16,P17,P18)</f>
        <v>6.60840171053204</v>
      </c>
      <c r="Q19" s="249" t="n">
        <f aca="false">CHOOSE($A$19,Q15,Q16,Q17,Q18)</f>
        <v>6.68060461811007</v>
      </c>
      <c r="R19" s="249" t="n">
        <f aca="false">CHOOSE($A$19,R15,R16,R17,R18)</f>
        <v>6.75119213860331</v>
      </c>
      <c r="S19" s="249" t="n">
        <f aca="false">CHOOSE($A$19,S15,S16,S17,S18)</f>
        <v>6.82000236616985</v>
      </c>
      <c r="T19" s="249" t="n">
        <f aca="false">CHOOSE($A$19,T15,T16,T17,T18)</f>
        <v>6.88686513446563</v>
      </c>
      <c r="U19" s="249" t="n">
        <f aca="false">CHOOSE($A$19,U15,U16,U17,U18)</f>
        <v>6.95160166672961</v>
      </c>
      <c r="V19" s="249" t="n">
        <f aca="false">CHOOSE($A$19,V15,V16,V17,V18)</f>
        <v>7.0140242123084</v>
      </c>
      <c r="W19" s="249" t="n">
        <f aca="false">CHOOSE($A$19,W15,W16,W17,W18)</f>
        <v>7.07393566912187</v>
      </c>
      <c r="X19" s="249" t="n">
        <f aca="false">CHOOSE($A$19,X15,X16,X17,X18)</f>
        <v>7.13112919155307</v>
      </c>
      <c r="Y19" s="249" t="n">
        <f aca="false">CHOOSE($A$19,Y15,Y16,Y17,Y18)</f>
        <v>7.18538778322793</v>
      </c>
      <c r="Z19" s="249" t="n">
        <f aca="false">CHOOSE($A$19,Z15,Z16,Z17,Z18)</f>
        <v>7.23964637490278</v>
      </c>
      <c r="AA19" s="249" t="n">
        <f aca="false">CHOOSE($A$19,AA15,AA16,AA17,AA18)</f>
        <v>7.29390496657765</v>
      </c>
      <c r="AB19" s="249" t="n">
        <f aca="false">CHOOSE($A$19,AB15,AB16,AB17,AB18)</f>
        <v>7.34816355825251</v>
      </c>
      <c r="AC19" s="249" t="n">
        <f aca="false">CHOOSE($A$19,AC15,AC16,AC17,AC18)</f>
        <v>7.40242214992737</v>
      </c>
      <c r="AD19" s="249" t="n">
        <f aca="false">CHOOSE($A$19,AD15,AD16,AD17,AD18)</f>
        <v>7.45668074160222</v>
      </c>
      <c r="AE19" s="249" t="n">
        <f aca="false">CHOOSE($A$19,AE15,AE16,AE17,AE18)</f>
        <v>7.51093933327709</v>
      </c>
      <c r="AF19" s="249" t="n">
        <f aca="false">CHOOSE($A$19,AF15,AF16,AF17,AF18)</f>
        <v>7.56519792495195</v>
      </c>
      <c r="AG19" s="249" t="n">
        <f aca="false">CHOOSE($A$19,AG15,AG16,AG17,AG18)</f>
        <v>7.61945651662681</v>
      </c>
      <c r="AH19" s="249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8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1"/>
      <c r="Z20" s="252"/>
      <c r="AA20" s="252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3" t="s">
        <v>259</v>
      </c>
      <c r="C21" s="248"/>
      <c r="D21" s="254" t="n">
        <f aca="false">IF(AND(C7&lt;$D$7+Assumptions!$H$52,D7&lt;$D$7+Assumptions!$H$52),D12,IF(AND(C7&lt;$D$7+Assumptions!$H$52,D7&gt;$D$7+Assumptions!$H$52),D12*(1-$D$7)+D19*$D$7,D19))</f>
        <v>5.5</v>
      </c>
      <c r="E21" s="255" t="n">
        <f aca="false">IF(AND(D7&lt;$D$7+Assumptions!$H$52,E7&lt;$D$7+Assumptions!$H$52),E12,IF(AND(D7&lt;$D$7+Assumptions!$H$52,E7&gt;=$D$7+Assumptions!$H$52),E12*(1-$D$7)+E19*$D$7,E19))</f>
        <v>5.5</v>
      </c>
      <c r="F21" s="255" t="n">
        <f aca="false">IF(AND(E7&lt;$D$7+Assumptions!$H$52,F7&lt;$D$7+Assumptions!$H$52),F12,IF(AND(E7&lt;$D$7+Assumptions!$H$52,F7&gt;=$D$7+Assumptions!$H$52),F12*(1-$D$7)+F19*$D$7,F19))</f>
        <v>5.5</v>
      </c>
      <c r="G21" s="255" t="n">
        <f aca="false">IF(AND(F7&lt;$D$7+Assumptions!$H$52,G7&lt;$D$7+Assumptions!$H$52),G12,IF(AND(F7&lt;$D$7+Assumptions!$H$52,G7&gt;=$D$7+Assumptions!$H$52),G12*(1-$D$7)+G19*$D$7,G19))</f>
        <v>5.5</v>
      </c>
      <c r="H21" s="255" t="n">
        <f aca="false">IF(AND(G7&lt;$D$7+Assumptions!$H$52,H7&lt;$D$7+Assumptions!$H$52),H12,IF(AND(G7&lt;$D$7+Assumptions!$H$52,H7&gt;=$D$7+Assumptions!$H$52),H12*(1-$D$7)+H19*$D$7,H19))</f>
        <v>5.5</v>
      </c>
      <c r="I21" s="255" t="n">
        <f aca="false">IF(AND(H7&lt;$D$7+Assumptions!$H$52,I7&lt;$D$7+Assumptions!$H$52),I12,IF(AND(H7&lt;$D$7+Assumptions!$H$52,I7&gt;=$D$7+Assumptions!$H$52),I12*(1-$D$7)+I19*$D$7,I19))</f>
        <v>5.5</v>
      </c>
      <c r="J21" s="255" t="n">
        <f aca="false">IF(AND(I7&lt;$D$7+Assumptions!$H$52,J7&lt;$D$7+Assumptions!$H$52),J12,IF(AND(I7&lt;$D$7+Assumptions!$H$52,J7&gt;=$D$7+Assumptions!$H$52),J12*(1-$D$7)+J19*$D$7,J19))</f>
        <v>5.5</v>
      </c>
      <c r="K21" s="255" t="n">
        <f aca="false">IF(AND(J7&lt;$D$7+Assumptions!$H$52,K7&lt;$D$7+Assumptions!$H$52),K12,IF(AND(J7&lt;$D$7+Assumptions!$H$52,K7&gt;=$D$7+Assumptions!$H$52),K12*(1-$D$7)+K19*$D$7,K19))</f>
        <v>5.5</v>
      </c>
      <c r="L21" s="255" t="n">
        <f aca="false">IF(AND(K7&lt;$D$7+Assumptions!$H$52,L7&lt;$D$7+Assumptions!$H$52),L12,IF(AND(K7&lt;$D$7+Assumptions!$H$52,L7&gt;=$D$7+Assumptions!$H$52),L12*(1-$D$7)+L19*$D$7,L19))</f>
        <v>5.5</v>
      </c>
      <c r="M21" s="255" t="n">
        <f aca="false">IF(AND(L7&lt;$D$7+Assumptions!$H$52,M7&lt;$D$7+Assumptions!$H$52),M12,IF(AND(L7&lt;$D$7+Assumptions!$H$52,M7&gt;=$D$7+Assumptions!$H$52),M12*(1-$D$7)+M19*$D$7,M19))</f>
        <v>5.93974449244037</v>
      </c>
      <c r="N21" s="255" t="n">
        <f aca="false">IF(AND(M7&lt;$D$7+Assumptions!$H$52,N7&lt;$D$7+Assumptions!$H$52),N12,IF(AND(M7&lt;$D$7+Assumptions!$H$52,N7&gt;=$D$7+Assumptions!$H$52),N12*(1-$D$7)+N19*$D$7,N19))</f>
        <v>6.34440524082038</v>
      </c>
      <c r="O21" s="255" t="n">
        <f aca="false">IF(AND(N7&lt;$D$7+Assumptions!$H$52,O7&lt;$D$7+Assumptions!$H$52),O12,IF(AND(N7&lt;$D$7+Assumptions!$H$52,O7&gt;=$D$7+Assumptions!$H$52),O12*(1-$D$7)+O19*$D$7,O19))</f>
        <v>6.4159239908078</v>
      </c>
      <c r="P21" s="255" t="n">
        <f aca="false">IF(AND(O7&lt;$D$7+Assumptions!$H$52,P7&lt;$D$7+Assumptions!$H$52),P12,IF(AND(O7&lt;$D$7+Assumptions!$H$52,P7&gt;=$D$7+Assumptions!$H$52),P12*(1-$D$7)+P19*$D$7,P19))</f>
        <v>6.60840171053204</v>
      </c>
      <c r="Q21" s="255" t="n">
        <f aca="false">IF(AND(P7&lt;$D$7+Assumptions!$H$52,Q7&lt;$D$7+Assumptions!$H$52),Q12,IF(AND(P7&lt;$D$7+Assumptions!$H$52,Q7&gt;=$D$7+Assumptions!$H$52),Q12*(1-$D$7)+Q19*$D$7,Q19))</f>
        <v>6.68060461811007</v>
      </c>
      <c r="R21" s="256" t="n">
        <f aca="false">IF(AND(Q7&lt;$D$7+Assumptions!$H$52,R7&lt;$D$7+Assumptions!$H$52),R12,IF(AND(Q7&lt;$D$7+Assumptions!$H$52,R7&gt;=$D$7+Assumptions!$H$52),R12*(1-$D$7)+R19*$D$7,R19))</f>
        <v>6.75119213860331</v>
      </c>
      <c r="S21" s="254" t="n">
        <f aca="false">IF(AND(R7&lt;$D$7+Assumptions!$H$52,S7&lt;$D$7+Assumptions!$H$52),S12,IF(AND(R7&lt;$D$7+Assumptions!$H$52,S7&gt;=$D$7+Assumptions!$H$52),S12*(1-$D$7)+S19*$D$7,S19))</f>
        <v>6.82000236616985</v>
      </c>
      <c r="T21" s="255" t="n">
        <f aca="false">IF(AND(S7&lt;$D$7+Assumptions!$H$52,T7&lt;$D$7+Assumptions!$H$52),T12,IF(AND(S7&lt;$D$7+Assumptions!$H$52,T7&gt;=$D$7+Assumptions!$H$52),T12*(1-$D$7)+T19*$D$7,T19))</f>
        <v>6.88686513446563</v>
      </c>
      <c r="U21" s="255" t="n">
        <f aca="false">IF(AND(T7&lt;$D$7+Assumptions!$H$52,U7&lt;$D$7+Assumptions!$H$52),U12,IF(AND(T7&lt;$D$7+Assumptions!$H$52,U7&gt;=$D$7+Assumptions!$H$52),U12*(1-$D$7)+U19*$D$7,U19))</f>
        <v>6.95160166672961</v>
      </c>
      <c r="V21" s="255" t="n">
        <f aca="false">IF(AND(U7&lt;$D$7+Assumptions!$H$52,V7&lt;$D$7+Assumptions!$H$52),V12,IF(AND(U7&lt;$D$7+Assumptions!$H$52,V7&gt;=$D$7+Assumptions!$H$52),V12*(1-$D$7)+V19*$D$7,V19))</f>
        <v>7.0140242123084</v>
      </c>
      <c r="W21" s="255" t="n">
        <f aca="false">IF(AND(V7&lt;$D$7+Assumptions!$H$52,W7&lt;$D$7+Assumptions!$H$52),W12,IF(AND(V7&lt;$D$7+Assumptions!$H$52,W7&gt;=$D$7+Assumptions!$H$52),W12*(1-$D$7)+W19*$D$7,W19))</f>
        <v>7.07393566912187</v>
      </c>
      <c r="X21" s="255" t="n">
        <f aca="false">IF(AND(W7&lt;$D$7+Assumptions!$H$52,X7&lt;$D$7+Assumptions!$H$52),X12,IF(AND(W7&lt;$D$7+Assumptions!$H$52,X7&gt;=$D$7+Assumptions!$H$52),X12*(1-$D$7)+X19*$D$7,X19))</f>
        <v>7.13112919155307</v>
      </c>
      <c r="Y21" s="255" t="n">
        <f aca="false">IF(AND(X7&lt;$D$7+Assumptions!$H$52,Y7&lt;$D$7+Assumptions!$H$52),Y12,IF(AND(X7&lt;$D$7+Assumptions!$H$52,Y7&gt;=$D$7+Assumptions!$H$52),Y12*(1-$D$7)+Y19*$D$7,Y19))</f>
        <v>7.18538778322793</v>
      </c>
      <c r="Z21" s="255" t="n">
        <f aca="false">IF(AND(Y7&lt;$D$7+Assumptions!$H$52,Z7&lt;$D$7+Assumptions!$H$52),Z12,IF(AND(Y7&lt;$D$7+Assumptions!$H$52,Z7&gt;=$D$7+Assumptions!$H$52),Z12*(1-$D$7)+Z19*$D$7,Z19))</f>
        <v>7.23964637490278</v>
      </c>
      <c r="AA21" s="255" t="n">
        <f aca="false">IF(AND(Z7&lt;$D$7+Assumptions!$H$52,AA7&lt;$D$7+Assumptions!$H$52),AA12,IF(AND(Z7&lt;$D$7+Assumptions!$H$52,AA7&gt;=$D$7+Assumptions!$H$52),AA12*(1-$D$7)+AA19*$D$7,AA19))</f>
        <v>7.29390496657765</v>
      </c>
      <c r="AB21" s="255" t="n">
        <f aca="false">IF(AND(AA7&lt;$D$7+Assumptions!$H$52,AB7&lt;$D$7+Assumptions!$H$52),AB12,IF(AND(AA7&lt;$D$7+Assumptions!$H$52,AB7&gt;=$D$7+Assumptions!$H$52),AB12*(1-$D$7)+AB19*$D$7,AB19))</f>
        <v>7.34816355825251</v>
      </c>
      <c r="AC21" s="255" t="n">
        <f aca="false">IF(AND(AB7&lt;$D$7+Assumptions!$H$52,AC7&lt;$D$7+Assumptions!$H$52),AC12,IF(AND(AB7&lt;$D$7+Assumptions!$H$52,AC7&gt;=$D$7+Assumptions!$H$52),AC12*(1-$D$7)+AC19*$D$7,AC19))</f>
        <v>7.40242214992737</v>
      </c>
      <c r="AD21" s="255" t="n">
        <f aca="false">IF(AND(AC7&lt;$D$7+Assumptions!$H$52,AD7&lt;$D$7+Assumptions!$H$52),AD12,IF(AND(AC7&lt;$D$7+Assumptions!$H$52,AD7&gt;=$D$7+Assumptions!$H$52),AD12*(1-$D$7)+AD19*$D$7,AD19))</f>
        <v>7.45668074160222</v>
      </c>
      <c r="AE21" s="255" t="n">
        <f aca="false">IF(AND(AD7&lt;$D$7+Assumptions!$H$52,AE7&lt;$D$7+Assumptions!$H$52),AE12,IF(AND(AD7&lt;$D$7+Assumptions!$H$52,AE7&gt;=$D$7+Assumptions!$H$52),AE12*(1-$D$7)+AE19*$D$7,AE19))</f>
        <v>7.51093933327709</v>
      </c>
      <c r="AF21" s="255" t="n">
        <f aca="false">IF(AND(AE7&lt;$D$7+Assumptions!$H$52,AF7&lt;$D$7+Assumptions!$H$52),AF12,IF(AND(AE7&lt;$D$7+Assumptions!$H$52,AF7&gt;=$D$7+Assumptions!$H$52),AF12*(1-$D$7)+AF19*$D$7,AF19))</f>
        <v>7.56519792495195</v>
      </c>
      <c r="AG21" s="255" t="n">
        <f aca="false">IF(AND(AF7&lt;$D$7+Assumptions!$H$52,AG7&lt;$D$7+Assumptions!$H$52),AG12,IF(AND(AF7&lt;$D$7+Assumptions!$H$52,AG7&gt;=$D$7+Assumptions!$H$52),AG12*(1-$D$7)+AG19*$D$7,AG19))</f>
        <v>7.61945651662681</v>
      </c>
      <c r="AH21" s="256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8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1"/>
      <c r="Z22" s="252"/>
      <c r="AA22" s="252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40" t="s">
        <v>260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7"/>
      <c r="D25" s="244" t="n">
        <v>2.2</v>
      </c>
      <c r="E25" s="244" t="n">
        <v>2.2</v>
      </c>
      <c r="F25" s="244" t="n">
        <v>2.2</v>
      </c>
      <c r="G25" s="244" t="n">
        <v>2.2</v>
      </c>
      <c r="H25" s="244" t="n">
        <v>2.2</v>
      </c>
      <c r="I25" s="244" t="n">
        <v>2.2</v>
      </c>
      <c r="J25" s="244" t="n">
        <v>2.2</v>
      </c>
      <c r="K25" s="244" t="n">
        <v>2.2</v>
      </c>
      <c r="L25" s="244" t="n">
        <v>2.2</v>
      </c>
      <c r="M25" s="244" t="n">
        <v>2.2</v>
      </c>
      <c r="N25" s="244" t="n">
        <v>2.2</v>
      </c>
      <c r="O25" s="244" t="n">
        <v>2.2</v>
      </c>
      <c r="P25" s="244" t="n">
        <v>2.2</v>
      </c>
      <c r="Q25" s="244" t="n">
        <v>2.2</v>
      </c>
      <c r="R25" s="244" t="n">
        <v>2.2</v>
      </c>
      <c r="S25" s="244" t="n">
        <v>2.2</v>
      </c>
      <c r="T25" s="244" t="n">
        <v>2.2</v>
      </c>
      <c r="U25" s="244" t="n">
        <v>2.2</v>
      </c>
      <c r="V25" s="244" t="n">
        <v>2.2</v>
      </c>
      <c r="W25" s="244" t="n">
        <v>2.2</v>
      </c>
      <c r="X25" s="244" t="n">
        <v>2.2</v>
      </c>
      <c r="Y25" s="244" t="n">
        <v>2.2</v>
      </c>
      <c r="Z25" s="244" t="n">
        <v>2.2</v>
      </c>
      <c r="AA25" s="244" t="n">
        <v>2.2</v>
      </c>
      <c r="AB25" s="244" t="n">
        <v>2.2</v>
      </c>
      <c r="AC25" s="244" t="n">
        <v>2.2</v>
      </c>
      <c r="AD25" s="244" t="n">
        <v>2.2</v>
      </c>
      <c r="AE25" s="244" t="n">
        <v>2.2</v>
      </c>
      <c r="AF25" s="244" t="n">
        <v>2.2</v>
      </c>
      <c r="AG25" s="244" t="n">
        <v>2.2</v>
      </c>
      <c r="AH25" s="244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4" t="n">
        <v>2.5</v>
      </c>
      <c r="E26" s="244" t="n">
        <v>2.5</v>
      </c>
      <c r="F26" s="244" t="n">
        <v>2.5</v>
      </c>
      <c r="G26" s="244" t="n">
        <v>2.5</v>
      </c>
      <c r="H26" s="244" t="n">
        <v>2.5</v>
      </c>
      <c r="I26" s="244" t="n">
        <v>2.5</v>
      </c>
      <c r="J26" s="244" t="n">
        <v>2.5</v>
      </c>
      <c r="K26" s="244" t="n">
        <v>2.5</v>
      </c>
      <c r="L26" s="244" t="n">
        <v>2.5</v>
      </c>
      <c r="M26" s="244" t="n">
        <v>2.5</v>
      </c>
      <c r="N26" s="244" t="n">
        <v>2.5</v>
      </c>
      <c r="O26" s="244" t="n">
        <v>2.5</v>
      </c>
      <c r="P26" s="244" t="n">
        <v>2.5</v>
      </c>
      <c r="Q26" s="244" t="n">
        <v>2.5</v>
      </c>
      <c r="R26" s="244" t="n">
        <v>2.5</v>
      </c>
      <c r="S26" s="244" t="n">
        <v>2.5</v>
      </c>
      <c r="T26" s="244" t="n">
        <v>2.5</v>
      </c>
      <c r="U26" s="244" t="n">
        <v>2.5</v>
      </c>
      <c r="V26" s="244" t="n">
        <v>2.5</v>
      </c>
      <c r="W26" s="244" t="n">
        <v>2.5</v>
      </c>
      <c r="X26" s="244" t="n">
        <v>2.5</v>
      </c>
      <c r="Y26" s="244" t="n">
        <v>2.5</v>
      </c>
      <c r="Z26" s="244" t="n">
        <v>2.5</v>
      </c>
      <c r="AA26" s="244" t="n">
        <v>2.5</v>
      </c>
      <c r="AB26" s="244" t="n">
        <v>2.5</v>
      </c>
      <c r="AC26" s="244" t="n">
        <v>2.5</v>
      </c>
      <c r="AD26" s="244" t="n">
        <v>2.5</v>
      </c>
      <c r="AE26" s="244" t="n">
        <v>2.5</v>
      </c>
      <c r="AF26" s="244" t="n">
        <v>2.5</v>
      </c>
      <c r="AG26" s="244" t="n">
        <v>2.5</v>
      </c>
      <c r="AH26" s="244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8" t="n">
        <v>1.5</v>
      </c>
      <c r="E27" s="258" t="n">
        <v>1.5</v>
      </c>
      <c r="F27" s="258" t="n">
        <v>1.5</v>
      </c>
      <c r="G27" s="258" t="n">
        <v>1.5</v>
      </c>
      <c r="H27" s="258" t="n">
        <v>1.5</v>
      </c>
      <c r="I27" s="258" t="n">
        <v>1.5</v>
      </c>
      <c r="J27" s="258" t="n">
        <v>1.5</v>
      </c>
      <c r="K27" s="258" t="n">
        <v>1.5</v>
      </c>
      <c r="L27" s="258" t="n">
        <v>1.5</v>
      </c>
      <c r="M27" s="258" t="n">
        <v>1.5</v>
      </c>
      <c r="N27" s="258" t="n">
        <v>1.5</v>
      </c>
      <c r="O27" s="258" t="n">
        <v>1.5</v>
      </c>
      <c r="P27" s="258" t="n">
        <v>1.5</v>
      </c>
      <c r="Q27" s="258" t="n">
        <v>1.5</v>
      </c>
      <c r="R27" s="258" t="n">
        <v>1.5</v>
      </c>
      <c r="S27" s="258" t="n">
        <v>1.5</v>
      </c>
      <c r="T27" s="258" t="n">
        <v>1.5</v>
      </c>
      <c r="U27" s="258" t="n">
        <v>1.5</v>
      </c>
      <c r="V27" s="258" t="n">
        <v>1.5</v>
      </c>
      <c r="W27" s="258" t="n">
        <v>1.5</v>
      </c>
      <c r="X27" s="258" t="n">
        <v>1.5</v>
      </c>
      <c r="Y27" s="258" t="n">
        <v>1.5</v>
      </c>
      <c r="Z27" s="258" t="n">
        <v>1.5</v>
      </c>
      <c r="AA27" s="258" t="n">
        <v>1.5</v>
      </c>
      <c r="AB27" s="258" t="n">
        <v>1.5</v>
      </c>
      <c r="AC27" s="258" t="n">
        <v>1.5</v>
      </c>
      <c r="AD27" s="258" t="n">
        <v>1.5</v>
      </c>
      <c r="AE27" s="258" t="n">
        <v>1.5</v>
      </c>
      <c r="AF27" s="258" t="n">
        <v>1.5</v>
      </c>
      <c r="AG27" s="258" t="n">
        <v>1.5</v>
      </c>
      <c r="AH27" s="258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261</v>
      </c>
      <c r="C28" s="31"/>
      <c r="D28" s="259" t="n">
        <f aca="false">Assumptions!$N$54</f>
        <v>0.015</v>
      </c>
      <c r="E28" s="259" t="n">
        <f aca="false">Assumptions!$N$54</f>
        <v>0.015</v>
      </c>
      <c r="F28" s="259" t="n">
        <f aca="false">Assumptions!$N$54</f>
        <v>0.015</v>
      </c>
      <c r="G28" s="259" t="n">
        <f aca="false">Assumptions!$N$54</f>
        <v>0.015</v>
      </c>
      <c r="H28" s="259" t="n">
        <f aca="false">Assumptions!$N$54</f>
        <v>0.015</v>
      </c>
      <c r="I28" s="259" t="n">
        <f aca="false">Assumptions!$N$54</f>
        <v>0.015</v>
      </c>
      <c r="J28" s="259" t="n">
        <f aca="false">Assumptions!$N$54</f>
        <v>0.015</v>
      </c>
      <c r="K28" s="259" t="n">
        <f aca="false">Assumptions!$N$54</f>
        <v>0.015</v>
      </c>
      <c r="L28" s="259" t="n">
        <f aca="false">Assumptions!$N$54</f>
        <v>0.015</v>
      </c>
      <c r="M28" s="259" t="n">
        <f aca="false">Assumptions!$N$54</f>
        <v>0.015</v>
      </c>
      <c r="N28" s="259" t="n">
        <f aca="false">Assumptions!$N$54</f>
        <v>0.015</v>
      </c>
      <c r="O28" s="259" t="n">
        <f aca="false">Assumptions!$N$54</f>
        <v>0.015</v>
      </c>
      <c r="P28" s="259" t="n">
        <f aca="false">Assumptions!$N$54</f>
        <v>0.015</v>
      </c>
      <c r="Q28" s="259" t="n">
        <f aca="false">Assumptions!$N$54</f>
        <v>0.015</v>
      </c>
      <c r="R28" s="259" t="n">
        <f aca="false">Assumptions!$N$54</f>
        <v>0.015</v>
      </c>
      <c r="S28" s="259" t="n">
        <f aca="false">Assumptions!$N$54</f>
        <v>0.015</v>
      </c>
      <c r="T28" s="259" t="n">
        <f aca="false">Assumptions!$N$54</f>
        <v>0.015</v>
      </c>
      <c r="U28" s="259" t="n">
        <f aca="false">Assumptions!$N$54</f>
        <v>0.015</v>
      </c>
      <c r="V28" s="259" t="n">
        <f aca="false">Assumptions!$N$54</f>
        <v>0.015</v>
      </c>
      <c r="W28" s="259" t="n">
        <f aca="false">Assumptions!$N$54</f>
        <v>0.015</v>
      </c>
      <c r="X28" s="259" t="n">
        <f aca="false">Assumptions!$N$54</f>
        <v>0.015</v>
      </c>
      <c r="Y28" s="259" t="n">
        <f aca="false">Assumptions!$N$54</f>
        <v>0.015</v>
      </c>
      <c r="Z28" s="259" t="n">
        <f aca="false">Assumptions!$N$54</f>
        <v>0.015</v>
      </c>
      <c r="AA28" s="259" t="n">
        <f aca="false">Assumptions!$N$54</f>
        <v>0.015</v>
      </c>
      <c r="AB28" s="259" t="n">
        <f aca="false">Assumptions!$N$54</f>
        <v>0.015</v>
      </c>
      <c r="AC28" s="259" t="n">
        <f aca="false">Assumptions!$N$54</f>
        <v>0.015</v>
      </c>
      <c r="AD28" s="259" t="n">
        <f aca="false">Assumptions!$N$54</f>
        <v>0.015</v>
      </c>
      <c r="AE28" s="259" t="n">
        <f aca="false">Assumptions!$N$54</f>
        <v>0.015</v>
      </c>
      <c r="AF28" s="259" t="n">
        <f aca="false">Assumptions!$N$54</f>
        <v>0.015</v>
      </c>
      <c r="AG28" s="259" t="n">
        <f aca="false">Assumptions!$N$54</f>
        <v>0.015</v>
      </c>
      <c r="AH28" s="259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7" t="n">
        <f aca="false">Assumptions!U13</f>
        <v>3</v>
      </c>
      <c r="B30" s="186" t="s">
        <v>262</v>
      </c>
      <c r="C30" s="1"/>
      <c r="D30" s="260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61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61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61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61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61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61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61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61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61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61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61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61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61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2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60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61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61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61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61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61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61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61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61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61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61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61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61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61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61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2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40" t="s">
        <v>263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5" t="n">
        <f aca="false">D46*'Price_Technical Assumption'!D30/1000</f>
        <v>15.5310225</v>
      </c>
      <c r="E34" s="245" t="n">
        <f aca="false">E46*'Price_Technical Assumption'!E30/1000</f>
        <v>15.5310225</v>
      </c>
      <c r="F34" s="245" t="n">
        <f aca="false">F46*'Price_Technical Assumption'!F30/1000</f>
        <v>15.5310225</v>
      </c>
      <c r="G34" s="245" t="n">
        <f aca="false">G46*'Price_Technical Assumption'!G30/1000</f>
        <v>15.5310225</v>
      </c>
      <c r="H34" s="245" t="n">
        <f aca="false">H46*'Price_Technical Assumption'!H30/1000</f>
        <v>15.5310225</v>
      </c>
      <c r="I34" s="245" t="n">
        <f aca="false">I46*'Price_Technical Assumption'!I30/1000</f>
        <v>15.5310225</v>
      </c>
      <c r="J34" s="245" t="n">
        <f aca="false">J46*'Price_Technical Assumption'!J30/1000</f>
        <v>15.5310225</v>
      </c>
      <c r="K34" s="245" t="n">
        <f aca="false">K46*'Price_Technical Assumption'!K30/1000</f>
        <v>15.5310225</v>
      </c>
      <c r="L34" s="245" t="n">
        <f aca="false">L46*'Price_Technical Assumption'!L30/1000</f>
        <v>15.5310225</v>
      </c>
      <c r="M34" s="245" t="n">
        <f aca="false">M46*'Price_Technical Assumption'!M30/1000</f>
        <v>15.5310225</v>
      </c>
      <c r="N34" s="245" t="n">
        <f aca="false">N46*'Price_Technical Assumption'!N30/1000</f>
        <v>15.5310225</v>
      </c>
      <c r="O34" s="245" t="n">
        <f aca="false">O46*'Price_Technical Assumption'!O30/1000</f>
        <v>15.5310225</v>
      </c>
      <c r="P34" s="245" t="n">
        <f aca="false">P46*'Price_Technical Assumption'!P30/1000</f>
        <v>15.5310225</v>
      </c>
      <c r="Q34" s="245" t="n">
        <f aca="false">Q46*'Price_Technical Assumption'!Q30/1000</f>
        <v>15.5310225</v>
      </c>
      <c r="R34" s="245" t="n">
        <f aca="false">R46*'Price_Technical Assumption'!R30/1000</f>
        <v>15.5310225</v>
      </c>
      <c r="S34" s="245" t="n">
        <f aca="false">S46*'Price_Technical Assumption'!S30/1000</f>
        <v>15.5310225</v>
      </c>
      <c r="T34" s="245" t="n">
        <f aca="false">T46*'Price_Technical Assumption'!T30/1000</f>
        <v>15.5310225</v>
      </c>
      <c r="U34" s="245" t="n">
        <f aca="false">U46*'Price_Technical Assumption'!U30/1000</f>
        <v>15.5310225</v>
      </c>
      <c r="V34" s="245" t="n">
        <f aca="false">V46*'Price_Technical Assumption'!V30/1000</f>
        <v>15.5310225</v>
      </c>
      <c r="W34" s="245" t="n">
        <f aca="false">W46*'Price_Technical Assumption'!W30/1000</f>
        <v>15.5310225</v>
      </c>
      <c r="X34" s="245" t="n">
        <f aca="false">X46*'Price_Technical Assumption'!X30/1000</f>
        <v>15.5310225</v>
      </c>
      <c r="Y34" s="245" t="n">
        <f aca="false">Y46*'Price_Technical Assumption'!Y30/1000</f>
        <v>15.5310225</v>
      </c>
      <c r="Z34" s="245" t="n">
        <f aca="false">Z46*'Price_Technical Assumption'!Z30/1000</f>
        <v>15.5310225</v>
      </c>
      <c r="AA34" s="245" t="n">
        <f aca="false">AA46*'Price_Technical Assumption'!AA30/1000</f>
        <v>15.5310225</v>
      </c>
      <c r="AB34" s="245" t="n">
        <f aca="false">AB46*'Price_Technical Assumption'!AB30/1000</f>
        <v>15.5310225</v>
      </c>
      <c r="AC34" s="245" t="n">
        <f aca="false">AC46*'Price_Technical Assumption'!AC30/1000</f>
        <v>15.5310225</v>
      </c>
      <c r="AD34" s="245" t="n">
        <f aca="false">AD46*'Price_Technical Assumption'!AD30/1000</f>
        <v>15.5310225</v>
      </c>
      <c r="AE34" s="245" t="n">
        <f aca="false">AE46*'Price_Technical Assumption'!AE30/1000</f>
        <v>15.5310225</v>
      </c>
      <c r="AF34" s="245" t="n">
        <f aca="false">AF46*'Price_Technical Assumption'!AF30/1000</f>
        <v>15.5310225</v>
      </c>
      <c r="AG34" s="245" t="n">
        <f aca="false">AG46*'Price_Technical Assumption'!AG30/1000</f>
        <v>15.5310225</v>
      </c>
      <c r="AH34" s="245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264</v>
      </c>
      <c r="C35" s="12"/>
      <c r="D35" s="263" t="n">
        <f aca="false">Assumptions!$H$61*(1+Assumptions!$N$11)^(D7)</f>
        <v>2.27437992231862</v>
      </c>
      <c r="E35" s="263" t="n">
        <f aca="false">Assumptions!$H$61*(1+Assumptions!$N$11)^(E7)</f>
        <v>2.34261131998818</v>
      </c>
      <c r="F35" s="263" t="n">
        <f aca="false">Assumptions!$H$61*(1+Assumptions!$N$11)^(F7)</f>
        <v>2.41288965958783</v>
      </c>
      <c r="G35" s="263" t="n">
        <f aca="false">Assumptions!$H$61*(1+Assumptions!$N$11)^(G7)</f>
        <v>2.48527634937546</v>
      </c>
      <c r="H35" s="263" t="n">
        <f aca="false">Assumptions!$H$61*(1+Assumptions!$N$11)^(H7)</f>
        <v>2.55983463985673</v>
      </c>
      <c r="I35" s="263" t="n">
        <f aca="false">Assumptions!$H$61*(1+Assumptions!$N$11)^(I7)</f>
        <v>2.63662967905243</v>
      </c>
      <c r="J35" s="263" t="n">
        <f aca="false">Assumptions!$H$61*(1+Assumptions!$N$11)^(J7)</f>
        <v>2.715728569424</v>
      </c>
      <c r="K35" s="263" t="n">
        <f aca="false">Assumptions!$H$61*(1+Assumptions!$N$11)^(K7)</f>
        <v>2.79720042650672</v>
      </c>
      <c r="L35" s="263" t="n">
        <f aca="false">Assumptions!$H$61*(1+Assumptions!$N$11)^(L7)</f>
        <v>2.88111643930192</v>
      </c>
      <c r="M35" s="263" t="n">
        <f aca="false">Assumptions!$H$61*(1+Assumptions!$N$11)^(M7)</f>
        <v>2.96754993248098</v>
      </c>
      <c r="N35" s="263" t="n">
        <f aca="false">Assumptions!$H$61*(1+Assumptions!$N$11)^(N7)</f>
        <v>3.05657643045541</v>
      </c>
      <c r="O35" s="263" t="n">
        <f aca="false">Assumptions!$H$61*(1+Assumptions!$N$11)^(O7)</f>
        <v>3.14827372336907</v>
      </c>
      <c r="P35" s="263" t="n">
        <f aca="false">Assumptions!$H$61*(1+Assumptions!$N$11)^(P7)</f>
        <v>3.24272193507014</v>
      </c>
      <c r="Q35" s="263" t="n">
        <f aca="false">Assumptions!$H$61*(1+Assumptions!$N$11)^(Q7)</f>
        <v>3.34000359312225</v>
      </c>
      <c r="R35" s="263" t="n">
        <f aca="false">Assumptions!$H$61*(1+Assumptions!$N$11)^(R7)</f>
        <v>3.44020370091592</v>
      </c>
      <c r="S35" s="263" t="n">
        <f aca="false">Assumptions!$H$61*(1+Assumptions!$N$11)^(S7)</f>
        <v>3.54340981194339</v>
      </c>
      <c r="T35" s="263" t="n">
        <f aca="false">Assumptions!$H$61*(1+Assumptions!$N$11)^(T7)</f>
        <v>3.64971210630169</v>
      </c>
      <c r="U35" s="263" t="n">
        <f aca="false">Assumptions!$H$61*(1+Assumptions!$N$11)^(U7)</f>
        <v>3.75920346949075</v>
      </c>
      <c r="V35" s="263" t="n">
        <f aca="false">Assumptions!$H$61*(1+Assumptions!$N$11)^(V7)</f>
        <v>3.87197957357547</v>
      </c>
      <c r="W35" s="263" t="n">
        <f aca="false">Assumptions!$H$61*(1+Assumptions!$N$11)^(W7)</f>
        <v>3.98813896078273</v>
      </c>
      <c r="X35" s="263" t="n">
        <f aca="false">Assumptions!$H$61*(1+Assumptions!$N$11)^(X7)</f>
        <v>4.10778312960621</v>
      </c>
      <c r="Y35" s="263" t="n">
        <f aca="false">Assumptions!$H$61*(1+Assumptions!$N$11)^(Y7)</f>
        <v>4.2310166234944</v>
      </c>
      <c r="Z35" s="263" t="n">
        <f aca="false">Assumptions!$H$61*(1+Assumptions!$N$11)^(Z7)</f>
        <v>4.35794712219923</v>
      </c>
      <c r="AA35" s="263" t="n">
        <f aca="false">Assumptions!$H$61*(1+Assumptions!$N$11)^(AA7)</f>
        <v>4.48868553586521</v>
      </c>
      <c r="AB35" s="263" t="n">
        <f aca="false">Assumptions!$H$61*(1+Assumptions!$N$11)^(AB7)</f>
        <v>4.62334610194117</v>
      </c>
      <c r="AC35" s="263" t="n">
        <f aca="false">Assumptions!$H$61*(1+Assumptions!$N$11)^(AC7)</f>
        <v>4.7620464849994</v>
      </c>
      <c r="AD35" s="263" t="n">
        <f aca="false">Assumptions!$H$61*(1+Assumptions!$N$11)^(AD7)</f>
        <v>4.90490787954938</v>
      </c>
      <c r="AE35" s="263" t="n">
        <f aca="false">Assumptions!$H$61*(1+Assumptions!$N$11)^(AE7)</f>
        <v>5.05205511593587</v>
      </c>
      <c r="AF35" s="263" t="n">
        <f aca="false">Assumptions!$H$61*(1+Assumptions!$N$11)^(AF7)</f>
        <v>5.20361676941394</v>
      </c>
      <c r="AG35" s="263" t="n">
        <f aca="false">Assumptions!$H$61*(1+Assumptions!$N$11)^(AG7)</f>
        <v>5.35972527249636</v>
      </c>
      <c r="AH35" s="263" t="n">
        <f aca="false">Assumptions!$H$61*(1+Assumptions!$N$11)^(AH7)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265</v>
      </c>
      <c r="C36" s="1"/>
      <c r="D36" s="242" t="n">
        <f aca="false">SUM(D34:D35)</f>
        <v>17.8054024223186</v>
      </c>
      <c r="E36" s="242" t="n">
        <f aca="false">SUM(E34:E35)</f>
        <v>17.8736338199882</v>
      </c>
      <c r="F36" s="242" t="n">
        <f aca="false">SUM(F34:F35)</f>
        <v>17.9439121595878</v>
      </c>
      <c r="G36" s="242" t="n">
        <f aca="false">SUM(G34:G35)</f>
        <v>18.0162988493755</v>
      </c>
      <c r="H36" s="242" t="n">
        <f aca="false">SUM(H34:H35)</f>
        <v>18.0908571398567</v>
      </c>
      <c r="I36" s="242" t="n">
        <f aca="false">SUM(I34:I35)</f>
        <v>18.1676521790524</v>
      </c>
      <c r="J36" s="242" t="n">
        <f aca="false">SUM(J34:J35)</f>
        <v>18.246751069424</v>
      </c>
      <c r="K36" s="242" t="n">
        <f aca="false">SUM(K34:K35)</f>
        <v>18.3282229265067</v>
      </c>
      <c r="L36" s="242" t="n">
        <f aca="false">SUM(L34:L35)</f>
        <v>18.4121389393019</v>
      </c>
      <c r="M36" s="242" t="n">
        <f aca="false">SUM(M34:M35)</f>
        <v>18.498572432481</v>
      </c>
      <c r="N36" s="242" t="n">
        <f aca="false">SUM(N34:N35)</f>
        <v>18.5875989304554</v>
      </c>
      <c r="O36" s="242" t="n">
        <f aca="false">SUM(O34:O35)</f>
        <v>18.6792962233691</v>
      </c>
      <c r="P36" s="242" t="n">
        <f aca="false">SUM(P34:P35)</f>
        <v>18.7737444350701</v>
      </c>
      <c r="Q36" s="242" t="n">
        <f aca="false">SUM(Q34:Q35)</f>
        <v>18.8710260931222</v>
      </c>
      <c r="R36" s="242" t="n">
        <f aca="false">SUM(R34:R35)</f>
        <v>18.9712262009159</v>
      </c>
      <c r="S36" s="242" t="n">
        <f aca="false">SUM(S34:S35)</f>
        <v>19.0744323119434</v>
      </c>
      <c r="T36" s="242" t="n">
        <f aca="false">SUM(T34:T35)</f>
        <v>19.1807346063017</v>
      </c>
      <c r="U36" s="242" t="n">
        <f aca="false">SUM(U34:U35)</f>
        <v>19.2902259694907</v>
      </c>
      <c r="V36" s="242" t="n">
        <f aca="false">SUM(V34:V35)</f>
        <v>19.4030020735755</v>
      </c>
      <c r="W36" s="242" t="n">
        <f aca="false">SUM(W34:W35)</f>
        <v>19.5191614607827</v>
      </c>
      <c r="X36" s="242" t="n">
        <f aca="false">SUM(X34:X35)</f>
        <v>19.6388056296062</v>
      </c>
      <c r="Y36" s="242" t="n">
        <f aca="false">SUM(Y34:Y35)</f>
        <v>19.7620391234944</v>
      </c>
      <c r="Z36" s="242" t="n">
        <f aca="false">SUM(Z34:Z35)</f>
        <v>19.8889696221992</v>
      </c>
      <c r="AA36" s="242" t="n">
        <f aca="false">SUM(AA34:AA35)</f>
        <v>20.0197080358652</v>
      </c>
      <c r="AB36" s="242" t="n">
        <f aca="false">SUM(AB34:AB35)</f>
        <v>20.1543686019412</v>
      </c>
      <c r="AC36" s="242" t="n">
        <f aca="false">SUM(AC34:AC35)</f>
        <v>20.2930689849994</v>
      </c>
      <c r="AD36" s="242" t="n">
        <f aca="false">SUM(AD34:AD35)</f>
        <v>20.4359303795494</v>
      </c>
      <c r="AE36" s="242" t="n">
        <f aca="false">SUM(AE34:AE35)</f>
        <v>20.5830776159359</v>
      </c>
      <c r="AF36" s="242" t="n">
        <f aca="false">SUM(AF34:AF35)</f>
        <v>20.7346392694139</v>
      </c>
      <c r="AG36" s="242" t="n">
        <f aca="false">SUM(AG34:AG35)</f>
        <v>20.8907477724964</v>
      </c>
      <c r="AH36" s="242" t="n">
        <f aca="false">SUM(AH34:AH35)</f>
        <v>21.0515395306713</v>
      </c>
      <c r="AI36" s="245"/>
      <c r="AJ36" s="24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7" t="str">
        <f aca="false">Assumptions!W14</f>
        <v>Pass-through</v>
      </c>
      <c r="B38" s="186" t="s">
        <v>266</v>
      </c>
      <c r="C38" s="1"/>
      <c r="D38" s="260" t="n">
        <f aca="false">IF($A$38="Pass-through",D36,D34)</f>
        <v>17.8054024223186</v>
      </c>
      <c r="E38" s="261" t="n">
        <f aca="false">IF($A$38="Pass-through",E36,E34)</f>
        <v>17.8736338199882</v>
      </c>
      <c r="F38" s="261" t="n">
        <f aca="false">IF($A$38="Pass-through",F36,F34)</f>
        <v>17.9439121595878</v>
      </c>
      <c r="G38" s="261" t="n">
        <f aca="false">IF($A$38="Pass-through",G36,G34)</f>
        <v>18.0162988493755</v>
      </c>
      <c r="H38" s="261" t="n">
        <f aca="false">IF($A$38="Pass-through",H36,H34)</f>
        <v>18.0908571398567</v>
      </c>
      <c r="I38" s="261" t="n">
        <f aca="false">IF($A$38="Pass-through",I36,I34)</f>
        <v>18.1676521790524</v>
      </c>
      <c r="J38" s="261" t="n">
        <f aca="false">IF($A$38="Pass-through",J36,J34)</f>
        <v>18.246751069424</v>
      </c>
      <c r="K38" s="261" t="n">
        <f aca="false">IF($A$38="Pass-through",K36,K34)</f>
        <v>18.3282229265067</v>
      </c>
      <c r="L38" s="261" t="n">
        <f aca="false">IF($A$38="Pass-through",L36,L34)</f>
        <v>18.4121389393019</v>
      </c>
      <c r="M38" s="261" t="n">
        <f aca="false">IF($A$38="Pass-through",M36,M34)</f>
        <v>18.498572432481</v>
      </c>
      <c r="N38" s="261" t="n">
        <f aca="false">IF($A$38="Pass-through",N36,N34)</f>
        <v>18.5875989304554</v>
      </c>
      <c r="O38" s="261" t="n">
        <f aca="false">IF($A$38="Pass-through",O36,O34)</f>
        <v>18.6792962233691</v>
      </c>
      <c r="P38" s="261" t="n">
        <f aca="false">IF($A$38="Pass-through",P36,P34)</f>
        <v>18.7737444350701</v>
      </c>
      <c r="Q38" s="261" t="n">
        <f aca="false">IF($A$38="Pass-through",Q36,Q34)</f>
        <v>18.8710260931222</v>
      </c>
      <c r="R38" s="262" t="n">
        <f aca="false">IF($A$38="Pass-through",R36,R34)</f>
        <v>18.9712262009159</v>
      </c>
      <c r="S38" s="260" t="n">
        <f aca="false">IF($A$38="Pass-through",S36,S34)</f>
        <v>19.0744323119434</v>
      </c>
      <c r="T38" s="261" t="n">
        <f aca="false">IF($A$38="Pass-through",T36,T34)</f>
        <v>19.1807346063017</v>
      </c>
      <c r="U38" s="261" t="n">
        <f aca="false">IF($A$38="Pass-through",U36,U34)</f>
        <v>19.2902259694907</v>
      </c>
      <c r="V38" s="261" t="n">
        <f aca="false">IF($A$38="Pass-through",V36,V34)</f>
        <v>19.4030020735755</v>
      </c>
      <c r="W38" s="261" t="n">
        <f aca="false">IF($A$38="Pass-through",W36,W34)</f>
        <v>19.5191614607827</v>
      </c>
      <c r="X38" s="261" t="n">
        <f aca="false">IF($A$38="Pass-through",X36,X34)</f>
        <v>19.6388056296062</v>
      </c>
      <c r="Y38" s="261" t="n">
        <f aca="false">IF($A$38="Pass-through",Y36,Y34)</f>
        <v>19.7620391234944</v>
      </c>
      <c r="Z38" s="261" t="n">
        <f aca="false">IF($A$38="Pass-through",Z36,Z34)</f>
        <v>19.8889696221992</v>
      </c>
      <c r="AA38" s="261" t="n">
        <f aca="false">IF($A$38="Pass-through",AA36,AA34)</f>
        <v>20.0197080358652</v>
      </c>
      <c r="AB38" s="261" t="n">
        <f aca="false">IF($A$38="Pass-through",AB36,AB34)</f>
        <v>20.1543686019412</v>
      </c>
      <c r="AC38" s="261" t="n">
        <f aca="false">IF($A$38="Pass-through",AC36,AC34)</f>
        <v>20.2930689849994</v>
      </c>
      <c r="AD38" s="261" t="n">
        <f aca="false">IF($A$38="Pass-through",AD36,AD34)</f>
        <v>20.4359303795494</v>
      </c>
      <c r="AE38" s="261" t="n">
        <f aca="false">IF($A$38="Pass-through",AE36,AE34)</f>
        <v>20.5830776159359</v>
      </c>
      <c r="AF38" s="261" t="n">
        <f aca="false">IF($A$38="Pass-through",AF36,AF34)</f>
        <v>20.7346392694139</v>
      </c>
      <c r="AG38" s="261" t="n">
        <f aca="false">IF($A$38="Pass-through",AG36,AG34)</f>
        <v>20.8907477724964</v>
      </c>
      <c r="AH38" s="262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3" t="s">
        <v>267</v>
      </c>
      <c r="C41" s="1"/>
      <c r="D41" s="264" t="n">
        <f aca="false">Assumptions!H54</f>
        <v>45.67</v>
      </c>
      <c r="E41" s="264" t="n">
        <f aca="false">D41</f>
        <v>45.67</v>
      </c>
      <c r="F41" s="264" t="n">
        <f aca="false">E41</f>
        <v>45.67</v>
      </c>
      <c r="G41" s="264" t="n">
        <f aca="false">F41</f>
        <v>45.67</v>
      </c>
      <c r="H41" s="264" t="n">
        <f aca="false">G41</f>
        <v>45.67</v>
      </c>
      <c r="I41" s="264" t="n">
        <f aca="false">H41</f>
        <v>45.67</v>
      </c>
      <c r="J41" s="264" t="n">
        <f aca="false">I41</f>
        <v>45.67</v>
      </c>
      <c r="K41" s="264" t="n">
        <f aca="false">J41</f>
        <v>45.67</v>
      </c>
      <c r="L41" s="264" t="n">
        <f aca="false">K41</f>
        <v>45.67</v>
      </c>
      <c r="M41" s="264" t="n">
        <f aca="false">L41</f>
        <v>45.67</v>
      </c>
      <c r="N41" s="264" t="n">
        <f aca="false">M41</f>
        <v>45.67</v>
      </c>
      <c r="O41" s="264" t="n">
        <f aca="false">N41</f>
        <v>45.67</v>
      </c>
      <c r="P41" s="264" t="n">
        <f aca="false">O41</f>
        <v>45.67</v>
      </c>
      <c r="Q41" s="264" t="n">
        <f aca="false">P41</f>
        <v>45.67</v>
      </c>
      <c r="R41" s="264" t="n">
        <f aca="false">Q41</f>
        <v>45.67</v>
      </c>
      <c r="S41" s="264" t="n">
        <f aca="false">R41</f>
        <v>45.67</v>
      </c>
      <c r="T41" s="264" t="n">
        <f aca="false">S41</f>
        <v>45.67</v>
      </c>
      <c r="U41" s="264" t="n">
        <f aca="false">T41</f>
        <v>45.67</v>
      </c>
      <c r="V41" s="264" t="n">
        <f aca="false">U41</f>
        <v>45.67</v>
      </c>
      <c r="W41" s="264" t="n">
        <f aca="false">V41</f>
        <v>45.67</v>
      </c>
      <c r="X41" s="264" t="n">
        <f aca="false">W41</f>
        <v>45.67</v>
      </c>
      <c r="Y41" s="264" t="n">
        <f aca="false">X41</f>
        <v>45.67</v>
      </c>
      <c r="Z41" s="264" t="n">
        <f aca="false">Y41</f>
        <v>45.67</v>
      </c>
      <c r="AA41" s="264" t="n">
        <f aca="false">Z41</f>
        <v>45.67</v>
      </c>
      <c r="AB41" s="264" t="n">
        <f aca="false">AA41</f>
        <v>45.67</v>
      </c>
      <c r="AC41" s="264" t="n">
        <f aca="false">AB41</f>
        <v>45.67</v>
      </c>
      <c r="AD41" s="264" t="n">
        <f aca="false">AC41</f>
        <v>45.67</v>
      </c>
      <c r="AE41" s="264" t="n">
        <f aca="false">AD41</f>
        <v>45.67</v>
      </c>
      <c r="AF41" s="264" t="n">
        <f aca="false">AE41</f>
        <v>45.67</v>
      </c>
      <c r="AG41" s="264" t="n">
        <f aca="false">AF41</f>
        <v>45.67</v>
      </c>
      <c r="AH41" s="264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40" t="s">
        <v>268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269</v>
      </c>
      <c r="C44" s="1"/>
      <c r="D44" s="265" t="n">
        <f aca="false">Assumptions!$H$14</f>
        <v>10100</v>
      </c>
      <c r="E44" s="265" t="n">
        <f aca="false">Assumptions!$H$14</f>
        <v>10100</v>
      </c>
      <c r="F44" s="265" t="n">
        <f aca="false">Assumptions!$H$14</f>
        <v>10100</v>
      </c>
      <c r="G44" s="265" t="n">
        <f aca="false">Assumptions!$H$14</f>
        <v>10100</v>
      </c>
      <c r="H44" s="265" t="n">
        <f aca="false">Assumptions!$H$14</f>
        <v>10100</v>
      </c>
      <c r="I44" s="265" t="n">
        <f aca="false">Assumptions!$H$14</f>
        <v>10100</v>
      </c>
      <c r="J44" s="265" t="n">
        <f aca="false">Assumptions!$H$14</f>
        <v>10100</v>
      </c>
      <c r="K44" s="265" t="n">
        <f aca="false">Assumptions!$H$14</f>
        <v>10100</v>
      </c>
      <c r="L44" s="265" t="n">
        <f aca="false">Assumptions!$H$14</f>
        <v>10100</v>
      </c>
      <c r="M44" s="265" t="n">
        <f aca="false">Assumptions!$H$14</f>
        <v>10100</v>
      </c>
      <c r="N44" s="265" t="n">
        <f aca="false">Assumptions!$H$14</f>
        <v>10100</v>
      </c>
      <c r="O44" s="265" t="n">
        <f aca="false">Assumptions!$H$14</f>
        <v>10100</v>
      </c>
      <c r="P44" s="265" t="n">
        <f aca="false">Assumptions!$H$14</f>
        <v>10100</v>
      </c>
      <c r="Q44" s="265" t="n">
        <f aca="false">Assumptions!$H$14</f>
        <v>10100</v>
      </c>
      <c r="R44" s="265" t="n">
        <f aca="false">Assumptions!$H$14</f>
        <v>10100</v>
      </c>
      <c r="S44" s="265" t="n">
        <f aca="false">Assumptions!$H$14</f>
        <v>10100</v>
      </c>
      <c r="T44" s="265" t="n">
        <f aca="false">Assumptions!$H$14</f>
        <v>10100</v>
      </c>
      <c r="U44" s="265" t="n">
        <f aca="false">Assumptions!$H$14</f>
        <v>10100</v>
      </c>
      <c r="V44" s="265" t="n">
        <f aca="false">Assumptions!$H$14</f>
        <v>10100</v>
      </c>
      <c r="W44" s="265" t="n">
        <f aca="false">Assumptions!$H$14</f>
        <v>10100</v>
      </c>
      <c r="X44" s="265" t="n">
        <f aca="false">Assumptions!$H$14</f>
        <v>10100</v>
      </c>
      <c r="Y44" s="265" t="n">
        <f aca="false">Assumptions!$H$14</f>
        <v>10100</v>
      </c>
      <c r="Z44" s="265" t="n">
        <f aca="false">Assumptions!$H$14</f>
        <v>10100</v>
      </c>
      <c r="AA44" s="265" t="n">
        <f aca="false">Assumptions!$H$14</f>
        <v>10100</v>
      </c>
      <c r="AB44" s="265" t="n">
        <f aca="false">Assumptions!$H$14</f>
        <v>10100</v>
      </c>
      <c r="AC44" s="265" t="n">
        <f aca="false">Assumptions!$H$14</f>
        <v>10100</v>
      </c>
      <c r="AD44" s="265" t="n">
        <f aca="false">Assumptions!$H$14</f>
        <v>10100</v>
      </c>
      <c r="AE44" s="265" t="n">
        <f aca="false">Assumptions!$H$14</f>
        <v>10100</v>
      </c>
      <c r="AF44" s="265" t="n">
        <f aca="false">Assumptions!$H$14</f>
        <v>10100</v>
      </c>
      <c r="AG44" s="265" t="n">
        <f aca="false">Assumptions!$H$14</f>
        <v>10100</v>
      </c>
      <c r="AH44" s="265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270</v>
      </c>
      <c r="C45" s="1"/>
      <c r="D45" s="266" t="n">
        <v>0.01</v>
      </c>
      <c r="E45" s="266" t="n">
        <v>0.01</v>
      </c>
      <c r="F45" s="266" t="n">
        <v>0.01</v>
      </c>
      <c r="G45" s="266" t="n">
        <v>0.01</v>
      </c>
      <c r="H45" s="266" t="n">
        <v>0.01</v>
      </c>
      <c r="I45" s="266" t="n">
        <v>0.01</v>
      </c>
      <c r="J45" s="266" t="n">
        <v>0.01</v>
      </c>
      <c r="K45" s="266" t="n">
        <v>0.01</v>
      </c>
      <c r="L45" s="266" t="n">
        <v>0.01</v>
      </c>
      <c r="M45" s="266" t="n">
        <v>0.01</v>
      </c>
      <c r="N45" s="266" t="n">
        <v>0.01</v>
      </c>
      <c r="O45" s="266" t="n">
        <v>0.01</v>
      </c>
      <c r="P45" s="266" t="n">
        <v>0.01</v>
      </c>
      <c r="Q45" s="266" t="n">
        <v>0.01</v>
      </c>
      <c r="R45" s="266" t="n">
        <v>0.01</v>
      </c>
      <c r="S45" s="266" t="n">
        <v>0.01</v>
      </c>
      <c r="T45" s="266" t="n">
        <v>0.01</v>
      </c>
      <c r="U45" s="266" t="n">
        <v>0.01</v>
      </c>
      <c r="V45" s="266" t="n">
        <v>0.01</v>
      </c>
      <c r="W45" s="266" t="n">
        <v>0.01</v>
      </c>
      <c r="X45" s="266" t="n">
        <v>0.01</v>
      </c>
      <c r="Y45" s="266" t="n">
        <v>0.01</v>
      </c>
      <c r="Z45" s="266" t="n">
        <v>0.01</v>
      </c>
      <c r="AA45" s="266" t="n">
        <v>0.01</v>
      </c>
      <c r="AB45" s="266" t="n">
        <v>0.01</v>
      </c>
      <c r="AC45" s="266" t="n">
        <v>0.01</v>
      </c>
      <c r="AD45" s="266" t="n">
        <v>0.01</v>
      </c>
      <c r="AE45" s="266" t="n">
        <v>0.01</v>
      </c>
      <c r="AF45" s="266" t="n">
        <v>0.01</v>
      </c>
      <c r="AG45" s="266" t="n">
        <v>0.01</v>
      </c>
      <c r="AH45" s="266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271</v>
      </c>
      <c r="C46" s="1"/>
      <c r="D46" s="267" t="n">
        <f aca="false">D44*(1+D45)</f>
        <v>10201</v>
      </c>
      <c r="E46" s="268" t="n">
        <f aca="false">E44*(1+E45)</f>
        <v>10201</v>
      </c>
      <c r="F46" s="268" t="n">
        <f aca="false">F44*(1+F45)</f>
        <v>10201</v>
      </c>
      <c r="G46" s="268" t="n">
        <f aca="false">G44*(1+G45)</f>
        <v>10201</v>
      </c>
      <c r="H46" s="268" t="n">
        <f aca="false">H44*(1+H45)</f>
        <v>10201</v>
      </c>
      <c r="I46" s="268" t="n">
        <f aca="false">I44*(1+I45)</f>
        <v>10201</v>
      </c>
      <c r="J46" s="268" t="n">
        <f aca="false">J44*(1+J45)</f>
        <v>10201</v>
      </c>
      <c r="K46" s="268" t="n">
        <f aca="false">K44*(1+K45)</f>
        <v>10201</v>
      </c>
      <c r="L46" s="268" t="n">
        <f aca="false">L44*(1+L45)</f>
        <v>10201</v>
      </c>
      <c r="M46" s="268" t="n">
        <f aca="false">M44*(1+M45)</f>
        <v>10201</v>
      </c>
      <c r="N46" s="268" t="n">
        <f aca="false">N44*(1+N45)</f>
        <v>10201</v>
      </c>
      <c r="O46" s="268" t="n">
        <f aca="false">O44*(1+O45)</f>
        <v>10201</v>
      </c>
      <c r="P46" s="268" t="n">
        <f aca="false">P44*(1+P45)</f>
        <v>10201</v>
      </c>
      <c r="Q46" s="268" t="n">
        <f aca="false">Q44*(1+Q45)</f>
        <v>10201</v>
      </c>
      <c r="R46" s="269" t="n">
        <f aca="false">R44*(1+R45)</f>
        <v>10201</v>
      </c>
      <c r="S46" s="267" t="n">
        <f aca="false">S44*(1+S45)</f>
        <v>10201</v>
      </c>
      <c r="T46" s="268" t="n">
        <f aca="false">T44*(1+T45)</f>
        <v>10201</v>
      </c>
      <c r="U46" s="268" t="n">
        <f aca="false">U44*(1+U45)</f>
        <v>10201</v>
      </c>
      <c r="V46" s="268" t="n">
        <f aca="false">V44*(1+V45)</f>
        <v>10201</v>
      </c>
      <c r="W46" s="268" t="n">
        <f aca="false">W44*(1+W45)</f>
        <v>10201</v>
      </c>
      <c r="X46" s="268" t="n">
        <f aca="false">X44*(1+X45)</f>
        <v>10201</v>
      </c>
      <c r="Y46" s="268" t="n">
        <f aca="false">Y44*(1+Y45)</f>
        <v>10201</v>
      </c>
      <c r="Z46" s="268" t="n">
        <f aca="false">Z44*(1+Z45)</f>
        <v>10201</v>
      </c>
      <c r="AA46" s="268" t="n">
        <f aca="false">AA44*(1+AA45)</f>
        <v>10201</v>
      </c>
      <c r="AB46" s="268" t="n">
        <f aca="false">AB44*(1+AB45)</f>
        <v>10201</v>
      </c>
      <c r="AC46" s="268" t="n">
        <f aca="false">AC44*(1+AC45)</f>
        <v>10201</v>
      </c>
      <c r="AD46" s="268" t="n">
        <f aca="false">AD44*(1+AD45)</f>
        <v>10201</v>
      </c>
      <c r="AE46" s="268" t="n">
        <f aca="false">AE44*(1+AE45)</f>
        <v>10201</v>
      </c>
      <c r="AF46" s="268" t="n">
        <f aca="false">AF44*(1+AF45)</f>
        <v>10201</v>
      </c>
      <c r="AG46" s="268" t="n">
        <f aca="false">AG44*(1+AG45)</f>
        <v>10201</v>
      </c>
      <c r="AH46" s="269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70" t="s">
        <v>19</v>
      </c>
    </row>
    <row r="4" customFormat="false" ht="12.75" hidden="false" customHeight="false" outlineLevel="0" collapsed="false">
      <c r="A4" s="270" t="s">
        <v>272</v>
      </c>
      <c r="C4" s="271" t="n">
        <f aca="false">'Price_Technical Assumption'!D8</f>
        <v>2001</v>
      </c>
      <c r="D4" s="272" t="n">
        <f aca="false">'Price_Technical Assumption'!E8</f>
        <v>2002</v>
      </c>
      <c r="E4" s="272" t="n">
        <f aca="false">'Price_Technical Assumption'!F8</f>
        <v>2003</v>
      </c>
      <c r="F4" s="272" t="n">
        <f aca="false">'Price_Technical Assumption'!G8</f>
        <v>2004</v>
      </c>
      <c r="G4" s="272" t="n">
        <f aca="false">'Price_Technical Assumption'!H8</f>
        <v>2005</v>
      </c>
      <c r="H4" s="272" t="n">
        <f aca="false">'Price_Technical Assumption'!I8</f>
        <v>2006</v>
      </c>
      <c r="I4" s="272" t="n">
        <f aca="false">'Price_Technical Assumption'!J8</f>
        <v>2007</v>
      </c>
      <c r="J4" s="272" t="n">
        <f aca="false">'Price_Technical Assumption'!K8</f>
        <v>2008</v>
      </c>
      <c r="K4" s="272" t="n">
        <f aca="false">'Price_Technical Assumption'!L8</f>
        <v>2009</v>
      </c>
      <c r="L4" s="272" t="n">
        <f aca="false">'Price_Technical Assumption'!M8</f>
        <v>2010</v>
      </c>
      <c r="M4" s="272" t="n">
        <f aca="false">'Price_Technical Assumption'!N8</f>
        <v>2011</v>
      </c>
      <c r="N4" s="272" t="n">
        <f aca="false">'Price_Technical Assumption'!O8</f>
        <v>2012</v>
      </c>
      <c r="O4" s="272" t="n">
        <f aca="false">'Price_Technical Assumption'!P8</f>
        <v>2013</v>
      </c>
      <c r="P4" s="272" t="n">
        <f aca="false">'Price_Technical Assumption'!Q8</f>
        <v>2014</v>
      </c>
      <c r="Q4" s="272" t="n">
        <f aca="false">'Price_Technical Assumption'!R8</f>
        <v>2015</v>
      </c>
      <c r="R4" s="272" t="n">
        <f aca="false">'Price_Technical Assumption'!S8</f>
        <v>2016</v>
      </c>
      <c r="S4" s="272" t="n">
        <f aca="false">'Price_Technical Assumption'!T8</f>
        <v>2017</v>
      </c>
      <c r="T4" s="272" t="n">
        <f aca="false">'Price_Technical Assumption'!U8</f>
        <v>2018</v>
      </c>
      <c r="U4" s="272" t="n">
        <f aca="false">'Price_Technical Assumption'!V8</f>
        <v>2019</v>
      </c>
      <c r="V4" s="272" t="n">
        <f aca="false">'Price_Technical Assumption'!W8</f>
        <v>2020</v>
      </c>
      <c r="W4" s="272" t="n">
        <f aca="false">'Price_Technical Assumption'!X8</f>
        <v>2021</v>
      </c>
      <c r="X4" s="272" t="n">
        <f aca="false">'Price_Technical Assumption'!Y8</f>
        <v>2022</v>
      </c>
      <c r="Y4" s="272" t="n">
        <f aca="false">'Price_Technical Assumption'!Z8</f>
        <v>2023</v>
      </c>
      <c r="Z4" s="272" t="n">
        <f aca="false">'Price_Technical Assumption'!AA8</f>
        <v>2024</v>
      </c>
      <c r="AA4" s="272" t="n">
        <f aca="false">'Price_Technical Assumption'!AB8</f>
        <v>2025</v>
      </c>
      <c r="AB4" s="272" t="n">
        <f aca="false">'Price_Technical Assumption'!AC8</f>
        <v>2026</v>
      </c>
      <c r="AC4" s="272" t="n">
        <f aca="false">'Price_Technical Assumption'!AD8</f>
        <v>2027</v>
      </c>
      <c r="AD4" s="272" t="n">
        <f aca="false">'Price_Technical Assumption'!AE8</f>
        <v>2028</v>
      </c>
      <c r="AE4" s="272" t="n">
        <f aca="false">'Price_Technical Assumption'!AF8</f>
        <v>2029</v>
      </c>
      <c r="AF4" s="273" t="n">
        <f aca="false">'Price_Technical Assumption'!AG8</f>
        <v>2030</v>
      </c>
    </row>
    <row r="5" customFormat="false" ht="12.75" hidden="false" customHeight="false" outlineLevel="0" collapsed="false">
      <c r="A5" s="253" t="s">
        <v>273</v>
      </c>
    </row>
    <row r="6" customFormat="false" ht="12.75" hidden="true" customHeight="false" outlineLevel="0" collapsed="false">
      <c r="A6" s="1" t="s">
        <v>274</v>
      </c>
      <c r="C6" s="274" t="n">
        <v>4.31</v>
      </c>
      <c r="D6" s="274" t="n">
        <v>4.22</v>
      </c>
      <c r="E6" s="274" t="n">
        <v>4.13</v>
      </c>
      <c r="F6" s="274" t="n">
        <v>4.13</v>
      </c>
      <c r="G6" s="274" t="n">
        <v>4.12</v>
      </c>
      <c r="H6" s="274" t="n">
        <v>4.12</v>
      </c>
      <c r="I6" s="274" t="n">
        <v>4.15</v>
      </c>
      <c r="J6" s="274" t="n">
        <v>4.16</v>
      </c>
      <c r="K6" s="274" t="n">
        <v>4.25</v>
      </c>
      <c r="L6" s="274" t="n">
        <v>4.28</v>
      </c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</row>
    <row r="7" customFormat="false" ht="12.75" hidden="false" customHeight="false" outlineLevel="0" collapsed="false">
      <c r="A7" s="1" t="s">
        <v>275</v>
      </c>
      <c r="C7" s="274" t="n">
        <v>3.06</v>
      </c>
      <c r="D7" s="274" t="n">
        <v>2.95</v>
      </c>
      <c r="E7" s="274" t="n">
        <v>2.9</v>
      </c>
      <c r="F7" s="274" t="n">
        <v>2.92</v>
      </c>
      <c r="G7" s="274" t="n">
        <v>2.93</v>
      </c>
      <c r="H7" s="274" t="n">
        <v>2.98</v>
      </c>
      <c r="I7" s="274" t="n">
        <v>3.02</v>
      </c>
      <c r="J7" s="274" t="n">
        <v>3.04</v>
      </c>
      <c r="K7" s="274" t="n">
        <v>3.12</v>
      </c>
      <c r="L7" s="274" t="n">
        <v>3.14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</row>
    <row r="8" customFormat="false" ht="12.75" hidden="false" customHeight="false" outlineLevel="0" collapsed="false">
      <c r="A8" s="1" t="s">
        <v>276</v>
      </c>
      <c r="C8" s="274" t="n">
        <v>3.88</v>
      </c>
      <c r="D8" s="274" t="n">
        <v>3.77</v>
      </c>
      <c r="E8" s="274" t="n">
        <v>3.72</v>
      </c>
      <c r="F8" s="274" t="n">
        <v>3.73</v>
      </c>
      <c r="G8" s="274" t="n">
        <v>3.74</v>
      </c>
      <c r="H8" s="274" t="n">
        <v>3.79</v>
      </c>
      <c r="I8" s="274" t="n">
        <v>3.83</v>
      </c>
      <c r="J8" s="274" t="n">
        <v>3.86</v>
      </c>
      <c r="K8" s="274" t="n">
        <v>3.96</v>
      </c>
      <c r="L8" s="274" t="n">
        <v>3.98</v>
      </c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</row>
    <row r="9" customFormat="false" ht="12.75" hidden="false" customHeight="false" outlineLevel="0" collapsed="false">
      <c r="A9" s="1" t="s">
        <v>277</v>
      </c>
      <c r="B9" s="276"/>
      <c r="C9" s="274" t="n">
        <v>4.83</v>
      </c>
      <c r="D9" s="274" t="n">
        <v>4.72</v>
      </c>
      <c r="E9" s="274" t="n">
        <v>4.64</v>
      </c>
      <c r="F9" s="274" t="n">
        <v>4.65</v>
      </c>
      <c r="G9" s="274" t="n">
        <v>4.66</v>
      </c>
      <c r="H9" s="274" t="n">
        <v>4.71</v>
      </c>
      <c r="I9" s="274" t="n">
        <v>4.75</v>
      </c>
      <c r="J9" s="274" t="n">
        <v>4.78</v>
      </c>
      <c r="K9" s="274" t="n">
        <v>4.89</v>
      </c>
      <c r="L9" s="274" t="n">
        <v>4.92</v>
      </c>
    </row>
    <row r="10" customFormat="false" ht="12.75" hidden="true" customHeight="false" outlineLevel="0" collapsed="false">
      <c r="A10" s="1" t="s">
        <v>278</v>
      </c>
      <c r="B10" s="277" t="n">
        <v>0</v>
      </c>
      <c r="C10" s="278" t="n">
        <f aca="false">15544.94*(1+$B$10)</f>
        <v>15544.94</v>
      </c>
      <c r="D10" s="278" t="n">
        <f aca="false">15996.22*(1+B10)</f>
        <v>15996.22</v>
      </c>
      <c r="E10" s="278" t="n">
        <f aca="false">16200.055*(1+B10)</f>
        <v>16200.055</v>
      </c>
      <c r="F10" s="278" t="n">
        <f aca="false">16546.175*(1+B10)</f>
        <v>16546.175</v>
      </c>
      <c r="G10" s="278" t="n">
        <f aca="false">16734.54*(1+B10)</f>
        <v>16734.54</v>
      </c>
      <c r="H10" s="278" t="n">
        <f aca="false">16892.733*(1+B10)</f>
        <v>16892.733</v>
      </c>
      <c r="I10" s="278" t="n">
        <f aca="false">17049.164*(1+B10)</f>
        <v>17049.164</v>
      </c>
      <c r="J10" s="278" t="n">
        <f aca="false">17195.86*(1+B10)</f>
        <v>17195.86</v>
      </c>
      <c r="K10" s="278" t="n">
        <f aca="false">17267.466*(1+B10)</f>
        <v>17267.466</v>
      </c>
      <c r="L10" s="278" t="n">
        <f aca="false">17393.797*(1+B10)</f>
        <v>17393.797</v>
      </c>
    </row>
    <row r="11" customFormat="false" ht="12.75" hidden="false" customHeight="false" outlineLevel="0" collapsed="false">
      <c r="A11" s="1" t="s">
        <v>279</v>
      </c>
      <c r="B11" s="279"/>
      <c r="C11" s="264" t="n">
        <f aca="false">IF(Assumptions!$H$56=0%,Options!C8,IF(Assumptions!$H$56=10%,Options!C9,IF(Assumptions!$H$56=-10%,Options!C7)))</f>
        <v>3.88</v>
      </c>
      <c r="D11" s="264" t="n">
        <f aca="false">IF(Assumptions!$H$56=0%,Options!D8,IF(Assumptions!$H$56=10%,Options!D9,IF(Assumptions!$H$56=-10%,Options!D7)))</f>
        <v>3.77</v>
      </c>
      <c r="E11" s="264" t="n">
        <f aca="false">IF(Assumptions!$H$56=0%,Options!E8,IF(Assumptions!$H$56=10%,Options!E9,IF(Assumptions!$H$56=-10%,Options!E7)))</f>
        <v>3.72</v>
      </c>
      <c r="F11" s="264" t="n">
        <f aca="false">IF(Assumptions!$H$56=0%,Options!F8,IF(Assumptions!$H$56=10%,Options!F9,IF(Assumptions!$H$56=-10%,Options!F7)))</f>
        <v>3.73</v>
      </c>
      <c r="G11" s="264" t="n">
        <f aca="false">IF(Assumptions!$H$56=0%,Options!G8,IF(Assumptions!$H$56=10%,Options!G9,IF(Assumptions!$H$56=-10%,Options!G7)))</f>
        <v>3.74</v>
      </c>
      <c r="H11" s="264" t="n">
        <f aca="false">IF(Assumptions!$H$56=0%,Options!H8,IF(Assumptions!$H$56=10%,Options!H9,IF(Assumptions!$H$56=-10%,Options!H7)))</f>
        <v>3.79</v>
      </c>
      <c r="I11" s="264" t="n">
        <f aca="false">IF(Assumptions!$H$56=0%,Options!I8,IF(Assumptions!$H$56=10%,Options!I9,IF(Assumptions!$H$56=-10%,Options!I7)))</f>
        <v>3.83</v>
      </c>
      <c r="J11" s="264" t="n">
        <f aca="false">IF(Assumptions!$H$56=0%,Options!J8,IF(Assumptions!$H$56=10%,Options!J9,IF(Assumptions!$H$56=-10%,Options!J7)))</f>
        <v>3.86</v>
      </c>
      <c r="K11" s="264" t="n">
        <f aca="false">IF(Assumptions!$H$56=0%,Options!K8,IF(Assumptions!$H$56=10%,Options!K9,IF(Assumptions!$H$56=-10%,Options!K7)))</f>
        <v>3.96</v>
      </c>
      <c r="L11" s="264" t="n">
        <f aca="false">IF(Assumptions!$H$56=0%,Options!L8,IF(Assumptions!$H$56=10%,Options!L9,IF(Assumptions!$H$56=-10%,Options!L7)))</f>
        <v>3.98</v>
      </c>
    </row>
    <row r="12" customFormat="false" ht="12.75" hidden="false" customHeight="false" outlineLevel="0" collapsed="false">
      <c r="B12" s="279"/>
      <c r="C12" s="280"/>
      <c r="D12" s="280"/>
      <c r="E12" s="280"/>
      <c r="F12" s="280"/>
      <c r="G12" s="280"/>
      <c r="H12" s="280"/>
      <c r="I12" s="280"/>
      <c r="J12" s="280"/>
      <c r="K12" s="280"/>
      <c r="L12" s="280"/>
    </row>
    <row r="13" customFormat="false" ht="12.75" hidden="false" customHeight="false" outlineLevel="0" collapsed="false">
      <c r="A13" s="1" t="s">
        <v>280</v>
      </c>
      <c r="C13" s="280" t="n">
        <v>15206.799</v>
      </c>
      <c r="D13" s="280" t="n">
        <v>15739.444</v>
      </c>
      <c r="E13" s="280" t="n">
        <v>16041.814</v>
      </c>
      <c r="F13" s="280" t="n">
        <v>16456.276</v>
      </c>
      <c r="G13" s="280" t="n">
        <v>16683.26</v>
      </c>
      <c r="H13" s="280" t="n">
        <v>16872.563</v>
      </c>
      <c r="I13" s="280" t="n">
        <v>17029.12</v>
      </c>
      <c r="J13" s="280" t="n">
        <v>17170.03</v>
      </c>
      <c r="K13" s="280" t="n">
        <v>17245.233</v>
      </c>
      <c r="L13" s="280" t="n">
        <v>17360.898</v>
      </c>
    </row>
    <row r="14" customFormat="false" ht="12.75" hidden="false" customHeight="false" outlineLevel="0" collapsed="false">
      <c r="A14" s="253" t="s">
        <v>281</v>
      </c>
    </row>
    <row r="15" customFormat="false" ht="12.75" hidden="false" customHeight="false" outlineLevel="0" collapsed="false">
      <c r="A15" s="1" t="s">
        <v>74</v>
      </c>
      <c r="C15" s="280" t="n">
        <v>14580.003</v>
      </c>
      <c r="D15" s="280" t="n">
        <v>14997.487</v>
      </c>
      <c r="E15" s="280" t="n">
        <v>15203.159</v>
      </c>
      <c r="F15" s="280" t="n">
        <v>15546.749</v>
      </c>
      <c r="G15" s="280" t="n">
        <v>15741.839</v>
      </c>
      <c r="H15" s="280" t="n">
        <v>15910.637</v>
      </c>
      <c r="I15" s="280" t="n">
        <v>16076.874</v>
      </c>
      <c r="J15" s="280" t="n">
        <v>16234.955</v>
      </c>
      <c r="K15" s="280" t="n">
        <v>16321.38</v>
      </c>
      <c r="L15" s="280" t="n">
        <v>16456.793</v>
      </c>
    </row>
    <row r="16" customFormat="false" ht="12.75" hidden="false" customHeight="false" outlineLevel="0" collapsed="false">
      <c r="A16" s="1" t="s">
        <v>76</v>
      </c>
      <c r="C16" s="280" t="n">
        <v>964.937</v>
      </c>
      <c r="D16" s="280" t="n">
        <v>998.733</v>
      </c>
      <c r="E16" s="280" t="n">
        <v>996.896</v>
      </c>
      <c r="F16" s="280" t="n">
        <v>999.426</v>
      </c>
      <c r="G16" s="280" t="n">
        <v>992.701</v>
      </c>
      <c r="H16" s="280" t="n">
        <v>982.097</v>
      </c>
      <c r="I16" s="280" t="n">
        <v>972.29</v>
      </c>
      <c r="J16" s="280" t="n">
        <v>960.905</v>
      </c>
      <c r="K16" s="280" t="n">
        <v>946.085</v>
      </c>
      <c r="L16" s="280" t="n">
        <v>937.004</v>
      </c>
    </row>
    <row r="17" customFormat="false" ht="12.75" hidden="false" customHeight="false" outlineLevel="0" collapsed="false">
      <c r="A17" s="270" t="s">
        <v>282</v>
      </c>
    </row>
    <row r="18" customFormat="false" ht="12.75" hidden="false" customHeight="false" outlineLevel="0" collapsed="false">
      <c r="A18" s="253" t="s">
        <v>273</v>
      </c>
    </row>
    <row r="19" customFormat="false" ht="12.75" hidden="false" customHeight="false" outlineLevel="0" collapsed="false">
      <c r="A19" s="1" t="s">
        <v>283</v>
      </c>
      <c r="C19" s="274" t="n">
        <v>4.08</v>
      </c>
      <c r="D19" s="274" t="n">
        <v>3.98</v>
      </c>
      <c r="E19" s="274" t="n">
        <v>3.95</v>
      </c>
      <c r="F19" s="274" t="n">
        <v>3.99</v>
      </c>
      <c r="G19" s="274" t="n">
        <v>4.02</v>
      </c>
      <c r="H19" s="274" t="n">
        <v>4.06</v>
      </c>
      <c r="I19" s="274" t="n">
        <v>4.12</v>
      </c>
      <c r="J19" s="274" t="n">
        <v>4.16</v>
      </c>
      <c r="K19" s="274" t="n">
        <v>4.28</v>
      </c>
      <c r="L19" s="274" t="n">
        <v>4.3</v>
      </c>
    </row>
    <row r="21" customFormat="false" ht="12.75" hidden="false" customHeight="false" outlineLevel="0" collapsed="false">
      <c r="A21" s="1" t="s">
        <v>284</v>
      </c>
      <c r="C21" s="278" t="n">
        <v>16212.969</v>
      </c>
      <c r="D21" s="278" t="n">
        <v>16706.766</v>
      </c>
      <c r="E21" s="278" t="n">
        <v>17054.9</v>
      </c>
      <c r="F21" s="278" t="n">
        <v>17542.91</v>
      </c>
      <c r="G21" s="278" t="n">
        <v>17820.479</v>
      </c>
      <c r="H21" s="278" t="n">
        <v>17994.331</v>
      </c>
      <c r="I21" s="278" t="n">
        <v>18236.171</v>
      </c>
      <c r="J21" s="278" t="n">
        <v>18473.848</v>
      </c>
      <c r="K21" s="278" t="n">
        <v>18632.525</v>
      </c>
      <c r="L21" s="278" t="n">
        <v>18794.406</v>
      </c>
    </row>
    <row r="23" customFormat="false" ht="12.75" hidden="false" customHeight="false" outlineLevel="0" collapsed="false">
      <c r="A23" s="270" t="s">
        <v>285</v>
      </c>
    </row>
    <row r="24" customFormat="false" ht="12.75" hidden="false" customHeight="false" outlineLevel="0" collapsed="false">
      <c r="A24" s="253" t="s">
        <v>273</v>
      </c>
    </row>
    <row r="25" customFormat="false" ht="12.75" hidden="false" customHeight="false" outlineLevel="0" collapsed="false">
      <c r="A25" s="1" t="s">
        <v>283</v>
      </c>
      <c r="C25" s="274" t="n">
        <v>4.26</v>
      </c>
      <c r="D25" s="274" t="n">
        <v>4.18</v>
      </c>
      <c r="E25" s="274" t="n">
        <v>4.17</v>
      </c>
      <c r="F25" s="274" t="n">
        <v>4.23</v>
      </c>
      <c r="G25" s="274" t="n">
        <v>4.28</v>
      </c>
      <c r="H25" s="274" t="n">
        <v>4.31</v>
      </c>
      <c r="I25" s="274" t="n">
        <v>4.39</v>
      </c>
      <c r="J25" s="274" t="n">
        <v>4.45</v>
      </c>
      <c r="K25" s="274" t="n">
        <v>4.58</v>
      </c>
      <c r="L25" s="274" t="n">
        <v>4.61</v>
      </c>
    </row>
    <row r="27" customFormat="false" ht="12.75" hidden="false" customHeight="false" outlineLevel="0" collapsed="false">
      <c r="A27" s="1" t="s">
        <v>284</v>
      </c>
      <c r="C27" s="278" t="n">
        <v>17052.152</v>
      </c>
      <c r="D27" s="278" t="n">
        <v>17515.978</v>
      </c>
      <c r="E27" s="278" t="n">
        <v>17901.733</v>
      </c>
      <c r="F27" s="278" t="n">
        <v>18445.41</v>
      </c>
      <c r="G27" s="278" t="n">
        <v>18763.184</v>
      </c>
      <c r="H27" s="278" t="n">
        <v>18931.931</v>
      </c>
      <c r="I27" s="278" t="n">
        <v>19238.37</v>
      </c>
      <c r="J27" s="278" t="n">
        <v>19549.836</v>
      </c>
      <c r="K27" s="278" t="n">
        <v>19771.198</v>
      </c>
      <c r="L27" s="278" t="n">
        <v>19970.676</v>
      </c>
    </row>
    <row r="30" customFormat="false" ht="12.75" hidden="false" customHeight="false" outlineLevel="0" collapsed="false">
      <c r="A30" s="270" t="s">
        <v>286</v>
      </c>
    </row>
    <row r="32" customFormat="false" ht="12.75" hidden="false" customHeight="false" outlineLevel="0" collapsed="false">
      <c r="A32" s="1" t="s">
        <v>287</v>
      </c>
      <c r="B32" s="276" t="s">
        <v>288</v>
      </c>
      <c r="C32" s="180" t="n">
        <v>444454.18</v>
      </c>
      <c r="D32" s="180" t="n">
        <v>780058.98</v>
      </c>
      <c r="E32" s="180" t="n">
        <v>853098.52</v>
      </c>
      <c r="F32" s="180" t="n">
        <v>895576.95</v>
      </c>
      <c r="G32" s="180" t="n">
        <v>890978.86</v>
      </c>
      <c r="H32" s="180" t="n">
        <v>884420.04</v>
      </c>
      <c r="I32" s="180" t="n">
        <v>829190.78</v>
      </c>
      <c r="J32" s="180" t="n">
        <v>839458.88</v>
      </c>
      <c r="K32" s="180" t="n">
        <v>829528.9</v>
      </c>
      <c r="L32" s="180" t="n">
        <v>563847.9</v>
      </c>
    </row>
    <row r="33" customFormat="false" ht="12.75" hidden="false" customHeight="false" outlineLevel="0" collapsed="false">
      <c r="A33" s="1" t="s">
        <v>289</v>
      </c>
      <c r="B33" s="277" t="n">
        <f aca="false">Assumptions!H56</f>
        <v>0</v>
      </c>
      <c r="C33" s="281" t="n">
        <f aca="false">15094.311*(1+B33)</f>
        <v>15094.311</v>
      </c>
      <c r="D33" s="281" t="n">
        <f aca="false">24529.596*(1+B33)</f>
        <v>24529.596</v>
      </c>
      <c r="E33" s="281" t="n">
        <f aca="false">26860.987*(1+B33)</f>
        <v>26860.987</v>
      </c>
      <c r="F33" s="281" t="n">
        <f aca="false">28207.44*(1+B33)</f>
        <v>28207.44</v>
      </c>
      <c r="G33" s="281" t="n">
        <f aca="false">28131.985*(1+B33)</f>
        <v>28131.985</v>
      </c>
      <c r="H33" s="281" t="n">
        <f aca="false">28053.979*(1+B33)</f>
        <v>28053.979</v>
      </c>
      <c r="I33" s="281" t="n">
        <f aca="false">26286.585*(1+B33)</f>
        <v>26286.585</v>
      </c>
      <c r="J33" s="281" t="n">
        <f aca="false">26802.971*(1+B33)</f>
        <v>26802.971</v>
      </c>
      <c r="K33" s="281" t="n">
        <f aca="false">26892.872*(1+B33)</f>
        <v>26892.872</v>
      </c>
      <c r="L33" s="281" t="n">
        <f aca="false">19682.798*(1+B33)</f>
        <v>19682.798</v>
      </c>
    </row>
    <row r="34" customFormat="false" ht="12.75" hidden="false" customHeight="false" outlineLevel="0" collapsed="false">
      <c r="A34" s="270" t="s">
        <v>290</v>
      </c>
    </row>
    <row r="35" customFormat="false" ht="12.75" hidden="false" customHeight="false" outlineLevel="0" collapsed="false">
      <c r="A35" s="1" t="s">
        <v>287</v>
      </c>
      <c r="C35" s="145" t="n">
        <f aca="false">C32</f>
        <v>444454.18</v>
      </c>
      <c r="D35" s="145" t="n">
        <f aca="false">D32</f>
        <v>780058.98</v>
      </c>
      <c r="E35" s="145" t="n">
        <f aca="false">E32</f>
        <v>853098.52</v>
      </c>
      <c r="F35" s="145" t="n">
        <f aca="false">F32</f>
        <v>895576.95</v>
      </c>
      <c r="G35" s="145" t="n">
        <f aca="false">G32</f>
        <v>890978.86</v>
      </c>
      <c r="H35" s="145" t="n">
        <f aca="false">H32</f>
        <v>884420.04</v>
      </c>
      <c r="I35" s="145" t="n">
        <f aca="false">I32</f>
        <v>829190.78</v>
      </c>
      <c r="J35" s="145" t="n">
        <f aca="false">J32</f>
        <v>839458.88</v>
      </c>
      <c r="K35" s="145" t="n">
        <f aca="false">K32</f>
        <v>829528.9</v>
      </c>
      <c r="L35" s="145" t="n">
        <f aca="false">L32</f>
        <v>563847.9</v>
      </c>
    </row>
    <row r="36" customFormat="false" ht="12.75" hidden="false" customHeight="false" outlineLevel="0" collapsed="false">
      <c r="A36" s="1" t="s">
        <v>289</v>
      </c>
      <c r="C36" s="278" t="n">
        <v>16603.743</v>
      </c>
      <c r="D36" s="278" t="n">
        <v>26982.556</v>
      </c>
      <c r="E36" s="278" t="n">
        <v>29547.085</v>
      </c>
      <c r="F36" s="278" t="n">
        <v>31028.184</v>
      </c>
      <c r="G36" s="278" t="n">
        <v>30945.183</v>
      </c>
      <c r="H36" s="278" t="n">
        <v>30859.377</v>
      </c>
      <c r="I36" s="278" t="n">
        <v>28915.243</v>
      </c>
      <c r="J36" s="278" t="n">
        <v>29483.268</v>
      </c>
      <c r="K36" s="278" t="n">
        <v>29582.159</v>
      </c>
      <c r="L36" s="278" t="n">
        <v>21651.078</v>
      </c>
    </row>
    <row r="37" customFormat="false" ht="12.75" hidden="false" customHeight="false" outlineLevel="0" collapsed="false">
      <c r="A37" s="270" t="s">
        <v>291</v>
      </c>
    </row>
    <row r="38" customFormat="false" ht="12.75" hidden="false" customHeight="false" outlineLevel="0" collapsed="false">
      <c r="A38" s="1" t="s">
        <v>287</v>
      </c>
      <c r="C38" s="145" t="n">
        <f aca="false">C32</f>
        <v>444454.18</v>
      </c>
      <c r="D38" s="145" t="n">
        <f aca="false">D32</f>
        <v>780058.98</v>
      </c>
      <c r="E38" s="145" t="n">
        <f aca="false">E32</f>
        <v>853098.52</v>
      </c>
      <c r="F38" s="145" t="n">
        <f aca="false">F32</f>
        <v>895576.95</v>
      </c>
      <c r="G38" s="145" t="n">
        <f aca="false">G32</f>
        <v>890978.86</v>
      </c>
      <c r="H38" s="145" t="n">
        <f aca="false">H32</f>
        <v>884420.04</v>
      </c>
      <c r="I38" s="145" t="n">
        <f aca="false">I32</f>
        <v>829190.78</v>
      </c>
      <c r="J38" s="145" t="n">
        <f aca="false">J32</f>
        <v>839458.88</v>
      </c>
      <c r="K38" s="145" t="n">
        <f aca="false">K32</f>
        <v>829528.9</v>
      </c>
      <c r="L38" s="145" t="n">
        <f aca="false">L32</f>
        <v>563847.9</v>
      </c>
    </row>
    <row r="39" customFormat="false" ht="12.75" hidden="false" customHeight="false" outlineLevel="0" collapsed="false">
      <c r="A39" s="1" t="s">
        <v>289</v>
      </c>
      <c r="C39" s="278" t="n">
        <v>13584.88</v>
      </c>
      <c r="D39" s="278" t="n">
        <v>22076.636</v>
      </c>
      <c r="E39" s="278" t="n">
        <v>24174.888</v>
      </c>
      <c r="F39" s="278" t="n">
        <v>25386.696</v>
      </c>
      <c r="G39" s="278" t="n">
        <v>25318.786</v>
      </c>
      <c r="H39" s="278" t="n">
        <v>25248.581</v>
      </c>
      <c r="I39" s="278" t="n">
        <v>23657.926</v>
      </c>
      <c r="J39" s="278" t="n">
        <v>24122.674</v>
      </c>
      <c r="K39" s="278" t="n">
        <v>24203.584</v>
      </c>
      <c r="L39" s="278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P42" activeCellId="0" sqref="P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0.56"/>
    <col collapsed="false" customWidth="true" hidden="false" outlineLevel="0" max="5" min="5" style="1" width="1.85"/>
    <col collapsed="false" customWidth="true" hidden="false" outlineLevel="0" max="6" min="6" style="1" width="9.41"/>
    <col collapsed="false" customWidth="true" hidden="false" outlineLevel="0" max="7" min="7" style="1" width="1.85"/>
    <col collapsed="false" customWidth="true" hidden="false" outlineLevel="0" max="8" min="8" style="1" width="9.56"/>
    <col collapsed="false" customWidth="true" hidden="false" outlineLevel="0" max="9" min="9" style="1" width="1.41"/>
    <col collapsed="false" customWidth="true" hidden="false" outlineLevel="0" max="10" min="10" style="1" width="16.56"/>
    <col collapsed="false" customWidth="true" hidden="false" outlineLevel="0" max="11" min="11" style="1" width="1.85"/>
    <col collapsed="false" customWidth="true" hidden="false" outlineLevel="0" max="12" min="12" style="1" width="8.7"/>
    <col collapsed="false" customWidth="true" hidden="false" outlineLevel="0" max="13" min="13" style="282" width="8.7"/>
    <col collapsed="false" customWidth="true" hidden="false" outlineLevel="0" max="17" min="14" style="282" width="13.28"/>
    <col collapsed="false" customWidth="true" hidden="false" outlineLevel="0" max="28" min="18" style="282" width="8.7"/>
    <col collapsed="false" customWidth="false" hidden="false" outlineLevel="0" max="36" min="29" style="282" width="9.14"/>
    <col collapsed="false" customWidth="false" hidden="false" outlineLevel="0" max="41" min="37" style="283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70"/>
    </row>
    <row r="3" customFormat="false" ht="12.75" hidden="true" customHeight="false" outlineLevel="0" collapsed="false">
      <c r="B3" s="284" t="s">
        <v>292</v>
      </c>
      <c r="L3" s="285"/>
      <c r="M3" s="286"/>
      <c r="N3" s="286"/>
    </row>
    <row r="4" customFormat="false" ht="13.5" hidden="true" customHeight="false" outlineLevel="0" collapsed="false">
      <c r="B4" s="274"/>
      <c r="L4" s="285"/>
      <c r="M4" s="286"/>
      <c r="N4" s="286"/>
    </row>
    <row r="5" customFormat="false" ht="12.75" hidden="true" customHeight="false" outlineLevel="0" collapsed="false">
      <c r="B5" s="287" t="s">
        <v>293</v>
      </c>
      <c r="C5" s="42"/>
      <c r="D5" s="288" t="s">
        <v>224</v>
      </c>
      <c r="E5" s="42"/>
      <c r="F5" s="288" t="s">
        <v>227</v>
      </c>
      <c r="G5" s="42"/>
      <c r="H5" s="289" t="s">
        <v>294</v>
      </c>
      <c r="I5" s="42"/>
      <c r="J5" s="288" t="s">
        <v>229</v>
      </c>
      <c r="K5" s="42"/>
      <c r="L5" s="288" t="s">
        <v>81</v>
      </c>
      <c r="M5" s="290"/>
      <c r="N5" s="291" t="s">
        <v>295</v>
      </c>
    </row>
    <row r="6" customFormat="false" ht="12.75" hidden="true" customHeight="false" outlineLevel="0" collapsed="false">
      <c r="B6" s="292" t="n">
        <v>250</v>
      </c>
      <c r="C6" s="31"/>
      <c r="D6" s="293" t="n">
        <v>43.55</v>
      </c>
      <c r="E6" s="31"/>
      <c r="F6" s="285" t="n">
        <v>0.7</v>
      </c>
      <c r="G6" s="31"/>
      <c r="H6" s="285" t="n">
        <v>0.14</v>
      </c>
      <c r="I6" s="31"/>
      <c r="J6" s="285" t="n">
        <v>0</v>
      </c>
      <c r="K6" s="31"/>
      <c r="L6" s="285" t="n">
        <v>0.7</v>
      </c>
      <c r="M6" s="286"/>
      <c r="N6" s="294" t="n">
        <v>0.3</v>
      </c>
    </row>
    <row r="7" customFormat="false" ht="12.75" hidden="true" customHeight="false" outlineLevel="0" collapsed="false">
      <c r="B7" s="292" t="n">
        <v>200</v>
      </c>
      <c r="C7" s="31"/>
      <c r="D7" s="293" t="n">
        <v>44.18</v>
      </c>
      <c r="E7" s="31"/>
      <c r="F7" s="285" t="n">
        <v>0.7</v>
      </c>
      <c r="G7" s="31"/>
      <c r="H7" s="285" t="n">
        <v>0.14</v>
      </c>
      <c r="I7" s="31"/>
      <c r="J7" s="285" t="n">
        <v>0</v>
      </c>
      <c r="K7" s="31"/>
      <c r="L7" s="285" t="n">
        <v>0.73</v>
      </c>
      <c r="M7" s="286"/>
      <c r="N7" s="294" t="n">
        <v>0.27</v>
      </c>
    </row>
    <row r="8" customFormat="false" ht="12.75" hidden="true" customHeight="false" outlineLevel="0" collapsed="false">
      <c r="B8" s="292" t="n">
        <v>150</v>
      </c>
      <c r="C8" s="31"/>
      <c r="D8" s="293" t="n">
        <v>44.82</v>
      </c>
      <c r="E8" s="31"/>
      <c r="F8" s="285" t="n">
        <v>0.7</v>
      </c>
      <c r="G8" s="31"/>
      <c r="H8" s="285" t="n">
        <v>0.14</v>
      </c>
      <c r="I8" s="31"/>
      <c r="J8" s="285" t="n">
        <v>0</v>
      </c>
      <c r="K8" s="31"/>
      <c r="L8" s="285" t="n">
        <v>0.75</v>
      </c>
      <c r="M8" s="286"/>
      <c r="N8" s="294" t="n">
        <v>0.25</v>
      </c>
    </row>
    <row r="9" customFormat="false" ht="12.75" hidden="true" customHeight="false" outlineLevel="0" collapsed="false">
      <c r="B9" s="295"/>
      <c r="C9" s="31"/>
      <c r="D9" s="31"/>
      <c r="E9" s="31"/>
      <c r="F9" s="31"/>
      <c r="G9" s="31"/>
      <c r="H9" s="31"/>
      <c r="I9" s="31"/>
      <c r="J9" s="31"/>
      <c r="K9" s="31"/>
      <c r="L9" s="285"/>
      <c r="M9" s="286"/>
      <c r="N9" s="294"/>
    </row>
    <row r="10" customFormat="false" ht="12.75" hidden="true" customHeight="false" outlineLevel="0" collapsed="false">
      <c r="B10" s="296" t="s">
        <v>293</v>
      </c>
      <c r="C10" s="104"/>
      <c r="D10" s="297" t="s">
        <v>224</v>
      </c>
      <c r="E10" s="104"/>
      <c r="F10" s="297" t="s">
        <v>227</v>
      </c>
      <c r="G10" s="104"/>
      <c r="H10" s="298" t="s">
        <v>294</v>
      </c>
      <c r="I10" s="104"/>
      <c r="J10" s="297" t="s">
        <v>229</v>
      </c>
      <c r="K10" s="104"/>
      <c r="L10" s="297" t="s">
        <v>81</v>
      </c>
      <c r="M10" s="299"/>
      <c r="N10" s="300" t="s">
        <v>295</v>
      </c>
    </row>
    <row r="11" customFormat="false" ht="12.75" hidden="true" customHeight="false" outlineLevel="0" collapsed="false">
      <c r="B11" s="301" t="n">
        <v>250</v>
      </c>
      <c r="C11" s="31"/>
      <c r="D11" s="293" t="n">
        <v>42.45</v>
      </c>
      <c r="E11" s="31"/>
      <c r="F11" s="285" t="n">
        <v>0.7</v>
      </c>
      <c r="G11" s="31"/>
      <c r="H11" s="285" t="n">
        <v>0.12</v>
      </c>
      <c r="I11" s="31"/>
      <c r="J11" s="285" t="n">
        <v>0</v>
      </c>
      <c r="K11" s="31"/>
      <c r="L11" s="285" t="n">
        <v>0.67</v>
      </c>
      <c r="M11" s="286"/>
      <c r="N11" s="302" t="n">
        <v>0.33</v>
      </c>
    </row>
    <row r="12" customFormat="false" ht="12.75" hidden="true" customHeight="false" outlineLevel="0" collapsed="false">
      <c r="B12" s="301" t="n">
        <v>200</v>
      </c>
      <c r="C12" s="31"/>
      <c r="D12" s="293" t="n">
        <v>43.22</v>
      </c>
      <c r="E12" s="31"/>
      <c r="F12" s="285" t="n">
        <v>0.7</v>
      </c>
      <c r="G12" s="31"/>
      <c r="H12" s="285" t="n">
        <v>0.12</v>
      </c>
      <c r="I12" s="31"/>
      <c r="J12" s="285" t="n">
        <v>0</v>
      </c>
      <c r="K12" s="31"/>
      <c r="L12" s="285" t="n">
        <v>0.7</v>
      </c>
      <c r="M12" s="286"/>
      <c r="N12" s="302" t="n">
        <v>0.3</v>
      </c>
    </row>
    <row r="13" customFormat="false" ht="12.75" hidden="true" customHeight="false" outlineLevel="0" collapsed="false">
      <c r="B13" s="303" t="n">
        <v>150</v>
      </c>
      <c r="C13" s="116"/>
      <c r="D13" s="304" t="n">
        <v>43.98</v>
      </c>
      <c r="E13" s="116"/>
      <c r="F13" s="305" t="n">
        <v>0.7</v>
      </c>
      <c r="G13" s="116"/>
      <c r="H13" s="305" t="n">
        <v>0.12</v>
      </c>
      <c r="I13" s="116"/>
      <c r="J13" s="305" t="n">
        <v>0</v>
      </c>
      <c r="K13" s="116"/>
      <c r="L13" s="305" t="n">
        <v>0.72</v>
      </c>
      <c r="M13" s="306"/>
      <c r="N13" s="307" t="n">
        <v>0.28</v>
      </c>
    </row>
    <row r="14" customFormat="false" ht="12.75" hidden="true" customHeight="false" outlineLevel="0" collapsed="false">
      <c r="B14" s="295"/>
      <c r="C14" s="31"/>
      <c r="D14" s="31"/>
      <c r="E14" s="31"/>
      <c r="F14" s="31"/>
      <c r="G14" s="31"/>
      <c r="H14" s="31"/>
      <c r="I14" s="31"/>
      <c r="J14" s="31"/>
      <c r="K14" s="31"/>
      <c r="L14" s="285"/>
      <c r="M14" s="286"/>
      <c r="N14" s="294"/>
    </row>
    <row r="15" customFormat="false" ht="12.75" hidden="true" customHeight="false" outlineLevel="0" collapsed="false">
      <c r="B15" s="308" t="s">
        <v>293</v>
      </c>
      <c r="C15" s="31"/>
      <c r="D15" s="309" t="s">
        <v>224</v>
      </c>
      <c r="E15" s="31"/>
      <c r="F15" s="309" t="s">
        <v>227</v>
      </c>
      <c r="G15" s="31"/>
      <c r="H15" s="310" t="s">
        <v>294</v>
      </c>
      <c r="I15" s="31"/>
      <c r="J15" s="309" t="s">
        <v>229</v>
      </c>
      <c r="K15" s="31"/>
      <c r="L15" s="309" t="s">
        <v>81</v>
      </c>
      <c r="M15" s="311"/>
      <c r="N15" s="312" t="s">
        <v>295</v>
      </c>
    </row>
    <row r="16" customFormat="false" ht="12.75" hidden="true" customHeight="false" outlineLevel="0" collapsed="false">
      <c r="B16" s="292" t="n">
        <v>250</v>
      </c>
      <c r="C16" s="31"/>
      <c r="D16" s="293" t="n">
        <v>41.15</v>
      </c>
      <c r="E16" s="31"/>
      <c r="F16" s="285" t="n">
        <v>0.7</v>
      </c>
      <c r="G16" s="31"/>
      <c r="H16" s="285" t="n">
        <v>0.1</v>
      </c>
      <c r="I16" s="31"/>
      <c r="J16" s="285" t="n">
        <v>0</v>
      </c>
      <c r="K16" s="31"/>
      <c r="L16" s="285" t="n">
        <v>0.63</v>
      </c>
      <c r="M16" s="286"/>
      <c r="N16" s="294" t="n">
        <v>0.37</v>
      </c>
    </row>
    <row r="17" customFormat="false" ht="12.75" hidden="true" customHeight="false" outlineLevel="0" collapsed="false">
      <c r="B17" s="292" t="n">
        <v>200</v>
      </c>
      <c r="C17" s="31"/>
      <c r="D17" s="293" t="n">
        <v>42.07</v>
      </c>
      <c r="E17" s="31"/>
      <c r="F17" s="285" t="n">
        <v>0.7</v>
      </c>
      <c r="G17" s="31"/>
      <c r="H17" s="285" t="n">
        <v>0.1</v>
      </c>
      <c r="I17" s="31"/>
      <c r="J17" s="285" t="n">
        <v>0</v>
      </c>
      <c r="K17" s="31"/>
      <c r="L17" s="285" t="n">
        <v>0.66</v>
      </c>
      <c r="M17" s="286"/>
      <c r="N17" s="294" t="n">
        <v>0.34</v>
      </c>
    </row>
    <row r="18" customFormat="false" ht="13.5" hidden="true" customHeight="false" outlineLevel="0" collapsed="false">
      <c r="B18" s="313" t="n">
        <v>150</v>
      </c>
      <c r="C18" s="34"/>
      <c r="D18" s="314" t="n">
        <v>42.99</v>
      </c>
      <c r="E18" s="34"/>
      <c r="F18" s="315" t="n">
        <v>0.7</v>
      </c>
      <c r="G18" s="34"/>
      <c r="H18" s="315" t="n">
        <v>0.1</v>
      </c>
      <c r="I18" s="34"/>
      <c r="J18" s="315" t="n">
        <v>0</v>
      </c>
      <c r="K18" s="34"/>
      <c r="L18" s="315" t="n">
        <v>0.69</v>
      </c>
      <c r="M18" s="316"/>
      <c r="N18" s="317" t="n">
        <v>0.31</v>
      </c>
    </row>
    <row r="19" customFormat="false" ht="13.5" hidden="true" customHeight="false" outlineLevel="0" collapsed="false">
      <c r="F19" s="285"/>
      <c r="H19" s="285"/>
      <c r="J19" s="285"/>
      <c r="L19" s="285"/>
      <c r="M19" s="286"/>
      <c r="N19" s="286"/>
    </row>
    <row r="20" customFormat="false" ht="12.75" hidden="true" customHeight="false" outlineLevel="0" collapsed="false">
      <c r="B20" s="287" t="s">
        <v>229</v>
      </c>
      <c r="C20" s="42"/>
      <c r="D20" s="288" t="s">
        <v>224</v>
      </c>
      <c r="E20" s="42"/>
      <c r="F20" s="288" t="s">
        <v>227</v>
      </c>
      <c r="G20" s="42"/>
      <c r="H20" s="288" t="s">
        <v>294</v>
      </c>
      <c r="I20" s="42"/>
      <c r="J20" s="288" t="s">
        <v>293</v>
      </c>
      <c r="K20" s="42"/>
      <c r="L20" s="288" t="s">
        <v>81</v>
      </c>
      <c r="M20" s="290"/>
      <c r="N20" s="291" t="s">
        <v>295</v>
      </c>
    </row>
    <row r="21" customFormat="false" ht="12.75" hidden="true" customHeight="false" outlineLevel="0" collapsed="false">
      <c r="B21" s="318" t="n">
        <v>-0.1</v>
      </c>
      <c r="C21" s="31"/>
      <c r="D21" s="293" t="n">
        <v>39.25</v>
      </c>
      <c r="E21" s="31"/>
      <c r="F21" s="285" t="n">
        <v>0.7</v>
      </c>
      <c r="G21" s="31"/>
      <c r="H21" s="285" t="n">
        <v>0.12</v>
      </c>
      <c r="I21" s="31"/>
      <c r="J21" s="280" t="n">
        <v>250</v>
      </c>
      <c r="K21" s="31"/>
      <c r="L21" s="285" t="n">
        <v>0.67</v>
      </c>
      <c r="M21" s="286"/>
      <c r="N21" s="294" t="n">
        <v>0.33</v>
      </c>
    </row>
    <row r="22" customFormat="false" ht="12.75" hidden="true" customHeight="false" outlineLevel="0" collapsed="false">
      <c r="B22" s="318" t="n">
        <v>0</v>
      </c>
      <c r="C22" s="31"/>
      <c r="D22" s="293" t="n">
        <v>42.45</v>
      </c>
      <c r="E22" s="31"/>
      <c r="F22" s="285" t="n">
        <v>0.7</v>
      </c>
      <c r="G22" s="31"/>
      <c r="H22" s="285" t="n">
        <v>0.12</v>
      </c>
      <c r="I22" s="31"/>
      <c r="J22" s="280" t="n">
        <v>250</v>
      </c>
      <c r="K22" s="31"/>
      <c r="L22" s="285" t="n">
        <v>0.67</v>
      </c>
      <c r="M22" s="286"/>
      <c r="N22" s="294" t="n">
        <v>0.33</v>
      </c>
    </row>
    <row r="23" customFormat="false" ht="13.5" hidden="true" customHeight="false" outlineLevel="0" collapsed="false">
      <c r="B23" s="319" t="n">
        <v>0.1</v>
      </c>
      <c r="C23" s="34"/>
      <c r="D23" s="314" t="n">
        <v>45.65</v>
      </c>
      <c r="E23" s="34"/>
      <c r="F23" s="315" t="n">
        <v>0.7</v>
      </c>
      <c r="G23" s="34"/>
      <c r="H23" s="315" t="n">
        <v>0.12</v>
      </c>
      <c r="I23" s="34"/>
      <c r="J23" s="320" t="n">
        <v>250</v>
      </c>
      <c r="K23" s="34"/>
      <c r="L23" s="315" t="n">
        <v>0.67</v>
      </c>
      <c r="M23" s="316"/>
      <c r="N23" s="317" t="n">
        <v>0.33</v>
      </c>
    </row>
    <row r="24" customFormat="false" ht="13.5" hidden="true" customHeight="false" outlineLevel="0" collapsed="false">
      <c r="B24" s="274"/>
      <c r="C24" s="31"/>
      <c r="D24" s="31"/>
      <c r="E24" s="31"/>
      <c r="F24" s="31"/>
      <c r="G24" s="31"/>
      <c r="H24" s="31"/>
      <c r="I24" s="31"/>
      <c r="J24" s="31"/>
      <c r="K24" s="31"/>
      <c r="L24" s="285"/>
      <c r="M24" s="286"/>
      <c r="N24" s="286"/>
    </row>
    <row r="25" customFormat="false" ht="12.75" hidden="true" customHeight="false" outlineLevel="0" collapsed="false">
      <c r="B25" s="287" t="s">
        <v>227</v>
      </c>
      <c r="C25" s="184"/>
      <c r="D25" s="288" t="s">
        <v>224</v>
      </c>
      <c r="E25" s="184"/>
      <c r="F25" s="288" t="s">
        <v>294</v>
      </c>
      <c r="G25" s="184"/>
      <c r="H25" s="288" t="s">
        <v>229</v>
      </c>
      <c r="I25" s="184"/>
      <c r="J25" s="288" t="s">
        <v>293</v>
      </c>
      <c r="K25" s="42"/>
      <c r="L25" s="288" t="s">
        <v>81</v>
      </c>
      <c r="M25" s="290"/>
      <c r="N25" s="291" t="s">
        <v>295</v>
      </c>
    </row>
    <row r="26" customFormat="false" ht="12.75" hidden="true" customHeight="false" outlineLevel="0" collapsed="false">
      <c r="B26" s="318" t="n">
        <v>0.7</v>
      </c>
      <c r="C26" s="109"/>
      <c r="D26" s="109"/>
      <c r="E26" s="109"/>
      <c r="F26" s="285" t="n">
        <v>0.12</v>
      </c>
      <c r="G26" s="109"/>
      <c r="H26" s="285" t="n">
        <v>0</v>
      </c>
      <c r="I26" s="109"/>
      <c r="J26" s="280" t="n">
        <v>250</v>
      </c>
      <c r="K26" s="109"/>
      <c r="L26" s="285"/>
      <c r="M26" s="286"/>
      <c r="N26" s="294"/>
    </row>
    <row r="27" customFormat="false" ht="12.75" hidden="true" customHeight="false" outlineLevel="0" collapsed="false">
      <c r="B27" s="318" t="n">
        <v>0.6</v>
      </c>
      <c r="C27" s="109"/>
      <c r="D27" s="109"/>
      <c r="E27" s="109"/>
      <c r="F27" s="285" t="n">
        <v>0.12</v>
      </c>
      <c r="G27" s="109"/>
      <c r="H27" s="285" t="n">
        <v>0</v>
      </c>
      <c r="I27" s="109"/>
      <c r="J27" s="280" t="n">
        <v>250</v>
      </c>
      <c r="K27" s="109"/>
      <c r="L27" s="109"/>
      <c r="M27" s="321"/>
      <c r="N27" s="322"/>
    </row>
    <row r="28" customFormat="false" ht="13.5" hidden="true" customHeight="false" outlineLevel="0" collapsed="false">
      <c r="B28" s="319" t="n">
        <v>0.5</v>
      </c>
      <c r="C28" s="323"/>
      <c r="D28" s="323"/>
      <c r="E28" s="323"/>
      <c r="F28" s="315" t="n">
        <v>0.12</v>
      </c>
      <c r="G28" s="323"/>
      <c r="H28" s="315" t="n">
        <v>0</v>
      </c>
      <c r="I28" s="323"/>
      <c r="J28" s="320" t="n">
        <v>250</v>
      </c>
      <c r="K28" s="323"/>
      <c r="L28" s="323"/>
      <c r="M28" s="324"/>
      <c r="N28" s="325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21"/>
      <c r="N29" s="321"/>
    </row>
    <row r="30" customFormat="false" ht="13.5" hidden="false" customHeight="false" outlineLevel="0" collapsed="false">
      <c r="A30" s="34"/>
      <c r="B30" s="326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4"/>
      <c r="N30" s="324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8"/>
      <c r="AL30" s="328"/>
      <c r="AM30" s="328"/>
      <c r="AN30" s="328"/>
      <c r="AO30" s="328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5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21"/>
      <c r="N31" s="321"/>
      <c r="O31" s="311"/>
      <c r="P31" s="311"/>
      <c r="Q31" s="311"/>
    </row>
    <row r="32" customFormat="false" ht="15.75" hidden="false" customHeight="false" outlineLevel="0" collapsed="false">
      <c r="B32" s="329" t="s">
        <v>296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21"/>
      <c r="N32" s="330" t="s">
        <v>297</v>
      </c>
      <c r="O32" s="330"/>
      <c r="P32" s="330"/>
      <c r="Q32" s="330"/>
    </row>
    <row r="33" customFormat="false" ht="13.5" hidden="false" customHeight="false" outlineLevel="0" collapsed="false">
      <c r="B33" s="285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21"/>
      <c r="N33" s="321"/>
    </row>
    <row r="34" customFormat="false" ht="12.75" hidden="false" customHeight="false" outlineLevel="0" collapsed="false">
      <c r="B34" s="287" t="s">
        <v>293</v>
      </c>
      <c r="C34" s="42"/>
      <c r="D34" s="288" t="s">
        <v>224</v>
      </c>
      <c r="E34" s="42"/>
      <c r="F34" s="288" t="s">
        <v>227</v>
      </c>
      <c r="G34" s="42"/>
      <c r="H34" s="289" t="s">
        <v>294</v>
      </c>
      <c r="I34" s="42"/>
      <c r="J34" s="331" t="s">
        <v>229</v>
      </c>
      <c r="K34" s="31"/>
      <c r="L34" s="309"/>
      <c r="M34" s="321"/>
      <c r="N34" s="321"/>
      <c r="O34" s="332" t="s">
        <v>298</v>
      </c>
      <c r="P34" s="332"/>
      <c r="Q34" s="332"/>
    </row>
    <row r="35" customFormat="false" ht="12.75" hidden="false" customHeight="false" outlineLevel="0" collapsed="false">
      <c r="B35" s="292" t="n">
        <v>250</v>
      </c>
      <c r="C35" s="31"/>
      <c r="D35" s="293" t="n">
        <v>48.66</v>
      </c>
      <c r="E35" s="31"/>
      <c r="F35" s="285" t="n">
        <v>0.7</v>
      </c>
      <c r="G35" s="31"/>
      <c r="H35" s="285" t="n">
        <v>0.14</v>
      </c>
      <c r="I35" s="31"/>
      <c r="J35" s="333" t="n">
        <v>0</v>
      </c>
      <c r="K35" s="31"/>
      <c r="L35" s="285"/>
      <c r="M35" s="321"/>
      <c r="N35" s="334"/>
      <c r="O35" s="335" t="s">
        <v>299</v>
      </c>
      <c r="P35" s="335" t="s">
        <v>300</v>
      </c>
      <c r="Q35" s="335" t="s">
        <v>301</v>
      </c>
    </row>
    <row r="36" customFormat="false" ht="12.75" hidden="false" customHeight="true" outlineLevel="0" collapsed="false">
      <c r="B36" s="292" t="n">
        <v>200</v>
      </c>
      <c r="C36" s="31"/>
      <c r="D36" s="293" t="n">
        <v>49.9</v>
      </c>
      <c r="E36" s="31"/>
      <c r="F36" s="285" t="n">
        <v>0.7</v>
      </c>
      <c r="G36" s="31"/>
      <c r="H36" s="285" t="n">
        <v>0.14</v>
      </c>
      <c r="I36" s="31"/>
      <c r="J36" s="333" t="n">
        <v>0</v>
      </c>
      <c r="K36" s="31"/>
      <c r="L36" s="285"/>
      <c r="M36" s="336" t="s">
        <v>302</v>
      </c>
      <c r="N36" s="337" t="n">
        <v>250</v>
      </c>
      <c r="O36" s="338" t="n">
        <v>45.67</v>
      </c>
      <c r="P36" s="338" t="n">
        <v>41.87</v>
      </c>
      <c r="Q36" s="338" t="n">
        <v>38.0901040233922</v>
      </c>
    </row>
    <row r="37" customFormat="false" ht="12.75" hidden="false" customHeight="false" outlineLevel="0" collapsed="false">
      <c r="B37" s="292" t="n">
        <v>150</v>
      </c>
      <c r="C37" s="31"/>
      <c r="D37" s="293" t="n">
        <v>51.1</v>
      </c>
      <c r="E37" s="31"/>
      <c r="F37" s="285" t="n">
        <v>0.7</v>
      </c>
      <c r="G37" s="31"/>
      <c r="H37" s="285" t="n">
        <v>0.14</v>
      </c>
      <c r="I37" s="31"/>
      <c r="J37" s="333" t="n">
        <v>0</v>
      </c>
      <c r="K37" s="31"/>
      <c r="L37" s="285"/>
      <c r="M37" s="336"/>
      <c r="N37" s="339" t="n">
        <v>200</v>
      </c>
      <c r="O37" s="338" t="n">
        <v>47.02</v>
      </c>
      <c r="P37" s="338" t="n">
        <v>43.31</v>
      </c>
      <c r="Q37" s="338" t="n">
        <v>39.54</v>
      </c>
    </row>
    <row r="38" customFormat="false" ht="12.75" hidden="false" customHeight="false" outlineLevel="0" collapsed="false">
      <c r="B38" s="295"/>
      <c r="C38" s="31"/>
      <c r="D38" s="31"/>
      <c r="E38" s="31"/>
      <c r="F38" s="31"/>
      <c r="G38" s="31"/>
      <c r="H38" s="31"/>
      <c r="I38" s="31"/>
      <c r="J38" s="32"/>
      <c r="K38" s="31"/>
      <c r="L38" s="285"/>
      <c r="M38" s="336"/>
      <c r="N38" s="339" t="n">
        <v>150</v>
      </c>
      <c r="O38" s="338" t="n">
        <v>48.39</v>
      </c>
      <c r="P38" s="338" t="n">
        <v>44.6694604183159</v>
      </c>
      <c r="Q38" s="338" t="n">
        <v>40.96</v>
      </c>
    </row>
    <row r="39" customFormat="false" ht="12.75" hidden="false" customHeight="false" outlineLevel="0" collapsed="false">
      <c r="B39" s="340" t="s">
        <v>293</v>
      </c>
      <c r="C39" s="104"/>
      <c r="D39" s="297" t="s">
        <v>224</v>
      </c>
      <c r="E39" s="104"/>
      <c r="F39" s="297" t="s">
        <v>227</v>
      </c>
      <c r="G39" s="104"/>
      <c r="H39" s="298" t="s">
        <v>294</v>
      </c>
      <c r="I39" s="104"/>
      <c r="J39" s="341" t="s">
        <v>229</v>
      </c>
      <c r="K39" s="31"/>
      <c r="L39" s="309"/>
      <c r="M39" s="286"/>
      <c r="N39" s="286" t="s">
        <v>303</v>
      </c>
    </row>
    <row r="40" customFormat="false" ht="12.75" hidden="false" customHeight="false" outlineLevel="0" collapsed="false">
      <c r="B40" s="292" t="n">
        <v>250</v>
      </c>
      <c r="C40" s="31"/>
      <c r="D40" s="293" t="n">
        <v>45.67</v>
      </c>
      <c r="E40" s="31"/>
      <c r="F40" s="285" t="n">
        <v>0.7</v>
      </c>
      <c r="G40" s="31"/>
      <c r="H40" s="285" t="n">
        <v>0.12</v>
      </c>
      <c r="I40" s="31"/>
      <c r="J40" s="333" t="n">
        <v>0</v>
      </c>
      <c r="K40" s="31"/>
      <c r="L40" s="285"/>
      <c r="M40" s="286"/>
    </row>
    <row r="41" customFormat="false" ht="12.75" hidden="false" customHeight="false" outlineLevel="0" collapsed="false">
      <c r="B41" s="292" t="n">
        <v>200</v>
      </c>
      <c r="C41" s="31"/>
      <c r="D41" s="293" t="n">
        <v>47.02</v>
      </c>
      <c r="E41" s="31"/>
      <c r="F41" s="285" t="n">
        <v>0.7</v>
      </c>
      <c r="G41" s="31"/>
      <c r="H41" s="285" t="n">
        <v>0.12</v>
      </c>
      <c r="I41" s="31"/>
      <c r="J41" s="333" t="n">
        <v>0</v>
      </c>
      <c r="K41" s="31"/>
      <c r="L41" s="285"/>
      <c r="N41" s="321"/>
      <c r="O41" s="332" t="s">
        <v>304</v>
      </c>
      <c r="P41" s="332"/>
      <c r="Q41" s="332"/>
    </row>
    <row r="42" customFormat="false" ht="12.75" hidden="false" customHeight="false" outlineLevel="0" collapsed="false">
      <c r="B42" s="342" t="n">
        <v>150</v>
      </c>
      <c r="C42" s="116"/>
      <c r="D42" s="304" t="n">
        <v>48.39</v>
      </c>
      <c r="E42" s="116"/>
      <c r="F42" s="305" t="n">
        <v>0.7</v>
      </c>
      <c r="G42" s="116"/>
      <c r="H42" s="305" t="n">
        <v>0.12</v>
      </c>
      <c r="I42" s="116"/>
      <c r="J42" s="343" t="n">
        <v>0</v>
      </c>
      <c r="K42" s="31"/>
      <c r="L42" s="285"/>
      <c r="M42" s="321"/>
      <c r="N42" s="334"/>
      <c r="O42" s="344" t="n">
        <v>0.1</v>
      </c>
      <c r="P42" s="344" t="n">
        <v>0.12</v>
      </c>
      <c r="Q42" s="344" t="n">
        <v>0.14</v>
      </c>
    </row>
    <row r="43" customFormat="false" ht="12.75" hidden="false" customHeight="true" outlineLevel="0" collapsed="false">
      <c r="B43" s="295"/>
      <c r="C43" s="31"/>
      <c r="D43" s="31"/>
      <c r="E43" s="31"/>
      <c r="F43" s="31"/>
      <c r="G43" s="31"/>
      <c r="H43" s="31"/>
      <c r="I43" s="31"/>
      <c r="J43" s="32"/>
      <c r="K43" s="31"/>
      <c r="L43" s="285"/>
      <c r="M43" s="336" t="s">
        <v>302</v>
      </c>
      <c r="N43" s="337" t="n">
        <v>250</v>
      </c>
      <c r="O43" s="338" t="n">
        <v>42.86</v>
      </c>
      <c r="P43" s="338" t="n">
        <v>45.67</v>
      </c>
      <c r="Q43" s="338" t="n">
        <v>48.66</v>
      </c>
    </row>
    <row r="44" customFormat="false" ht="12.75" hidden="false" customHeight="false" outlineLevel="0" collapsed="false">
      <c r="B44" s="308" t="s">
        <v>293</v>
      </c>
      <c r="C44" s="31"/>
      <c r="D44" s="309" t="s">
        <v>224</v>
      </c>
      <c r="E44" s="31"/>
      <c r="F44" s="309" t="s">
        <v>227</v>
      </c>
      <c r="G44" s="31"/>
      <c r="H44" s="310" t="s">
        <v>294</v>
      </c>
      <c r="I44" s="31"/>
      <c r="J44" s="345" t="s">
        <v>229</v>
      </c>
      <c r="K44" s="31"/>
      <c r="L44" s="309"/>
      <c r="M44" s="336"/>
      <c r="N44" s="339" t="n">
        <v>200</v>
      </c>
      <c r="O44" s="338" t="n">
        <v>44.36</v>
      </c>
      <c r="P44" s="338" t="n">
        <v>47.02</v>
      </c>
      <c r="Q44" s="338" t="n">
        <v>49.9</v>
      </c>
    </row>
    <row r="45" customFormat="false" ht="12.75" hidden="false" customHeight="false" outlineLevel="0" collapsed="false">
      <c r="B45" s="292" t="n">
        <v>250</v>
      </c>
      <c r="C45" s="31"/>
      <c r="D45" s="293" t="n">
        <v>42.86</v>
      </c>
      <c r="E45" s="31"/>
      <c r="F45" s="285" t="n">
        <v>0.7</v>
      </c>
      <c r="G45" s="31"/>
      <c r="H45" s="285" t="n">
        <v>0.1</v>
      </c>
      <c r="I45" s="31"/>
      <c r="J45" s="333" t="n">
        <v>0</v>
      </c>
      <c r="K45" s="31"/>
      <c r="L45" s="285"/>
      <c r="M45" s="336"/>
      <c r="N45" s="339" t="n">
        <v>150</v>
      </c>
      <c r="O45" s="338" t="n">
        <v>45.79</v>
      </c>
      <c r="P45" s="338" t="n">
        <v>48.39</v>
      </c>
      <c r="Q45" s="338" t="n">
        <v>51.1</v>
      </c>
    </row>
    <row r="46" customFormat="false" ht="12.75" hidden="false" customHeight="false" outlineLevel="0" collapsed="false">
      <c r="B46" s="292" t="n">
        <v>200</v>
      </c>
      <c r="C46" s="31"/>
      <c r="D46" s="293" t="n">
        <v>44.36</v>
      </c>
      <c r="E46" s="31"/>
      <c r="F46" s="285" t="n">
        <v>0.7</v>
      </c>
      <c r="G46" s="31"/>
      <c r="H46" s="285" t="n">
        <v>0.1</v>
      </c>
      <c r="I46" s="31"/>
      <c r="J46" s="333" t="n">
        <v>0</v>
      </c>
      <c r="K46" s="31"/>
      <c r="L46" s="285"/>
      <c r="M46" s="286"/>
      <c r="N46" s="286" t="s">
        <v>305</v>
      </c>
    </row>
    <row r="47" customFormat="false" ht="13.5" hidden="false" customHeight="false" outlineLevel="0" collapsed="false">
      <c r="B47" s="313" t="n">
        <v>150</v>
      </c>
      <c r="C47" s="34"/>
      <c r="D47" s="314" t="n">
        <v>45.79</v>
      </c>
      <c r="E47" s="34"/>
      <c r="F47" s="315" t="n">
        <v>0.7</v>
      </c>
      <c r="G47" s="34"/>
      <c r="H47" s="315" t="n">
        <v>0.1</v>
      </c>
      <c r="I47" s="34"/>
      <c r="J47" s="346" t="n">
        <v>0</v>
      </c>
      <c r="K47" s="31"/>
      <c r="L47" s="285"/>
      <c r="M47" s="286"/>
      <c r="N47" s="286"/>
    </row>
    <row r="48" customFormat="false" ht="13.5" hidden="false" customHeight="false" outlineLevel="0" collapsed="false">
      <c r="B48" s="30"/>
      <c r="C48" s="31"/>
      <c r="D48" s="31"/>
      <c r="E48" s="31"/>
      <c r="F48" s="285"/>
      <c r="G48" s="31"/>
      <c r="H48" s="285"/>
      <c r="I48" s="31"/>
      <c r="J48" s="333"/>
      <c r="K48" s="31"/>
      <c r="L48" s="285"/>
      <c r="M48" s="321"/>
      <c r="N48" s="321"/>
      <c r="O48" s="332" t="s">
        <v>229</v>
      </c>
      <c r="P48" s="332"/>
      <c r="Q48" s="332"/>
    </row>
    <row r="49" customFormat="false" ht="12.75" hidden="false" customHeight="false" outlineLevel="0" collapsed="false">
      <c r="B49" s="287" t="s">
        <v>229</v>
      </c>
      <c r="C49" s="42"/>
      <c r="D49" s="288" t="s">
        <v>224</v>
      </c>
      <c r="E49" s="42"/>
      <c r="F49" s="288" t="s">
        <v>227</v>
      </c>
      <c r="G49" s="42"/>
      <c r="H49" s="288" t="s">
        <v>294</v>
      </c>
      <c r="I49" s="42"/>
      <c r="J49" s="331" t="s">
        <v>293</v>
      </c>
      <c r="K49" s="31"/>
      <c r="L49" s="309"/>
      <c r="M49" s="321"/>
      <c r="N49" s="334"/>
      <c r="O49" s="344" t="s">
        <v>306</v>
      </c>
      <c r="P49" s="344" t="n">
        <v>0</v>
      </c>
      <c r="Q49" s="344" t="s">
        <v>307</v>
      </c>
    </row>
    <row r="50" customFormat="false" ht="12.75" hidden="false" customHeight="true" outlineLevel="0" collapsed="false">
      <c r="B50" s="318" t="n">
        <v>-0.1</v>
      </c>
      <c r="C50" s="31"/>
      <c r="D50" s="293" t="n">
        <v>42.47</v>
      </c>
      <c r="E50" s="31"/>
      <c r="F50" s="285" t="n">
        <v>0.7</v>
      </c>
      <c r="G50" s="31"/>
      <c r="H50" s="285" t="n">
        <v>0.12</v>
      </c>
      <c r="I50" s="31"/>
      <c r="J50" s="347" t="n">
        <v>250</v>
      </c>
      <c r="K50" s="31"/>
      <c r="L50" s="285"/>
      <c r="M50" s="336" t="s">
        <v>302</v>
      </c>
      <c r="N50" s="337" t="n">
        <v>250</v>
      </c>
      <c r="O50" s="338" t="n">
        <v>44.83</v>
      </c>
      <c r="P50" s="338" t="n">
        <v>45.67</v>
      </c>
      <c r="Q50" s="338" t="n">
        <v>46.18</v>
      </c>
    </row>
    <row r="51" customFormat="false" ht="12.75" hidden="false" customHeight="false" outlineLevel="0" collapsed="false">
      <c r="B51" s="318" t="n">
        <v>0</v>
      </c>
      <c r="C51" s="31"/>
      <c r="D51" s="293" t="n">
        <v>45.67</v>
      </c>
      <c r="E51" s="31"/>
      <c r="F51" s="285" t="n">
        <v>0.7</v>
      </c>
      <c r="G51" s="31"/>
      <c r="H51" s="285" t="n">
        <v>0.12</v>
      </c>
      <c r="I51" s="31"/>
      <c r="J51" s="347" t="n">
        <v>250</v>
      </c>
      <c r="K51" s="31"/>
      <c r="L51" s="285"/>
      <c r="M51" s="336"/>
      <c r="N51" s="339" t="n">
        <v>200</v>
      </c>
      <c r="O51" s="338" t="n">
        <v>46.19</v>
      </c>
      <c r="P51" s="338" t="n">
        <v>47.02</v>
      </c>
      <c r="Q51" s="338" t="n">
        <v>47.54</v>
      </c>
    </row>
    <row r="52" customFormat="false" ht="13.5" hidden="false" customHeight="false" outlineLevel="0" collapsed="false">
      <c r="B52" s="319" t="n">
        <v>0.1</v>
      </c>
      <c r="C52" s="34"/>
      <c r="D52" s="314" t="n">
        <v>48.87</v>
      </c>
      <c r="E52" s="34"/>
      <c r="F52" s="315" t="n">
        <v>0.7</v>
      </c>
      <c r="G52" s="34"/>
      <c r="H52" s="315" t="n">
        <v>0.12</v>
      </c>
      <c r="I52" s="34"/>
      <c r="J52" s="348" t="n">
        <v>250</v>
      </c>
      <c r="K52" s="31"/>
      <c r="L52" s="285"/>
      <c r="M52" s="336"/>
      <c r="N52" s="339" t="n">
        <v>150</v>
      </c>
      <c r="O52" s="338" t="n">
        <v>47.56</v>
      </c>
      <c r="P52" s="338" t="n">
        <v>48.39</v>
      </c>
      <c r="Q52" s="338" t="n">
        <v>48.91</v>
      </c>
    </row>
    <row r="53" customFormat="false" ht="13.5" hidden="false" customHeight="false" outlineLevel="0" collapsed="false">
      <c r="B53" s="295"/>
      <c r="C53" s="31"/>
      <c r="D53" s="31"/>
      <c r="E53" s="31"/>
      <c r="F53" s="31"/>
      <c r="G53" s="31"/>
      <c r="H53" s="31"/>
      <c r="I53" s="31"/>
      <c r="J53" s="32"/>
      <c r="K53" s="31"/>
      <c r="L53" s="285"/>
      <c r="M53" s="286"/>
      <c r="N53" s="286" t="s">
        <v>308</v>
      </c>
    </row>
    <row r="54" customFormat="false" ht="12.75" hidden="false" customHeight="false" outlineLevel="0" collapsed="false">
      <c r="B54" s="287" t="s">
        <v>227</v>
      </c>
      <c r="C54" s="184"/>
      <c r="D54" s="288" t="s">
        <v>224</v>
      </c>
      <c r="E54" s="184"/>
      <c r="F54" s="288" t="s">
        <v>294</v>
      </c>
      <c r="G54" s="184"/>
      <c r="H54" s="288" t="s">
        <v>229</v>
      </c>
      <c r="I54" s="184"/>
      <c r="J54" s="331" t="s">
        <v>293</v>
      </c>
      <c r="K54" s="31"/>
      <c r="L54" s="309"/>
      <c r="M54" s="286"/>
      <c r="N54" s="286"/>
    </row>
    <row r="55" customFormat="false" ht="12.75" hidden="false" customHeight="false" outlineLevel="0" collapsed="false">
      <c r="B55" s="318" t="n">
        <v>0.7</v>
      </c>
      <c r="C55" s="109"/>
      <c r="D55" s="293" t="n">
        <v>45.67</v>
      </c>
      <c r="E55" s="109"/>
      <c r="F55" s="285" t="n">
        <v>0.12</v>
      </c>
      <c r="G55" s="109"/>
      <c r="H55" s="285" t="n">
        <v>0</v>
      </c>
      <c r="I55" s="109"/>
      <c r="J55" s="347" t="n">
        <v>250</v>
      </c>
      <c r="K55" s="109"/>
      <c r="L55" s="285"/>
      <c r="M55" s="321"/>
      <c r="N55" s="321"/>
      <c r="O55" s="332" t="s">
        <v>227</v>
      </c>
      <c r="P55" s="332"/>
      <c r="Q55" s="332"/>
      <c r="AF55" s="283"/>
      <c r="AG55" s="283"/>
      <c r="AH55" s="283"/>
      <c r="AI55" s="283"/>
      <c r="AJ55" s="283"/>
      <c r="AK55" s="1"/>
      <c r="AL55" s="1"/>
      <c r="AM55" s="1"/>
      <c r="AN55" s="1"/>
      <c r="AO55" s="1"/>
    </row>
    <row r="56" customFormat="false" ht="12.75" hidden="false" customHeight="false" outlineLevel="0" collapsed="false">
      <c r="B56" s="318" t="n">
        <v>0.6</v>
      </c>
      <c r="C56" s="109"/>
      <c r="D56" s="293" t="n">
        <v>44.9</v>
      </c>
      <c r="E56" s="109"/>
      <c r="F56" s="285" t="n">
        <v>0.12</v>
      </c>
      <c r="G56" s="109"/>
      <c r="H56" s="285" t="n">
        <v>0</v>
      </c>
      <c r="I56" s="109"/>
      <c r="J56" s="347" t="n">
        <v>250</v>
      </c>
      <c r="K56" s="109"/>
      <c r="L56" s="109"/>
      <c r="M56" s="321"/>
      <c r="N56" s="334"/>
      <c r="O56" s="344" t="n">
        <v>0.7</v>
      </c>
      <c r="P56" s="344" t="n">
        <v>0.6</v>
      </c>
      <c r="Q56" s="344" t="n">
        <v>0.5</v>
      </c>
      <c r="AF56" s="283"/>
      <c r="AG56" s="283"/>
      <c r="AH56" s="283"/>
      <c r="AI56" s="283"/>
      <c r="AJ56" s="283"/>
      <c r="AK56" s="1"/>
      <c r="AL56" s="1"/>
      <c r="AM56" s="1"/>
      <c r="AN56" s="1"/>
      <c r="AO56" s="1"/>
    </row>
    <row r="57" customFormat="false" ht="13.5" hidden="false" customHeight="true" outlineLevel="0" collapsed="false">
      <c r="B57" s="319" t="n">
        <v>0.5</v>
      </c>
      <c r="C57" s="323"/>
      <c r="D57" s="314" t="n">
        <v>44.13</v>
      </c>
      <c r="E57" s="323"/>
      <c r="F57" s="315" t="n">
        <v>0.12</v>
      </c>
      <c r="G57" s="323"/>
      <c r="H57" s="315" t="n">
        <v>0</v>
      </c>
      <c r="I57" s="323"/>
      <c r="J57" s="348" t="n">
        <v>250</v>
      </c>
      <c r="K57" s="109"/>
      <c r="L57" s="109"/>
      <c r="M57" s="336" t="s">
        <v>302</v>
      </c>
      <c r="N57" s="337" t="n">
        <v>250</v>
      </c>
      <c r="O57" s="338" t="n">
        <v>45.67</v>
      </c>
      <c r="P57" s="338" t="n">
        <v>44.9</v>
      </c>
      <c r="Q57" s="338" t="n">
        <v>44.19</v>
      </c>
      <c r="AF57" s="283"/>
      <c r="AG57" s="283"/>
      <c r="AH57" s="283"/>
      <c r="AI57" s="283"/>
      <c r="AJ57" s="283"/>
      <c r="AK57" s="1"/>
      <c r="AL57" s="1"/>
      <c r="AM57" s="1"/>
      <c r="AN57" s="1"/>
      <c r="AO57" s="1"/>
    </row>
    <row r="58" customFormat="false" ht="12.75" hidden="false" customHeight="false" outlineLevel="0" collapsed="false">
      <c r="M58" s="336"/>
      <c r="N58" s="339" t="n">
        <v>200</v>
      </c>
      <c r="O58" s="338" t="n">
        <v>47.02</v>
      </c>
      <c r="P58" s="338" t="n">
        <v>46.27</v>
      </c>
      <c r="Q58" s="338" t="n">
        <v>45.57</v>
      </c>
      <c r="AF58" s="283"/>
      <c r="AG58" s="283"/>
      <c r="AH58" s="283"/>
      <c r="AI58" s="283"/>
      <c r="AJ58" s="283"/>
      <c r="AK58" s="1"/>
      <c r="AL58" s="1"/>
      <c r="AM58" s="1"/>
      <c r="AN58" s="1"/>
      <c r="AO58" s="1"/>
    </row>
    <row r="59" customFormat="false" ht="12.75" hidden="false" customHeight="false" outlineLevel="0" collapsed="false">
      <c r="M59" s="336"/>
      <c r="N59" s="339" t="n">
        <v>150</v>
      </c>
      <c r="O59" s="338" t="n">
        <v>48.39</v>
      </c>
      <c r="P59" s="338" t="n">
        <v>47.63</v>
      </c>
      <c r="Q59" s="338" t="n">
        <v>46.92</v>
      </c>
      <c r="AF59" s="283"/>
      <c r="AG59" s="283"/>
      <c r="AH59" s="283"/>
      <c r="AI59" s="283"/>
      <c r="AJ59" s="283"/>
      <c r="AK59" s="1"/>
      <c r="AL59" s="1"/>
      <c r="AM59" s="1"/>
      <c r="AN59" s="1"/>
      <c r="AO59" s="1"/>
    </row>
    <row r="60" customFormat="false" ht="12.75" hidden="false" customHeight="false" outlineLevel="0" collapsed="false">
      <c r="M60" s="286"/>
      <c r="N60" s="286" t="s">
        <v>309</v>
      </c>
      <c r="AF60" s="283"/>
      <c r="AG60" s="283"/>
      <c r="AH60" s="283"/>
      <c r="AI60" s="283"/>
      <c r="AJ60" s="283"/>
      <c r="AK60" s="1"/>
      <c r="AL60" s="1"/>
      <c r="AM60" s="1"/>
      <c r="AN60" s="1"/>
      <c r="AO60" s="1"/>
    </row>
    <row r="61" customFormat="false" ht="12.75" hidden="false" customHeight="false" outlineLevel="0" collapsed="false">
      <c r="M61" s="286"/>
      <c r="AF61" s="283"/>
      <c r="AG61" s="283"/>
      <c r="AH61" s="283"/>
      <c r="AI61" s="283"/>
      <c r="AJ61" s="283"/>
      <c r="AK61" s="1"/>
      <c r="AL61" s="1"/>
      <c r="AM61" s="1"/>
      <c r="AN61" s="1"/>
      <c r="AO61" s="1"/>
    </row>
  </sheetData>
  <mergeCells count="9">
    <mergeCell ref="N32:Q32"/>
    <mergeCell ref="O34:Q34"/>
    <mergeCell ref="M36:M38"/>
    <mergeCell ref="O41:Q41"/>
    <mergeCell ref="M43:M45"/>
    <mergeCell ref="O48:Q48"/>
    <mergeCell ref="M50:M52"/>
    <mergeCell ref="O55:Q55"/>
    <mergeCell ref="M57:M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9" t="s">
        <v>310</v>
      </c>
      <c r="B4" s="3"/>
    </row>
    <row r="6" customFormat="false" ht="12.75" hidden="false" customHeight="false" outlineLevel="0" collapsed="false">
      <c r="C6" s="236" t="n">
        <f aca="false">'Price_Technical Assumption'!D7</f>
        <v>0.666666666666667</v>
      </c>
      <c r="D6" s="236" t="n">
        <f aca="false">'Price_Technical Assumption'!E7</f>
        <v>1.66666666666667</v>
      </c>
      <c r="E6" s="236" t="n">
        <f aca="false">'Price_Technical Assumption'!F7</f>
        <v>2.66666666666667</v>
      </c>
      <c r="F6" s="236" t="n">
        <f aca="false">'Price_Technical Assumption'!G7</f>
        <v>3.66666666666667</v>
      </c>
      <c r="G6" s="236" t="n">
        <f aca="false">'Price_Technical Assumption'!H7</f>
        <v>4.66666666666667</v>
      </c>
      <c r="H6" s="236" t="n">
        <f aca="false">'Price_Technical Assumption'!I7</f>
        <v>5.66666666666667</v>
      </c>
      <c r="I6" s="236" t="n">
        <f aca="false">'Price_Technical Assumption'!J7</f>
        <v>6.66666666666667</v>
      </c>
      <c r="J6" s="236" t="n">
        <f aca="false">'Price_Technical Assumption'!K7</f>
        <v>7.66666666666667</v>
      </c>
      <c r="K6" s="236" t="n">
        <f aca="false">'Price_Technical Assumption'!L7</f>
        <v>8.66666666666667</v>
      </c>
      <c r="L6" s="236" t="n">
        <f aca="false">'Price_Technical Assumption'!M7</f>
        <v>9.66666666666667</v>
      </c>
      <c r="M6" s="236" t="n">
        <f aca="false">'Price_Technical Assumption'!N7</f>
        <v>10.6666666666667</v>
      </c>
      <c r="N6" s="236" t="n">
        <f aca="false">'Price_Technical Assumption'!O7</f>
        <v>11.6666666666667</v>
      </c>
      <c r="O6" s="236" t="n">
        <f aca="false">'Price_Technical Assumption'!P7</f>
        <v>12.6666666666667</v>
      </c>
      <c r="P6" s="236" t="n">
        <f aca="false">'Price_Technical Assumption'!Q7</f>
        <v>13.6666666666667</v>
      </c>
      <c r="Q6" s="236" t="n">
        <f aca="false">'Price_Technical Assumption'!R7</f>
        <v>14.6666666666667</v>
      </c>
      <c r="R6" s="236" t="n">
        <f aca="false">'Price_Technical Assumption'!S7</f>
        <v>15.6666666666667</v>
      </c>
      <c r="S6" s="236" t="n">
        <f aca="false">'Price_Technical Assumption'!T7</f>
        <v>16.6666666666667</v>
      </c>
      <c r="T6" s="236" t="n">
        <f aca="false">'Price_Technical Assumption'!U7</f>
        <v>17.6666666666667</v>
      </c>
      <c r="U6" s="236" t="n">
        <f aca="false">'Price_Technical Assumption'!V7</f>
        <v>18.6666666666667</v>
      </c>
      <c r="V6" s="236" t="n">
        <f aca="false">'Price_Technical Assumption'!W7</f>
        <v>19.6666666666667</v>
      </c>
      <c r="W6" s="236" t="n">
        <f aca="false">'Price_Technical Assumption'!X7</f>
        <v>20.6666666666667</v>
      </c>
      <c r="X6" s="236" t="n">
        <f aca="false">'Price_Technical Assumption'!Y7</f>
        <v>21.6666666666667</v>
      </c>
      <c r="Y6" s="236" t="n">
        <f aca="false">'Price_Technical Assumption'!Z7</f>
        <v>22.6666666666667</v>
      </c>
      <c r="Z6" s="236" t="n">
        <f aca="false">'Price_Technical Assumption'!AA7</f>
        <v>23.6666666666667</v>
      </c>
      <c r="AA6" s="236" t="n">
        <f aca="false">'Price_Technical Assumption'!AB7</f>
        <v>24.6666666666667</v>
      </c>
      <c r="AB6" s="236" t="n">
        <f aca="false">'Price_Technical Assumption'!AC7</f>
        <v>25.6666666666667</v>
      </c>
      <c r="AC6" s="236" t="n">
        <f aca="false">'Price_Technical Assumption'!AD7</f>
        <v>26.6666666666667</v>
      </c>
      <c r="AD6" s="236" t="n">
        <f aca="false">'Price_Technical Assumption'!AE7</f>
        <v>27.6666666666667</v>
      </c>
      <c r="AE6" s="236" t="n">
        <f aca="false">'Price_Technical Assumption'!AF7</f>
        <v>28.6666666666667</v>
      </c>
      <c r="AF6" s="236" t="n">
        <f aca="false">'Price_Technical Assumption'!AG7</f>
        <v>29.6666666666667</v>
      </c>
      <c r="AG6" s="236" t="n">
        <f aca="false">'Price_Technical Assumption'!AH7</f>
        <v>30.6666666666667</v>
      </c>
    </row>
    <row r="7" customFormat="false" ht="13.5" hidden="false" customHeight="false" outlineLevel="0" collapsed="false">
      <c r="A7" s="350" t="s">
        <v>311</v>
      </c>
      <c r="B7" s="351"/>
      <c r="C7" s="351" t="n">
        <f aca="false">'Price_Technical Assumption'!D8</f>
        <v>2001</v>
      </c>
      <c r="D7" s="351" t="n">
        <f aca="false">'Price_Technical Assumption'!E8</f>
        <v>2002</v>
      </c>
      <c r="E7" s="351" t="n">
        <f aca="false">'Price_Technical Assumption'!F8</f>
        <v>2003</v>
      </c>
      <c r="F7" s="351" t="n">
        <f aca="false">'Price_Technical Assumption'!G8</f>
        <v>2004</v>
      </c>
      <c r="G7" s="351" t="n">
        <f aca="false">'Price_Technical Assumption'!H8</f>
        <v>2005</v>
      </c>
      <c r="H7" s="351" t="n">
        <f aca="false">'Price_Technical Assumption'!I8</f>
        <v>2006</v>
      </c>
      <c r="I7" s="351" t="n">
        <f aca="false">'Price_Technical Assumption'!J8</f>
        <v>2007</v>
      </c>
      <c r="J7" s="351" t="n">
        <f aca="false">'Price_Technical Assumption'!K8</f>
        <v>2008</v>
      </c>
      <c r="K7" s="351" t="n">
        <f aca="false">'Price_Technical Assumption'!L8</f>
        <v>2009</v>
      </c>
      <c r="L7" s="351" t="n">
        <f aca="false">'Price_Technical Assumption'!M8</f>
        <v>2010</v>
      </c>
      <c r="M7" s="351" t="n">
        <f aca="false">'Price_Technical Assumption'!N8</f>
        <v>2011</v>
      </c>
      <c r="N7" s="351" t="n">
        <f aca="false">'Price_Technical Assumption'!O8</f>
        <v>2012</v>
      </c>
      <c r="O7" s="351" t="n">
        <f aca="false">'Price_Technical Assumption'!P8</f>
        <v>2013</v>
      </c>
      <c r="P7" s="351" t="n">
        <f aca="false">'Price_Technical Assumption'!Q8</f>
        <v>2014</v>
      </c>
      <c r="Q7" s="351" t="n">
        <f aca="false">'Price_Technical Assumption'!R8</f>
        <v>2015</v>
      </c>
      <c r="R7" s="351" t="n">
        <f aca="false">'Price_Technical Assumption'!S8</f>
        <v>2016</v>
      </c>
      <c r="S7" s="351" t="n">
        <f aca="false">'Price_Technical Assumption'!T8</f>
        <v>2017</v>
      </c>
      <c r="T7" s="351" t="n">
        <f aca="false">'Price_Technical Assumption'!U8</f>
        <v>2018</v>
      </c>
      <c r="U7" s="351" t="n">
        <f aca="false">'Price_Technical Assumption'!V8</f>
        <v>2019</v>
      </c>
      <c r="V7" s="351" t="n">
        <f aca="false">'Price_Technical Assumption'!W8</f>
        <v>2020</v>
      </c>
      <c r="W7" s="351" t="n">
        <f aca="false">'Price_Technical Assumption'!X8</f>
        <v>2021</v>
      </c>
      <c r="X7" s="351" t="n">
        <f aca="false">'Price_Technical Assumption'!Y8</f>
        <v>2022</v>
      </c>
      <c r="Y7" s="351" t="n">
        <f aca="false">'Price_Technical Assumption'!Z8</f>
        <v>2023</v>
      </c>
      <c r="Z7" s="351" t="n">
        <f aca="false">'Price_Technical Assumption'!AA8</f>
        <v>2024</v>
      </c>
      <c r="AA7" s="351" t="n">
        <f aca="false">'Price_Technical Assumption'!AB8</f>
        <v>2025</v>
      </c>
      <c r="AB7" s="351" t="n">
        <f aca="false">'Price_Technical Assumption'!AC8</f>
        <v>2026</v>
      </c>
      <c r="AC7" s="351" t="n">
        <f aca="false">'Price_Technical Assumption'!AD8</f>
        <v>2027</v>
      </c>
      <c r="AD7" s="351" t="n">
        <f aca="false">'Price_Technical Assumption'!AE8</f>
        <v>2028</v>
      </c>
      <c r="AE7" s="351" t="n">
        <f aca="false">'Price_Technical Assumption'!AF8</f>
        <v>2029</v>
      </c>
      <c r="AF7" s="351" t="n">
        <f aca="false">'Price_Technical Assumption'!AG8</f>
        <v>2030</v>
      </c>
      <c r="AG7" s="351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52"/>
      <c r="C8" s="353" t="n">
        <v>37256</v>
      </c>
      <c r="D8" s="353" t="n">
        <v>37621</v>
      </c>
      <c r="E8" s="353" t="n">
        <v>37986</v>
      </c>
      <c r="F8" s="353" t="n">
        <v>38352</v>
      </c>
      <c r="G8" s="353" t="n">
        <v>38717</v>
      </c>
      <c r="H8" s="353" t="n">
        <v>39082</v>
      </c>
      <c r="I8" s="353" t="n">
        <v>39447</v>
      </c>
      <c r="J8" s="353" t="n">
        <v>39813</v>
      </c>
      <c r="K8" s="353" t="n">
        <v>40178</v>
      </c>
      <c r="L8" s="353" t="n">
        <v>40543</v>
      </c>
      <c r="M8" s="353" t="n">
        <v>40908</v>
      </c>
      <c r="N8" s="353" t="n">
        <v>41274</v>
      </c>
      <c r="O8" s="353" t="n">
        <v>41639</v>
      </c>
      <c r="P8" s="353" t="n">
        <v>42004</v>
      </c>
      <c r="Q8" s="353" t="n">
        <v>42369</v>
      </c>
      <c r="R8" s="353" t="n">
        <v>42735</v>
      </c>
      <c r="S8" s="353" t="n">
        <v>43100</v>
      </c>
      <c r="T8" s="353" t="n">
        <v>43465</v>
      </c>
      <c r="U8" s="353" t="n">
        <v>43830</v>
      </c>
      <c r="V8" s="353" t="n">
        <v>44196</v>
      </c>
      <c r="W8" s="353" t="n">
        <v>44561</v>
      </c>
      <c r="X8" s="353" t="n">
        <v>44926</v>
      </c>
      <c r="Y8" s="353" t="n">
        <v>45291</v>
      </c>
      <c r="Z8" s="353" t="n">
        <v>45657</v>
      </c>
      <c r="AA8" s="353" t="n">
        <v>46022</v>
      </c>
      <c r="AB8" s="353" t="n">
        <v>46387</v>
      </c>
      <c r="AC8" s="353" t="n">
        <v>46752</v>
      </c>
      <c r="AD8" s="353" t="n">
        <v>47118</v>
      </c>
      <c r="AE8" s="353" t="n">
        <v>47483</v>
      </c>
      <c r="AF8" s="353" t="n">
        <v>47848</v>
      </c>
      <c r="AG8" s="353" t="n">
        <v>48213</v>
      </c>
    </row>
    <row r="9" customFormat="false" ht="12.75" hidden="false" customHeight="false" outlineLevel="0" collapsed="false">
      <c r="A9" s="354" t="s">
        <v>273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</row>
    <row r="10" customFormat="false" ht="12.75" hidden="false" customHeight="false" outlineLevel="0" collapsed="false">
      <c r="A10" s="135" t="s">
        <v>312</v>
      </c>
      <c r="C10" s="355" t="n">
        <f aca="false">IF(Assumptions!$H$55=70%,Options!C11*12*Assumptions!$H$67,IF(Assumptions!$H$55=60%,Options!C19*12*Assumptions!$H$67,IF(Assumptions!$H$55=50%,Options!C25*12*Assumptions!$H$67)))</f>
        <v>8753.28</v>
      </c>
      <c r="D10" s="355" t="n">
        <f aca="false">IF(Assumptions!$H$55=70%,Options!D11*12*Assumptions!$H$67,IF(Assumptions!$H$55=60%,Options!D19*12*Assumptions!$H$67,IF(Assumptions!$H$55=50%,Options!D25*12*Assumptions!$H$67)))</f>
        <v>8505.12</v>
      </c>
      <c r="E10" s="355" t="n">
        <f aca="false">IF(Assumptions!$H$55=70%,Options!E11*12*Assumptions!$H$67,IF(Assumptions!$H$55=60%,Options!E19*12*Assumptions!$H$67,IF(Assumptions!$H$55=50%,Options!E25*12*Assumptions!$H$67)))</f>
        <v>8392.32</v>
      </c>
      <c r="F10" s="355" t="n">
        <f aca="false">IF(Assumptions!$H$55=70%,Options!F11*12*Assumptions!$H$67,IF(Assumptions!$H$55=60%,Options!F19*12*Assumptions!$H$67,IF(Assumptions!$H$55=50%,Options!F25*12*Assumptions!$H$67)))</f>
        <v>8414.88</v>
      </c>
      <c r="G10" s="355" t="n">
        <f aca="false">IF(Assumptions!$H$55=70%,Options!G11*12*Assumptions!$H$67,IF(Assumptions!$H$55=60%,Options!G19*12*Assumptions!$H$67,IF(Assumptions!$H$55=50%,Options!G25*12*Assumptions!$H$67)))</f>
        <v>8437.44</v>
      </c>
      <c r="H10" s="355" t="n">
        <f aca="false">IF(Assumptions!$H$55=70%,Options!H11*12*Assumptions!$H$67,IF(Assumptions!$H$55=60%,Options!H19*12*Assumptions!$H$67,IF(Assumptions!$H$55=50%,Options!H25*12*Assumptions!$H$67)))</f>
        <v>8550.24</v>
      </c>
      <c r="I10" s="355" t="n">
        <f aca="false">IF(Assumptions!$H$55=70%,Options!I11*12*Assumptions!$H$67,IF(Assumptions!$H$55=60%,Options!I19*12*Assumptions!$H$67,IF(Assumptions!$H$55=50%,Options!I25*12*Assumptions!$H$67)))</f>
        <v>8640.48</v>
      </c>
      <c r="J10" s="355" t="n">
        <f aca="false">IF(Assumptions!$H$55=70%,Options!J11*12*Assumptions!$H$67,IF(Assumptions!$H$55=60%,Options!J19*12*Assumptions!$H$67,IF(Assumptions!$H$55=50%,Options!J25*12*Assumptions!$H$67)))</f>
        <v>8708.16</v>
      </c>
      <c r="K10" s="355" t="n">
        <f aca="false">IF(Assumptions!$H$55=70%,Options!K11*12*Assumptions!$H$67,IF(Assumptions!$H$55=60%,Options!K19*12*Assumptions!$H$67,IF(Assumptions!$H$55=50%,Options!K25*12*Assumptions!$H$67)))</f>
        <v>8933.76</v>
      </c>
      <c r="L10" s="355" t="n">
        <f aca="false">IF(Assumptions!$H$55=70%,Options!L11*12*Assumptions!$H$67,IF(Assumptions!$H$55=60%,Options!L19*12*Assumptions!$H$67,IF(Assumptions!$H$55=50%,Options!L25*12*Assumptions!$H$67)))</f>
        <v>8978.88</v>
      </c>
      <c r="M10" s="355" t="n">
        <f aca="false">IF(Assumptions!$H$55=70%,Options!M11*12*Assumptions!$H$67,IF(Assumptions!$H$55=60%,Options!M19*12*Assumptions!$H$67,IF(Assumptions!$H$55=50%,Options!M25*12*Assumptions!$H$67)))</f>
        <v>0</v>
      </c>
      <c r="N10" s="355" t="n">
        <f aca="false">IF(Assumptions!$H$55=70%,Options!N11*12*Assumptions!$H$67,IF(Assumptions!$H$55=60%,Options!N19*12*Assumptions!$H$67,IF(Assumptions!$H$55=50%,Options!N25*12*Assumptions!$H$67)))</f>
        <v>0</v>
      </c>
      <c r="O10" s="355" t="n">
        <f aca="false">IF(Assumptions!$H$55=70%,Options!O11*12*Assumptions!$H$67,IF(Assumptions!$H$55=60%,Options!O19*12*Assumptions!$H$67,IF(Assumptions!$H$55=50%,Options!O25*12*Assumptions!$H$67)))</f>
        <v>0</v>
      </c>
      <c r="P10" s="355" t="n">
        <f aca="false">IF(Assumptions!$H$55=70%,Options!P11*12*Assumptions!$H$67,IF(Assumptions!$H$55=60%,Options!P19*12*Assumptions!$H$67,IF(Assumptions!$H$55=50%,Options!P25*12*Assumptions!$H$67)))</f>
        <v>0</v>
      </c>
      <c r="Q10" s="355" t="n">
        <f aca="false">IF(Assumptions!$H$55=70%,Options!Q11*12*Assumptions!$H$67,IF(Assumptions!$H$55=60%,Options!Q19*12*Assumptions!$H$67,IF(Assumptions!$H$55=50%,Options!Q25*12*Assumptions!$H$67)))</f>
        <v>0</v>
      </c>
      <c r="R10" s="355" t="n">
        <f aca="false">IF(Assumptions!$H$55=70%,Options!R11*12*Assumptions!$H$67,IF(Assumptions!$H$55=60%,Options!R19*12*Assumptions!$H$67,IF(Assumptions!$H$55=50%,Options!R25*12*Assumptions!$H$67)))</f>
        <v>0</v>
      </c>
      <c r="S10" s="355" t="n">
        <f aca="false">IF(Assumptions!$H$55=70%,Options!S11*12*Assumptions!$H$67,IF(Assumptions!$H$55=60%,Options!S19*12*Assumptions!$H$67,IF(Assumptions!$H$55=50%,Options!S25*12*Assumptions!$H$67)))</f>
        <v>0</v>
      </c>
      <c r="T10" s="355" t="n">
        <f aca="false">IF(Assumptions!$H$55=70%,Options!T11*12*Assumptions!$H$67,IF(Assumptions!$H$55=60%,Options!T19*12*Assumptions!$H$67,IF(Assumptions!$H$55=50%,Options!T25*12*Assumptions!$H$67)))</f>
        <v>0</v>
      </c>
      <c r="U10" s="355" t="n">
        <f aca="false">IF(Assumptions!$H$55=70%,Options!U11*12*Assumptions!$H$67,IF(Assumptions!$H$55=60%,Options!U19*12*Assumptions!$H$67,IF(Assumptions!$H$55=50%,Options!U25*12*Assumptions!$H$67)))</f>
        <v>0</v>
      </c>
      <c r="V10" s="355" t="n">
        <f aca="false">IF(Assumptions!$H$55=70%,Options!V11*12*Assumptions!$H$67,IF(Assumptions!$H$55=60%,Options!V19*12*Assumptions!$H$67,IF(Assumptions!$H$55=50%,Options!V25*12*Assumptions!$H$67)))</f>
        <v>0</v>
      </c>
      <c r="W10" s="355" t="n">
        <f aca="false">IF(Assumptions!$H$55=70%,Options!W11*12*Assumptions!$H$67,IF(Assumptions!$H$55=60%,Options!W19*12*Assumptions!$H$67,IF(Assumptions!$H$55=50%,Options!W25*12*Assumptions!$H$67)))</f>
        <v>0</v>
      </c>
      <c r="X10" s="355" t="n">
        <f aca="false">IF(Assumptions!$H$55=70%,Options!X11*12*Assumptions!$H$67,IF(Assumptions!$H$55=60%,Options!X19*12*Assumptions!$H$67,IF(Assumptions!$H$55=50%,Options!X25*12*Assumptions!$H$67)))</f>
        <v>0</v>
      </c>
      <c r="Y10" s="355" t="n">
        <f aca="false">IF(Assumptions!$H$55=70%,Options!Y11*12*Assumptions!$H$67,IF(Assumptions!$H$55=60%,Options!Y19*12*Assumptions!$H$67,IF(Assumptions!$H$55=50%,Options!Y25*12*Assumptions!$H$67)))</f>
        <v>0</v>
      </c>
      <c r="Z10" s="355" t="n">
        <f aca="false">IF(Assumptions!$H$55=70%,Options!Z11*12*Assumptions!$H$67,IF(Assumptions!$H$55=60%,Options!Z19*12*Assumptions!$H$67,IF(Assumptions!$H$55=50%,Options!Z25*12*Assumptions!$H$67)))</f>
        <v>0</v>
      </c>
      <c r="AA10" s="355" t="n">
        <f aca="false">IF(Assumptions!$H$55=70%,Options!AA11*12*Assumptions!$H$67,IF(Assumptions!$H$55=60%,Options!AA19*12*Assumptions!$H$67,IF(Assumptions!$H$55=50%,Options!AA25*12*Assumptions!$H$67)))</f>
        <v>0</v>
      </c>
      <c r="AB10" s="355" t="n">
        <f aca="false">IF(Assumptions!$H$55=70%,Options!AB11*12*Assumptions!$H$67,IF(Assumptions!$H$55=60%,Options!AB19*12*Assumptions!$H$67,IF(Assumptions!$H$55=50%,Options!AB25*12*Assumptions!$H$67)))</f>
        <v>0</v>
      </c>
      <c r="AC10" s="355" t="n">
        <f aca="false">IF(Assumptions!$H$55=70%,Options!AC11*12*Assumptions!$H$67,IF(Assumptions!$H$55=60%,Options!AC19*12*Assumptions!$H$67,IF(Assumptions!$H$55=50%,Options!AC25*12*Assumptions!$H$67)))</f>
        <v>0</v>
      </c>
      <c r="AD10" s="355" t="n">
        <f aca="false">IF(Assumptions!$H$55=70%,Options!AD11*12*Assumptions!$H$67,IF(Assumptions!$H$55=60%,Options!AD19*12*Assumptions!$H$67,IF(Assumptions!$H$55=50%,Options!AD25*12*Assumptions!$H$67)))</f>
        <v>0</v>
      </c>
      <c r="AE10" s="355" t="n">
        <f aca="false">IF(Assumptions!$H$55=70%,Options!AE11*12*Assumptions!$H$67,IF(Assumptions!$H$55=60%,Options!AE19*12*Assumptions!$H$67,IF(Assumptions!$H$55=50%,Options!AE25*12*Assumptions!$H$67)))</f>
        <v>0</v>
      </c>
      <c r="AF10" s="355" t="n">
        <f aca="false">IF(Assumptions!$H$55=70%,Options!AF11*12*Assumptions!$H$67,IF(Assumptions!$H$55=60%,Options!AF19*12*Assumptions!$H$67,IF(Assumptions!$H$55=50%,Options!AF25*12*Assumptions!$H$67)))</f>
        <v>0</v>
      </c>
      <c r="AG10" s="355" t="n">
        <f aca="false">IF(Assumptions!$H$55=70%,Options!AG11*12*Assumptions!$H$67,IF(Assumptions!$H$55=60%,Options!AG19*12*Assumptions!$H$67,IF(Assumptions!$H$55=50%,Options!AG25*12*Assumptions!$H$67)))</f>
        <v>0</v>
      </c>
    </row>
    <row r="11" customFormat="false" ht="12.75" hidden="false" customHeight="false" outlineLevel="0" collapsed="false">
      <c r="A11" s="135" t="s">
        <v>313</v>
      </c>
      <c r="C11" s="355" t="n">
        <f aca="false">IF(Assumptions!$B$16="Yes",Options!C32/1000*'Price_Technical Assumption'!D41,0)</f>
        <v>20298.2224006</v>
      </c>
      <c r="D11" s="355" t="n">
        <f aca="false">IF(Assumptions!$B$16="Yes",Options!D32/1000*'Price_Technical Assumption'!E41,0)</f>
        <v>35625.2936166</v>
      </c>
      <c r="E11" s="355" t="n">
        <f aca="false">IF(Assumptions!$B$16="Yes",Options!E32/1000*'Price_Technical Assumption'!F41,0)</f>
        <v>38961.0094084</v>
      </c>
      <c r="F11" s="355" t="n">
        <f aca="false">IF(Assumptions!$B$16="Yes",Options!F32/1000*'Price_Technical Assumption'!G41,0)</f>
        <v>40900.9993065</v>
      </c>
      <c r="G11" s="355" t="n">
        <f aca="false">IF(Assumptions!$B$16="Yes",Options!G32/1000*'Price_Technical Assumption'!H41,0)</f>
        <v>40691.0045362</v>
      </c>
      <c r="H11" s="355" t="n">
        <f aca="false">IF(Assumptions!$B$16="Yes",Options!H32/1000*'Price_Technical Assumption'!I41,0)</f>
        <v>40391.4632268</v>
      </c>
      <c r="I11" s="355" t="n">
        <f aca="false">IF(Assumptions!$B$16="Yes",Options!I32/1000*'Price_Technical Assumption'!J41,0)</f>
        <v>37869.1429226</v>
      </c>
      <c r="J11" s="355" t="n">
        <f aca="false">IF(Assumptions!$B$16="Yes",Options!J32/1000*'Price_Technical Assumption'!K41,0)</f>
        <v>38338.0870496</v>
      </c>
      <c r="K11" s="355" t="n">
        <f aca="false">IF(Assumptions!$B$16="Yes",Options!K32/1000*'Price_Technical Assumption'!L41,0)</f>
        <v>37884.584863</v>
      </c>
      <c r="L11" s="355" t="n">
        <f aca="false">IF(Assumptions!$B$16="Yes",Options!L32/1000*'Price_Technical Assumption'!M41,0)</f>
        <v>25750.933593</v>
      </c>
      <c r="M11" s="355" t="n">
        <f aca="false">Options!M32/1000*'Price_Technical Assumption'!N41</f>
        <v>0</v>
      </c>
      <c r="N11" s="355" t="n">
        <f aca="false">Options!N32/1000*'Price_Technical Assumption'!O41</f>
        <v>0</v>
      </c>
      <c r="O11" s="355" t="n">
        <f aca="false">Options!O32/1000*'Price_Technical Assumption'!P41</f>
        <v>0</v>
      </c>
      <c r="P11" s="355" t="n">
        <f aca="false">Options!P32/1000*'Price_Technical Assumption'!Q41</f>
        <v>0</v>
      </c>
      <c r="Q11" s="355" t="n">
        <f aca="false">Options!Q32/1000*'Price_Technical Assumption'!R41</f>
        <v>0</v>
      </c>
      <c r="R11" s="355" t="n">
        <f aca="false">Options!R32/1000*'Price_Technical Assumption'!S41</f>
        <v>0</v>
      </c>
      <c r="S11" s="355" t="n">
        <f aca="false">Options!S32/1000*'Price_Technical Assumption'!T41</f>
        <v>0</v>
      </c>
      <c r="T11" s="355" t="n">
        <f aca="false">Options!T32/1000*'Price_Technical Assumption'!U41</f>
        <v>0</v>
      </c>
      <c r="U11" s="355" t="n">
        <f aca="false">Options!U32/1000*'Price_Technical Assumption'!V41</f>
        <v>0</v>
      </c>
      <c r="V11" s="355" t="n">
        <f aca="false">Options!V32/1000*'Price_Technical Assumption'!W41</f>
        <v>0</v>
      </c>
      <c r="W11" s="355" t="n">
        <f aca="false">Options!W32/1000*'Price_Technical Assumption'!X41</f>
        <v>0</v>
      </c>
      <c r="X11" s="355" t="n">
        <f aca="false">Options!X32/1000*'Price_Technical Assumption'!Y41</f>
        <v>0</v>
      </c>
      <c r="Y11" s="355" t="n">
        <f aca="false">Options!Y32/1000*'Price_Technical Assumption'!Z41</f>
        <v>0</v>
      </c>
      <c r="Z11" s="355" t="n">
        <f aca="false">Options!Z32/1000*'Price_Technical Assumption'!AA41</f>
        <v>0</v>
      </c>
      <c r="AA11" s="355" t="n">
        <f aca="false">Options!AA32/1000*'Price_Technical Assumption'!AB41</f>
        <v>0</v>
      </c>
      <c r="AB11" s="355" t="n">
        <f aca="false">Options!AB32/1000*'Price_Technical Assumption'!AC41</f>
        <v>0</v>
      </c>
      <c r="AC11" s="355" t="n">
        <f aca="false">Options!AC32/1000*'Price_Technical Assumption'!AD41</f>
        <v>0</v>
      </c>
      <c r="AD11" s="355" t="n">
        <f aca="false">Options!AD32/1000*'Price_Technical Assumption'!AE41</f>
        <v>0</v>
      </c>
      <c r="AE11" s="355" t="n">
        <f aca="false">Options!AE32/1000*'Price_Technical Assumption'!AF41</f>
        <v>0</v>
      </c>
      <c r="AF11" s="355" t="n">
        <f aca="false">Options!AF32/1000*'Price_Technical Assumption'!AG41</f>
        <v>0</v>
      </c>
      <c r="AG11" s="355" t="n">
        <f aca="false">Options!AG32/1000*'Price_Technical Assumption'!AH41</f>
        <v>0</v>
      </c>
    </row>
    <row r="12" customFormat="false" ht="12.75" hidden="false" customHeight="false" outlineLevel="0" collapsed="false">
      <c r="A12" s="356" t="s">
        <v>314</v>
      </c>
      <c r="C12" s="357" t="n">
        <f aca="false">2*6*Assumptions!H69</f>
        <v>2256</v>
      </c>
      <c r="D12" s="357" t="n">
        <v>0</v>
      </c>
      <c r="E12" s="357" t="n">
        <v>0</v>
      </c>
      <c r="F12" s="357" t="n">
        <v>0</v>
      </c>
      <c r="G12" s="357" t="n">
        <v>0</v>
      </c>
      <c r="H12" s="357" t="n">
        <v>0</v>
      </c>
      <c r="I12" s="357" t="n">
        <v>0</v>
      </c>
      <c r="J12" s="357" t="n">
        <v>0</v>
      </c>
      <c r="K12" s="357" t="n">
        <v>0</v>
      </c>
      <c r="L12" s="357" t="n">
        <v>0</v>
      </c>
      <c r="M12" s="357" t="n">
        <v>0</v>
      </c>
      <c r="N12" s="357" t="n">
        <v>0</v>
      </c>
      <c r="O12" s="357" t="n">
        <v>0</v>
      </c>
      <c r="P12" s="357" t="n">
        <v>0</v>
      </c>
      <c r="Q12" s="357" t="n">
        <v>0</v>
      </c>
      <c r="R12" s="357" t="n">
        <v>0</v>
      </c>
      <c r="S12" s="357" t="n">
        <v>0</v>
      </c>
      <c r="T12" s="357" t="n">
        <v>0</v>
      </c>
      <c r="U12" s="357" t="n">
        <v>0</v>
      </c>
      <c r="V12" s="357" t="n">
        <v>0</v>
      </c>
      <c r="W12" s="357" t="n">
        <v>0</v>
      </c>
      <c r="X12" s="357" t="n">
        <v>0</v>
      </c>
      <c r="Y12" s="357" t="n">
        <v>0</v>
      </c>
      <c r="Z12" s="357" t="n">
        <v>0</v>
      </c>
      <c r="AA12" s="357" t="n">
        <v>0</v>
      </c>
      <c r="AB12" s="357" t="n">
        <v>0</v>
      </c>
      <c r="AC12" s="357" t="n">
        <v>0</v>
      </c>
      <c r="AD12" s="357" t="n">
        <v>0</v>
      </c>
      <c r="AE12" s="357" t="n">
        <v>0</v>
      </c>
      <c r="AF12" s="357" t="n">
        <v>0</v>
      </c>
      <c r="AG12" s="357" t="n">
        <v>0</v>
      </c>
    </row>
    <row r="13" customFormat="false" ht="12.75" hidden="false" customHeight="false" outlineLevel="0" collapsed="false">
      <c r="A13" s="352" t="s">
        <v>315</v>
      </c>
      <c r="B13" s="253"/>
      <c r="C13" s="358" t="n">
        <f aca="false">SUM(C10:C12)</f>
        <v>31307.5024006</v>
      </c>
      <c r="D13" s="358" t="n">
        <f aca="false">SUM(D10:D12)</f>
        <v>44130.4136166</v>
      </c>
      <c r="E13" s="358" t="n">
        <f aca="false">SUM(E10:E12)</f>
        <v>47353.3294084</v>
      </c>
      <c r="F13" s="358" t="n">
        <f aca="false">SUM(F10:F12)</f>
        <v>49315.8793065</v>
      </c>
      <c r="G13" s="358" t="n">
        <f aca="false">SUM(G10:G12)</f>
        <v>49128.4445362</v>
      </c>
      <c r="H13" s="358" t="n">
        <f aca="false">SUM(H10:H12)</f>
        <v>48941.7032268</v>
      </c>
      <c r="I13" s="358" t="n">
        <f aca="false">SUM(I10:I12)</f>
        <v>46509.6229226</v>
      </c>
      <c r="J13" s="358" t="n">
        <f aca="false">SUM(J10:J12)</f>
        <v>47046.2470496</v>
      </c>
      <c r="K13" s="358" t="n">
        <f aca="false">SUM(K10:K12)</f>
        <v>46818.344863</v>
      </c>
      <c r="L13" s="358" t="n">
        <f aca="false">SUM(L10:L12)</f>
        <v>34729.813593</v>
      </c>
      <c r="M13" s="358" t="n">
        <f aca="false">SUM(M10:M12)</f>
        <v>0</v>
      </c>
      <c r="N13" s="358" t="n">
        <f aca="false">SUM(N10:N12)</f>
        <v>0</v>
      </c>
      <c r="O13" s="358" t="n">
        <f aca="false">SUM(O10:O12)</f>
        <v>0</v>
      </c>
      <c r="P13" s="358" t="n">
        <f aca="false">SUM(P10:P12)</f>
        <v>0</v>
      </c>
      <c r="Q13" s="358" t="n">
        <f aca="false">SUM(Q10:Q12)</f>
        <v>0</v>
      </c>
      <c r="R13" s="358" t="n">
        <f aca="false">SUM(R10:R12)</f>
        <v>0</v>
      </c>
      <c r="S13" s="358" t="n">
        <f aca="false">SUM(S10:S12)</f>
        <v>0</v>
      </c>
      <c r="T13" s="358" t="n">
        <f aca="false">SUM(T10:T12)</f>
        <v>0</v>
      </c>
      <c r="U13" s="358" t="n">
        <f aca="false">SUM(U10:U12)</f>
        <v>0</v>
      </c>
      <c r="V13" s="358" t="n">
        <f aca="false">SUM(V10:V12)</f>
        <v>0</v>
      </c>
      <c r="W13" s="358" t="n">
        <f aca="false">SUM(W10:W12)</f>
        <v>0</v>
      </c>
      <c r="X13" s="358" t="n">
        <f aca="false">SUM(X10:X12)</f>
        <v>0</v>
      </c>
      <c r="Y13" s="358" t="n">
        <f aca="false">SUM(Y10:Y12)</f>
        <v>0</v>
      </c>
      <c r="Z13" s="358" t="n">
        <f aca="false">SUM(Z10:Z12)</f>
        <v>0</v>
      </c>
      <c r="AA13" s="358" t="n">
        <f aca="false">SUM(AA10:AA12)</f>
        <v>0</v>
      </c>
      <c r="AB13" s="358" t="n">
        <f aca="false">SUM(AB10:AB12)</f>
        <v>0</v>
      </c>
      <c r="AC13" s="358" t="n">
        <f aca="false">SUM(AC10:AC12)</f>
        <v>0</v>
      </c>
      <c r="AD13" s="358" t="n">
        <f aca="false">SUM(AD10:AD12)</f>
        <v>0</v>
      </c>
      <c r="AE13" s="358" t="n">
        <f aca="false">SUM(AE10:AE12)</f>
        <v>0</v>
      </c>
      <c r="AF13" s="358" t="n">
        <f aca="false">SUM(AF10:AF12)</f>
        <v>0</v>
      </c>
      <c r="AG13" s="358" t="n">
        <f aca="false">SUM(AG10:AG12)</f>
        <v>0</v>
      </c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  <c r="IN13" s="253"/>
      <c r="IO13" s="253"/>
      <c r="IP13" s="253"/>
      <c r="IQ13" s="253"/>
      <c r="IR13" s="253"/>
      <c r="IS13" s="253"/>
      <c r="IT13" s="253"/>
      <c r="IU13" s="253"/>
      <c r="IV13" s="253"/>
      <c r="IW13" s="253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4" t="s">
        <v>316</v>
      </c>
      <c r="Y15" s="1"/>
      <c r="Z15" s="1"/>
    </row>
    <row r="16" customFormat="false" ht="12.75" hidden="false" customHeight="false" outlineLevel="0" collapsed="false">
      <c r="A16" s="3" t="s">
        <v>317</v>
      </c>
      <c r="C16" s="359" t="n">
        <f aca="false">IF(Assumptions!$B$16="Yes",Options!C33,0)</f>
        <v>15094.311</v>
      </c>
      <c r="D16" s="359" t="n">
        <f aca="false">IF(Assumptions!$B$16="Yes",Options!D33,0)</f>
        <v>24529.596</v>
      </c>
      <c r="E16" s="359" t="n">
        <f aca="false">IF(Assumptions!$B$16="Yes",Options!E33,0)</f>
        <v>26860.987</v>
      </c>
      <c r="F16" s="359" t="n">
        <f aca="false">IF(Assumptions!$B$16="Yes",Options!F33,0)</f>
        <v>28207.44</v>
      </c>
      <c r="G16" s="359" t="n">
        <f aca="false">IF(Assumptions!$B$16="Yes",Options!G33,0)</f>
        <v>28131.985</v>
      </c>
      <c r="H16" s="359" t="n">
        <f aca="false">IF(Assumptions!$B$16="Yes",Options!H33,0)</f>
        <v>28053.979</v>
      </c>
      <c r="I16" s="359" t="n">
        <f aca="false">IF(Assumptions!$B$16="Yes",Options!I33,0)</f>
        <v>26286.585</v>
      </c>
      <c r="J16" s="359" t="n">
        <f aca="false">IF(Assumptions!$B$16="Yes",Options!J33,0)</f>
        <v>26802.971</v>
      </c>
      <c r="K16" s="359" t="n">
        <f aca="false">IF(Assumptions!$B$16="Yes",Options!K33,0)</f>
        <v>26892.872</v>
      </c>
      <c r="L16" s="359" t="n">
        <f aca="false">IF(Assumptions!$B$16="Yes",Options!L33,0)</f>
        <v>19682.798</v>
      </c>
      <c r="M16" s="359" t="n">
        <f aca="false">IF(Assumptions!$B$16="Yes",Options!M33,0)</f>
        <v>0</v>
      </c>
      <c r="N16" s="359" t="n">
        <f aca="false">IF(Assumptions!$B$16="Yes",Options!N33,0)</f>
        <v>0</v>
      </c>
      <c r="O16" s="359" t="n">
        <f aca="false">IF(Assumptions!$B$16="Yes",Options!O33,0)</f>
        <v>0</v>
      </c>
      <c r="P16" s="359" t="n">
        <f aca="false">IF(Assumptions!$B$16="Yes",Options!P33,0)</f>
        <v>0</v>
      </c>
      <c r="Q16" s="359" t="n">
        <f aca="false">IF(Assumptions!$B$16="Yes",Options!Q33,0)</f>
        <v>0</v>
      </c>
      <c r="R16" s="359" t="n">
        <f aca="false">IF(Assumptions!$B$16="Yes",Options!R33,0)</f>
        <v>0</v>
      </c>
      <c r="S16" s="359" t="n">
        <f aca="false">IF(Assumptions!$B$16="Yes",Options!S33,0)</f>
        <v>0</v>
      </c>
      <c r="T16" s="359" t="n">
        <f aca="false">IF(Assumptions!$B$16="Yes",Options!T33,0)</f>
        <v>0</v>
      </c>
      <c r="U16" s="359" t="n">
        <f aca="false">IF(Assumptions!$B$16="Yes",Options!U33,0)</f>
        <v>0</v>
      </c>
      <c r="V16" s="359" t="n">
        <f aca="false">IF(Assumptions!$B$16="Yes",Options!V33,0)</f>
        <v>0</v>
      </c>
      <c r="W16" s="359" t="n">
        <f aca="false">IF(Assumptions!$B$16="Yes",Options!W33,0)</f>
        <v>0</v>
      </c>
      <c r="X16" s="359" t="n">
        <f aca="false">IF(Assumptions!$B$16="Yes",Options!X33,0)</f>
        <v>0</v>
      </c>
      <c r="Y16" s="359" t="n">
        <f aca="false">IF(Assumptions!$B$16="Yes",Options!Y33,0)</f>
        <v>0</v>
      </c>
      <c r="Z16" s="359" t="n">
        <f aca="false">IF(Assumptions!$B$16="Yes",Options!Z33,0)</f>
        <v>0</v>
      </c>
      <c r="AA16" s="359" t="n">
        <f aca="false">IF(Assumptions!$B$16="Yes",Options!AA33,0)</f>
        <v>0</v>
      </c>
      <c r="AB16" s="359" t="n">
        <f aca="false">IF(Assumptions!$B$16="Yes",Options!AB33,0)</f>
        <v>0</v>
      </c>
      <c r="AC16" s="359" t="n">
        <f aca="false">IF(Assumptions!$B$16="Yes",Options!AC33,0)</f>
        <v>0</v>
      </c>
      <c r="AD16" s="359" t="n">
        <f aca="false">IF(Assumptions!$B$16="Yes",Options!AD33,0)</f>
        <v>0</v>
      </c>
      <c r="AE16" s="359" t="n">
        <f aca="false">IF(Assumptions!$B$16="Yes",Options!AE33,0)</f>
        <v>0</v>
      </c>
      <c r="AF16" s="359" t="n">
        <f aca="false">IF(Assumptions!$B$16="Yes",Options!AF33,0)</f>
        <v>0</v>
      </c>
      <c r="AG16" s="359" t="n">
        <f aca="false">IF(Assumptions!$B$16="Yes",Options!AG33,0)</f>
        <v>0</v>
      </c>
      <c r="AH16" s="359"/>
      <c r="AI16" s="359"/>
      <c r="AJ16" s="359"/>
      <c r="AK16" s="359"/>
      <c r="AL16" s="359"/>
      <c r="AM16" s="359"/>
      <c r="AN16" s="359"/>
      <c r="AO16" s="359"/>
      <c r="AP16" s="359"/>
      <c r="AQ16" s="359"/>
    </row>
    <row r="17" customFormat="false" ht="12.75" hidden="false" customHeight="false" outlineLevel="0" collapsed="false">
      <c r="A17" s="135" t="s">
        <v>135</v>
      </c>
      <c r="C17" s="355" t="n">
        <f aca="false">Assumptions!$N19*C6</f>
        <v>300</v>
      </c>
      <c r="D17" s="355" t="n">
        <f aca="false">Assumptions!$N19*(1+Assumptions!$N$11)</f>
        <v>463.5</v>
      </c>
      <c r="E17" s="355" t="n">
        <f aca="false">D17*(1+Assumptions!$N$11)</f>
        <v>477.405</v>
      </c>
      <c r="F17" s="355" t="n">
        <f aca="false">E17*(1+Assumptions!$N$11)</f>
        <v>491.72715</v>
      </c>
      <c r="G17" s="355" t="n">
        <f aca="false">F17*(1+Assumptions!$N$11)</f>
        <v>506.4789645</v>
      </c>
      <c r="H17" s="355" t="n">
        <f aca="false">G17*(1+Assumptions!$N$11)</f>
        <v>521.673333435</v>
      </c>
      <c r="I17" s="355" t="n">
        <f aca="false">H17*(1+Assumptions!$N$11)</f>
        <v>537.32353343805</v>
      </c>
      <c r="J17" s="355" t="n">
        <f aca="false">I17*(1+Assumptions!$N$11)</f>
        <v>553.443239441192</v>
      </c>
      <c r="K17" s="355" t="n">
        <f aca="false">J17*(1+Assumptions!$N$11)</f>
        <v>570.046536624428</v>
      </c>
      <c r="L17" s="355" t="n">
        <f aca="false">K17*(1+Assumptions!$N$11)</f>
        <v>587.14793272316</v>
      </c>
      <c r="M17" s="355" t="n">
        <f aca="false">L17*(1+Assumptions!$N$11)</f>
        <v>604.762370704855</v>
      </c>
      <c r="N17" s="355" t="n">
        <f aca="false">M17*(1+Assumptions!$N$11)</f>
        <v>622.905241826001</v>
      </c>
      <c r="O17" s="355" t="n">
        <f aca="false">N17*(1+Assumptions!$N$11)</f>
        <v>641.592399080781</v>
      </c>
      <c r="P17" s="355" t="n">
        <f aca="false">O17*(1+Assumptions!$N$11)</f>
        <v>660.840171053204</v>
      </c>
      <c r="Q17" s="355" t="n">
        <f aca="false">P17*(1+Assumptions!$N$11)</f>
        <v>680.6653761848</v>
      </c>
      <c r="R17" s="355" t="n">
        <f aca="false">Q17*(1+Assumptions!$N$11)</f>
        <v>701.085337470344</v>
      </c>
      <c r="S17" s="355" t="n">
        <f aca="false">R17*(1+Assumptions!$N$11)</f>
        <v>722.117897594455</v>
      </c>
      <c r="T17" s="355" t="n">
        <f aca="false">S17*(1+Assumptions!$N$11)</f>
        <v>743.781434522288</v>
      </c>
      <c r="U17" s="355" t="n">
        <f aca="false">T17*(1+Assumptions!$N$11)</f>
        <v>766.094877557957</v>
      </c>
      <c r="V17" s="355" t="n">
        <f aca="false">U17*(1+Assumptions!$N$11)</f>
        <v>789.077723884696</v>
      </c>
      <c r="W17" s="355" t="n">
        <f aca="false">V17*(1+Assumptions!$N$11)</f>
        <v>812.750055601237</v>
      </c>
      <c r="X17" s="355" t="n">
        <f aca="false">W17*(1+Assumptions!$N$11)</f>
        <v>837.132557269274</v>
      </c>
      <c r="Y17" s="355" t="n">
        <f aca="false">X17*(1+Assumptions!$N$11)</f>
        <v>862.246533987352</v>
      </c>
      <c r="Z17" s="355" t="n">
        <f aca="false">Y17*(1+Assumptions!$N$11)</f>
        <v>888.113930006973</v>
      </c>
      <c r="AA17" s="355" t="n">
        <f aca="false">Z17*(1+Assumptions!$N$11)</f>
        <v>914.757347907182</v>
      </c>
      <c r="AB17" s="355" t="n">
        <f aca="false">AA17*(1+Assumptions!$N$11)</f>
        <v>942.200068344397</v>
      </c>
      <c r="AC17" s="355" t="n">
        <f aca="false">AB17*(1+Assumptions!$N$11)</f>
        <v>970.466070394729</v>
      </c>
      <c r="AD17" s="355" t="n">
        <f aca="false">AC17*(1+Assumptions!$N$11)</f>
        <v>999.580052506571</v>
      </c>
      <c r="AE17" s="355" t="n">
        <f aca="false">AD17*(1+Assumptions!$N$11)</f>
        <v>1029.56745408177</v>
      </c>
      <c r="AF17" s="355" t="n">
        <f aca="false">AE17*(1+Assumptions!$N$11)</f>
        <v>1060.45447770422</v>
      </c>
      <c r="AG17" s="355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5" t="n">
        <f aca="false">Assumptions!$N20*Assumptions!H18/12</f>
        <v>133.333333333333</v>
      </c>
      <c r="D18" s="355" t="n">
        <f aca="false">Assumptions!$N20*(1+Assumptions!$N$11)</f>
        <v>206</v>
      </c>
      <c r="E18" s="355" t="n">
        <f aca="false">D18*(1+Assumptions!$N$11)</f>
        <v>212.18</v>
      </c>
      <c r="F18" s="355" t="n">
        <f aca="false">E18*(1+Assumptions!$N$11)</f>
        <v>218.5454</v>
      </c>
      <c r="G18" s="355" t="n">
        <f aca="false">F18*(1+Assumptions!$N$11)</f>
        <v>225.101762</v>
      </c>
      <c r="H18" s="355" t="n">
        <f aca="false">G18*(1+Assumptions!$N$11)</f>
        <v>231.85481486</v>
      </c>
      <c r="I18" s="355" t="n">
        <f aca="false">H18*(1+Assumptions!$N$11)</f>
        <v>238.8104593058</v>
      </c>
      <c r="J18" s="355" t="n">
        <f aca="false">I18*(1+Assumptions!$N$11)</f>
        <v>245.974773084974</v>
      </c>
      <c r="K18" s="355" t="n">
        <f aca="false">J18*(1+Assumptions!$N$11)</f>
        <v>253.354016277523</v>
      </c>
      <c r="L18" s="355" t="n">
        <f aca="false">K18*(1+Assumptions!$N$11)</f>
        <v>260.954636765849</v>
      </c>
      <c r="M18" s="355" t="n">
        <f aca="false">L18*(1+Assumptions!$N$11)</f>
        <v>268.783275868824</v>
      </c>
      <c r="N18" s="355" t="n">
        <f aca="false">M18*(1+Assumptions!$N$11)</f>
        <v>276.846774144889</v>
      </c>
      <c r="O18" s="355" t="n">
        <f aca="false">N18*(1+Assumptions!$N$11)</f>
        <v>285.152177369236</v>
      </c>
      <c r="P18" s="355" t="n">
        <f aca="false">O18*(1+Assumptions!$N$11)</f>
        <v>293.706742690313</v>
      </c>
      <c r="Q18" s="355" t="n">
        <f aca="false">P18*(1+Assumptions!$N$11)</f>
        <v>302.517944971022</v>
      </c>
      <c r="R18" s="355" t="n">
        <f aca="false">Q18*(1+Assumptions!$N$11)</f>
        <v>311.593483320153</v>
      </c>
      <c r="S18" s="355" t="n">
        <f aca="false">R18*(1+Assumptions!$N$11)</f>
        <v>320.941287819758</v>
      </c>
      <c r="T18" s="355" t="n">
        <f aca="false">S18*(1+Assumptions!$N$11)</f>
        <v>330.56952645435</v>
      </c>
      <c r="U18" s="355" t="n">
        <f aca="false">T18*(1+Assumptions!$N$11)</f>
        <v>340.486612247981</v>
      </c>
      <c r="V18" s="355" t="n">
        <f aca="false">U18*(1+Assumptions!$N$11)</f>
        <v>350.70121061542</v>
      </c>
      <c r="W18" s="355" t="n">
        <f aca="false">V18*(1+Assumptions!$N$11)</f>
        <v>361.222246933883</v>
      </c>
      <c r="X18" s="355" t="n">
        <f aca="false">W18*(1+Assumptions!$N$11)</f>
        <v>372.058914341899</v>
      </c>
      <c r="Y18" s="355" t="n">
        <f aca="false">X18*(1+Assumptions!$N$11)</f>
        <v>383.220681772156</v>
      </c>
      <c r="Z18" s="355" t="n">
        <f aca="false">Y18*(1+Assumptions!$N$11)</f>
        <v>394.717302225321</v>
      </c>
      <c r="AA18" s="355" t="n">
        <f aca="false">Z18*(1+Assumptions!$N$11)</f>
        <v>406.558821292081</v>
      </c>
      <c r="AB18" s="355" t="n">
        <f aca="false">AA18*(1+Assumptions!$N$11)</f>
        <v>418.755585930843</v>
      </c>
      <c r="AC18" s="355" t="n">
        <f aca="false">AB18*(1+Assumptions!$N$11)</f>
        <v>431.318253508768</v>
      </c>
      <c r="AD18" s="355" t="n">
        <f aca="false">AC18*(1+Assumptions!$N$11)</f>
        <v>444.257801114031</v>
      </c>
      <c r="AE18" s="355" t="n">
        <f aca="false">AD18*(1+Assumptions!$N$11)</f>
        <v>457.585535147452</v>
      </c>
      <c r="AF18" s="355" t="n">
        <f aca="false">AE18*(1+Assumptions!$N$11)</f>
        <v>471.313101201876</v>
      </c>
      <c r="AG18" s="355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5" t="n">
        <f aca="false">Assumptions!$N21*Assumptions!H18/12</f>
        <v>100</v>
      </c>
      <c r="D19" s="355" t="n">
        <f aca="false">(Assumptions!$N21)*(1+Assumptions!$N$11)</f>
        <v>154.5</v>
      </c>
      <c r="E19" s="355" t="n">
        <f aca="false">D19*(1+Assumptions!$N$11)</f>
        <v>159.135</v>
      </c>
      <c r="F19" s="355" t="n">
        <f aca="false">E19*(1+Assumptions!$N$11)</f>
        <v>163.90905</v>
      </c>
      <c r="G19" s="355" t="n">
        <f aca="false">F19*(1+Assumptions!$N$11)</f>
        <v>168.8263215</v>
      </c>
      <c r="H19" s="355" t="n">
        <f aca="false">G19*(1+Assumptions!$N$11)</f>
        <v>173.891111145</v>
      </c>
      <c r="I19" s="355" t="n">
        <f aca="false">H19*(1+Assumptions!$N$11)</f>
        <v>179.10784447935</v>
      </c>
      <c r="J19" s="355" t="n">
        <f aca="false">I19*(1+Assumptions!$N$11)</f>
        <v>184.481079813731</v>
      </c>
      <c r="K19" s="355" t="n">
        <f aca="false">J19*(1+Assumptions!$N$11)</f>
        <v>190.015512208142</v>
      </c>
      <c r="L19" s="355" t="n">
        <f aca="false">K19*(1+Assumptions!$N$11)</f>
        <v>195.715977574387</v>
      </c>
      <c r="M19" s="355" t="n">
        <f aca="false">L19*(1+Assumptions!$N$11)</f>
        <v>201.587456901618</v>
      </c>
      <c r="N19" s="355" t="n">
        <f aca="false">M19*(1+Assumptions!$N$11)</f>
        <v>207.635080608667</v>
      </c>
      <c r="O19" s="355" t="n">
        <f aca="false">N19*(1+Assumptions!$N$11)</f>
        <v>213.864133026927</v>
      </c>
      <c r="P19" s="355" t="n">
        <f aca="false">O19*(1+Assumptions!$N$11)</f>
        <v>220.280057017735</v>
      </c>
      <c r="Q19" s="355" t="n">
        <f aca="false">P19*(1+Assumptions!$N$11)</f>
        <v>226.888458728267</v>
      </c>
      <c r="R19" s="355" t="n">
        <f aca="false">Q19*(1+Assumptions!$N$11)</f>
        <v>233.695112490115</v>
      </c>
      <c r="S19" s="355" t="n">
        <f aca="false">R19*(1+Assumptions!$N$11)</f>
        <v>240.705965864818</v>
      </c>
      <c r="T19" s="355" t="n">
        <f aca="false">S19*(1+Assumptions!$N$11)</f>
        <v>247.927144840763</v>
      </c>
      <c r="U19" s="355" t="n">
        <f aca="false">T19*(1+Assumptions!$N$11)</f>
        <v>255.364959185986</v>
      </c>
      <c r="V19" s="355" t="n">
        <f aca="false">U19*(1+Assumptions!$N$11)</f>
        <v>263.025907961565</v>
      </c>
      <c r="W19" s="355" t="n">
        <f aca="false">V19*(1+Assumptions!$N$11)</f>
        <v>270.916685200412</v>
      </c>
      <c r="X19" s="355" t="n">
        <f aca="false">W19*(1+Assumptions!$N$11)</f>
        <v>279.044185756425</v>
      </c>
      <c r="Y19" s="355" t="n">
        <f aca="false">X19*(1+Assumptions!$N$11)</f>
        <v>287.415511329117</v>
      </c>
      <c r="Z19" s="355" t="n">
        <f aca="false">Y19*(1+Assumptions!$N$11)</f>
        <v>296.037976668991</v>
      </c>
      <c r="AA19" s="355" t="n">
        <f aca="false">Z19*(1+Assumptions!$N$11)</f>
        <v>304.919115969061</v>
      </c>
      <c r="AB19" s="355" t="n">
        <f aca="false">AA19*(1+Assumptions!$N$11)</f>
        <v>314.066689448132</v>
      </c>
      <c r="AC19" s="355" t="n">
        <f aca="false">AB19*(1+Assumptions!$N$11)</f>
        <v>323.488690131576</v>
      </c>
      <c r="AD19" s="355" t="n">
        <f aca="false">AC19*(1+Assumptions!$N$11)</f>
        <v>333.193350835524</v>
      </c>
      <c r="AE19" s="355" t="n">
        <f aca="false">AD19*(1+Assumptions!$N$11)</f>
        <v>343.189151360589</v>
      </c>
      <c r="AF19" s="355" t="n">
        <f aca="false">AE19*(1+Assumptions!$N$11)</f>
        <v>353.484825901407</v>
      </c>
      <c r="AG19" s="355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5" t="n">
        <f aca="false">+Assumptions!N22</f>
        <v>0</v>
      </c>
      <c r="D20" s="355" t="n">
        <f aca="false">+Assumptions!N22*(1+Assumptions!$N$11)</f>
        <v>0</v>
      </c>
      <c r="E20" s="355" t="n">
        <f aca="false">D20*(1+Assumptions!$N$11)</f>
        <v>0</v>
      </c>
      <c r="F20" s="355" t="n">
        <f aca="false">E20*(1+Assumptions!$N$11)</f>
        <v>0</v>
      </c>
      <c r="G20" s="355" t="n">
        <f aca="false">F20*(1+Assumptions!$N$11)</f>
        <v>0</v>
      </c>
      <c r="H20" s="355" t="n">
        <f aca="false">G20*(1+Assumptions!$N$11)</f>
        <v>0</v>
      </c>
      <c r="I20" s="355" t="n">
        <f aca="false">H20*(1+Assumptions!$N$11)</f>
        <v>0</v>
      </c>
      <c r="J20" s="355" t="n">
        <f aca="false">I20*(1+Assumptions!$N$11)</f>
        <v>0</v>
      </c>
      <c r="K20" s="355" t="n">
        <f aca="false">J20*(1+Assumptions!$N$11)</f>
        <v>0</v>
      </c>
      <c r="L20" s="355" t="n">
        <f aca="false">K20*(1+Assumptions!$N$11)</f>
        <v>0</v>
      </c>
      <c r="M20" s="355" t="n">
        <f aca="false">L20*(1+Assumptions!$N$11)</f>
        <v>0</v>
      </c>
      <c r="N20" s="355" t="n">
        <f aca="false">M20*(1+Assumptions!$N$11)</f>
        <v>0</v>
      </c>
      <c r="O20" s="355" t="n">
        <f aca="false">N20*(1+Assumptions!$N$11)</f>
        <v>0</v>
      </c>
      <c r="P20" s="355" t="n">
        <f aca="false">O20*(1+Assumptions!$N$11)</f>
        <v>0</v>
      </c>
      <c r="Q20" s="355" t="n">
        <f aca="false">P20*(1+Assumptions!$N$11)</f>
        <v>0</v>
      </c>
      <c r="R20" s="355" t="n">
        <f aca="false">Q20*(1+Assumptions!$N$11)</f>
        <v>0</v>
      </c>
      <c r="S20" s="355" t="n">
        <f aca="false">R20*(1+Assumptions!$N$11)</f>
        <v>0</v>
      </c>
      <c r="T20" s="355" t="n">
        <f aca="false">S20*(1+Assumptions!$N$11)</f>
        <v>0</v>
      </c>
      <c r="U20" s="355" t="n">
        <f aca="false">T20*(1+Assumptions!$N$11)</f>
        <v>0</v>
      </c>
      <c r="V20" s="355" t="n">
        <f aca="false">U20*(1+Assumptions!$N$11)</f>
        <v>0</v>
      </c>
      <c r="W20" s="355" t="n">
        <f aca="false">V20*(1+Assumptions!$N$11)</f>
        <v>0</v>
      </c>
      <c r="X20" s="355" t="n">
        <f aca="false">W20*(1+Assumptions!$N$11)</f>
        <v>0</v>
      </c>
      <c r="Y20" s="355" t="n">
        <f aca="false">X20*(1+Assumptions!$N$11)</f>
        <v>0</v>
      </c>
      <c r="Z20" s="355" t="n">
        <f aca="false">Y20*(1+Assumptions!$N$11)</f>
        <v>0</v>
      </c>
      <c r="AA20" s="355" t="n">
        <f aca="false">Z20*(1+Assumptions!$N$11)</f>
        <v>0</v>
      </c>
      <c r="AB20" s="355" t="n">
        <f aca="false">AA20*(1+Assumptions!$N$11)</f>
        <v>0</v>
      </c>
      <c r="AC20" s="355" t="n">
        <f aca="false">AB20*(1+Assumptions!$N$11)</f>
        <v>0</v>
      </c>
      <c r="AD20" s="355" t="n">
        <f aca="false">AC20*(1+Assumptions!$N$11)</f>
        <v>0</v>
      </c>
      <c r="AE20" s="355" t="n">
        <f aca="false">AD20*(1+Assumptions!$N$11)</f>
        <v>0</v>
      </c>
      <c r="AF20" s="355" t="n">
        <f aca="false">AE20*(1+Assumptions!$N$11)</f>
        <v>0</v>
      </c>
      <c r="AG20" s="355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60" t="n">
        <v>400</v>
      </c>
      <c r="D21" s="361" t="n">
        <f aca="false">C21*(1+Assumptions!$P$30)</f>
        <v>408</v>
      </c>
      <c r="E21" s="361" t="n">
        <f aca="false">D21*(1+Assumptions!$P$30)</f>
        <v>416.16</v>
      </c>
      <c r="F21" s="361" t="n">
        <f aca="false">E21*(1+Assumptions!$P$30)</f>
        <v>424.4832</v>
      </c>
      <c r="G21" s="361" t="n">
        <f aca="false">F21*(1+Assumptions!$P$30)</f>
        <v>432.972864</v>
      </c>
      <c r="H21" s="361" t="n">
        <f aca="false">G21*(1+Assumptions!$P$30)</f>
        <v>441.63232128</v>
      </c>
      <c r="I21" s="361" t="n">
        <f aca="false">H21*(1+Assumptions!$P$30)</f>
        <v>450.4649677056</v>
      </c>
      <c r="J21" s="361" t="n">
        <f aca="false">I21*(1+Assumptions!$P$30)</f>
        <v>459.474267059712</v>
      </c>
      <c r="K21" s="361" t="n">
        <f aca="false">J21*(1+Assumptions!$P$30)</f>
        <v>468.663752400906</v>
      </c>
      <c r="L21" s="361" t="n">
        <f aca="false">K21*(1+Assumptions!$P$30)</f>
        <v>478.037027448924</v>
      </c>
      <c r="M21" s="361" t="n">
        <f aca="false">L21*(1+Assumptions!$P$30)</f>
        <v>487.597767997903</v>
      </c>
      <c r="N21" s="361" t="n">
        <f aca="false">M21*(1+Assumptions!$P$30)</f>
        <v>497.349723357861</v>
      </c>
      <c r="O21" s="361" t="n">
        <f aca="false">N21*(1+Assumptions!$P$30)</f>
        <v>507.296717825018</v>
      </c>
      <c r="P21" s="361" t="n">
        <f aca="false">O21*(1+Assumptions!$P$30)</f>
        <v>517.442652181519</v>
      </c>
      <c r="Q21" s="361" t="n">
        <f aca="false">P21*(1+Assumptions!$P$30)</f>
        <v>527.791505225149</v>
      </c>
      <c r="R21" s="361" t="n">
        <f aca="false">Q21*(1+Assumptions!$P$30)</f>
        <v>538.347335329652</v>
      </c>
      <c r="S21" s="361" t="n">
        <f aca="false">R21*(1+Assumptions!$P$30)</f>
        <v>549.114282036245</v>
      </c>
      <c r="T21" s="361" t="n">
        <f aca="false">S21*(1+Assumptions!$P$30)</f>
        <v>560.09656767697</v>
      </c>
      <c r="U21" s="361" t="n">
        <f aca="false">T21*(1+Assumptions!$P$30)</f>
        <v>571.298499030509</v>
      </c>
      <c r="V21" s="361" t="n">
        <f aca="false">U21*(1+Assumptions!$P$30)</f>
        <v>582.72446901112</v>
      </c>
      <c r="W21" s="361" t="n">
        <f aca="false">V21*(1+Assumptions!$P$30)</f>
        <v>594.378958391342</v>
      </c>
      <c r="X21" s="361" t="n">
        <f aca="false">W21*(1+Assumptions!$P$30)</f>
        <v>606.266537559169</v>
      </c>
      <c r="Y21" s="361" t="n">
        <f aca="false">X21*(1+Assumptions!$P$30)</f>
        <v>618.391868310352</v>
      </c>
      <c r="Z21" s="361" t="n">
        <f aca="false">Y21*(1+Assumptions!$P$30)</f>
        <v>630.759705676559</v>
      </c>
      <c r="AA21" s="361" t="n">
        <f aca="false">Z21*(1+Assumptions!$P$30)</f>
        <v>643.374899790091</v>
      </c>
      <c r="AB21" s="361" t="n">
        <f aca="false">AA21*(1+Assumptions!$P$30)</f>
        <v>656.242397785892</v>
      </c>
      <c r="AC21" s="361" t="n">
        <f aca="false">AB21*(1+Assumptions!$P$30)</f>
        <v>669.36724574161</v>
      </c>
      <c r="AD21" s="361" t="n">
        <f aca="false">AC21*(1+Assumptions!$P$30)</f>
        <v>682.754590656442</v>
      </c>
      <c r="AE21" s="361" t="n">
        <f aca="false">AD21*(1+Assumptions!$P$30)</f>
        <v>696.409682469571</v>
      </c>
      <c r="AF21" s="361" t="n">
        <f aca="false">AE21*(1+Assumptions!$P$30)</f>
        <v>710.337876118963</v>
      </c>
      <c r="AG21" s="361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5" t="n">
        <f aca="false">Assumptions!$N$52*Depreciation!D50*Assumptions!H18/12</f>
        <v>170.733588370018</v>
      </c>
      <c r="D22" s="355" t="n">
        <f aca="false">Assumptions!$N$52*Depreciation!E50</f>
        <v>246.515337553342</v>
      </c>
      <c r="E22" s="355" t="n">
        <f aca="false">Assumptions!$N$52*Depreciation!F50</f>
        <v>236.930292551658</v>
      </c>
      <c r="F22" s="355" t="n">
        <f aca="false">Assumptions!$N$52*Depreciation!G50</f>
        <v>227.345247549973</v>
      </c>
      <c r="G22" s="355" t="n">
        <f aca="false">Assumptions!$N$52*Depreciation!H50</f>
        <v>217.760202548289</v>
      </c>
      <c r="H22" s="355" t="n">
        <f aca="false">Assumptions!$N$52*Depreciation!I50</f>
        <v>209.477379213271</v>
      </c>
      <c r="I22" s="355" t="n">
        <f aca="false">Assumptions!$N$52*Depreciation!J50</f>
        <v>201.845666711586</v>
      </c>
      <c r="J22" s="355" t="n">
        <f aca="false">Assumptions!$N$52*Depreciation!K50</f>
        <v>194.213954209902</v>
      </c>
      <c r="K22" s="355" t="n">
        <f aca="false">Assumptions!$N$52*Depreciation!L50</f>
        <v>186.582241708217</v>
      </c>
      <c r="L22" s="355" t="n">
        <f aca="false">Assumptions!$N$52*Depreciation!M50</f>
        <v>178.950529206533</v>
      </c>
      <c r="M22" s="355" t="n">
        <f aca="false">Assumptions!$N$52*Depreciation!N50</f>
        <v>171.318816704848</v>
      </c>
      <c r="N22" s="355" t="n">
        <f aca="false">Assumptions!$N$52*Depreciation!O50</f>
        <v>163.687104203164</v>
      </c>
      <c r="O22" s="355" t="n">
        <f aca="false">Assumptions!$N$52*Depreciation!P50</f>
        <v>156.055391701479</v>
      </c>
      <c r="P22" s="355" t="n">
        <f aca="false">Assumptions!$N$52*Depreciation!Q50</f>
        <v>148.423679199795</v>
      </c>
      <c r="Q22" s="355" t="n">
        <f aca="false">Assumptions!$N$52*Depreciation!R50</f>
        <v>140.79196669811</v>
      </c>
      <c r="R22" s="355" t="n">
        <f aca="false">Assumptions!$N$52*Depreciation!S50</f>
        <v>133.160254196426</v>
      </c>
      <c r="S22" s="355" t="n">
        <f aca="false">Assumptions!$N$52*Depreciation!T50</f>
        <v>125.528541694741</v>
      </c>
      <c r="T22" s="355" t="n">
        <f aca="false">Assumptions!$N$52*Depreciation!U50</f>
        <v>117.896829193057</v>
      </c>
      <c r="U22" s="355" t="n">
        <f aca="false">Assumptions!$N$52*Depreciation!V50</f>
        <v>110.265116691372</v>
      </c>
      <c r="V22" s="355" t="n">
        <f aca="false">Assumptions!$N$52*Depreciation!W50</f>
        <v>102.633404189688</v>
      </c>
      <c r="W22" s="355" t="n">
        <f aca="false">Assumptions!$N$52*Depreciation!X50</f>
        <v>95.0850250213368</v>
      </c>
      <c r="X22" s="355" t="n">
        <f aca="false">Assumptions!$N$52*Depreciation!Y50</f>
        <v>87.5783125196523</v>
      </c>
      <c r="Y22" s="355" t="n">
        <f aca="false">Assumptions!$N$52*Depreciation!Z50</f>
        <v>80.0716000179678</v>
      </c>
      <c r="Z22" s="355" t="n">
        <f aca="false">Assumptions!$N$52*Depreciation!AA50</f>
        <v>72.5648875162833</v>
      </c>
      <c r="AA22" s="355" t="n">
        <f aca="false">Assumptions!$N$52*Depreciation!AB50</f>
        <v>65.0581750145988</v>
      </c>
      <c r="AB22" s="355" t="n">
        <f aca="false">Assumptions!$N$52*Depreciation!AC50</f>
        <v>57.5514625129143</v>
      </c>
      <c r="AC22" s="355" t="n">
        <f aca="false">Assumptions!$N$52*Depreciation!AD50</f>
        <v>50.0447500112298</v>
      </c>
      <c r="AD22" s="355" t="n">
        <f aca="false">Assumptions!$N$52*Depreciation!AE50</f>
        <v>42.5380375095453</v>
      </c>
      <c r="AE22" s="355" t="n">
        <f aca="false">Assumptions!$N$52*Depreciation!AF50</f>
        <v>35.0313250078609</v>
      </c>
      <c r="AF22" s="355" t="n">
        <f aca="false">Assumptions!$N$52*Depreciation!AG50</f>
        <v>27.5246125061764</v>
      </c>
      <c r="AG22" s="355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61" t="n">
        <v>0</v>
      </c>
      <c r="D23" s="361" t="n">
        <v>0</v>
      </c>
      <c r="E23" s="361" t="n">
        <v>0</v>
      </c>
      <c r="F23" s="361" t="n">
        <v>0</v>
      </c>
      <c r="G23" s="361" t="n">
        <v>0</v>
      </c>
      <c r="H23" s="361" t="n">
        <v>0</v>
      </c>
      <c r="I23" s="361" t="n">
        <v>0</v>
      </c>
      <c r="J23" s="361" t="n">
        <v>0</v>
      </c>
      <c r="K23" s="361" t="n">
        <v>0</v>
      </c>
      <c r="L23" s="361" t="n">
        <v>0</v>
      </c>
      <c r="M23" s="361" t="n">
        <v>0</v>
      </c>
      <c r="N23" s="361" t="n">
        <v>0</v>
      </c>
      <c r="O23" s="361" t="n">
        <v>0</v>
      </c>
      <c r="P23" s="361" t="n">
        <v>0</v>
      </c>
      <c r="Q23" s="361" t="n">
        <v>0</v>
      </c>
      <c r="R23" s="361" t="n">
        <v>0</v>
      </c>
      <c r="S23" s="361" t="n">
        <v>0</v>
      </c>
      <c r="T23" s="361" t="n">
        <v>0</v>
      </c>
      <c r="U23" s="361" t="n">
        <v>0</v>
      </c>
      <c r="V23" s="361" t="n">
        <v>0</v>
      </c>
      <c r="W23" s="361" t="n">
        <v>0</v>
      </c>
      <c r="X23" s="361" t="n">
        <v>0</v>
      </c>
      <c r="Y23" s="361" t="n">
        <v>0</v>
      </c>
      <c r="Z23" s="361" t="n">
        <v>0</v>
      </c>
      <c r="AA23" s="361" t="n">
        <v>0</v>
      </c>
      <c r="AB23" s="361" t="n">
        <v>0</v>
      </c>
      <c r="AC23" s="361" t="n">
        <v>0</v>
      </c>
      <c r="AD23" s="361" t="n">
        <v>0</v>
      </c>
      <c r="AE23" s="361" t="n">
        <v>0</v>
      </c>
      <c r="AF23" s="361" t="n">
        <v>0</v>
      </c>
      <c r="AG23" s="361" t="n">
        <v>0</v>
      </c>
    </row>
    <row r="24" customFormat="false" ht="12.75" hidden="false" customHeight="false" outlineLevel="0" collapsed="false">
      <c r="A24" s="31" t="s">
        <v>198</v>
      </c>
      <c r="C24" s="355" t="n">
        <f aca="false">IF(C8&lt;Assumptions!$G$34,Assumptions!$G$42*Assumptions!$G$41*C6,0)</f>
        <v>0</v>
      </c>
      <c r="D24" s="355" t="n">
        <f aca="false">IF(D8&lt;Assumptions!$G$34,Assumptions!$G$42*Assumptions!$G$41,IF(AND(D8&gt;Assumptions!$G$34,C8&lt;Assumptions!$G$34),Assumptions!$G$42*Assumptions!$G$41*(1-$C$6),0))</f>
        <v>0</v>
      </c>
      <c r="E24" s="355" t="n">
        <f aca="false">IF(E8&lt;Assumptions!$G$34,Assumptions!$G$42*Assumptions!$G$41,IF(AND(E8&gt;Assumptions!$G$34,D8&lt;Assumptions!$G$34),Assumptions!$G$42*Assumptions!$G$41*(1-$C$6),0))</f>
        <v>0</v>
      </c>
      <c r="F24" s="355" t="n">
        <f aca="false">IF(F8&lt;Assumptions!$G$34,Assumptions!$G$42*Assumptions!$G$41,IF(AND(F8&gt;Assumptions!$G$34,E8&lt;Assumptions!$G$34),Assumptions!$G$42*Assumptions!$G$41*(1-$C$6),0))</f>
        <v>0</v>
      </c>
      <c r="G24" s="355" t="n">
        <f aca="false">IF(G8&lt;Assumptions!$G$34,Assumptions!$G$42*Assumptions!$G$41,IF(AND(G8&gt;Assumptions!$G$34,F8&lt;Assumptions!$G$34),Assumptions!$G$42*Assumptions!$G$41*(1-$C$6),0))</f>
        <v>0</v>
      </c>
      <c r="H24" s="355" t="n">
        <f aca="false">IF(H8&lt;Assumptions!$G$34,Assumptions!$G$42*Assumptions!$G$41,IF(AND(H8&gt;Assumptions!$G$34,G8&lt;Assumptions!$G$34),Assumptions!$G$42*Assumptions!$G$41*(1-$C$6),0))</f>
        <v>0</v>
      </c>
      <c r="I24" s="355" t="n">
        <f aca="false">IF(I8&lt;Assumptions!$G$34,Assumptions!$G$42*Assumptions!$G$41,IF(AND(I8&gt;Assumptions!$G$34,H8&lt;Assumptions!$G$34),Assumptions!$G$42*Assumptions!$G$41*(1-$C$6),0))</f>
        <v>0</v>
      </c>
      <c r="J24" s="355" t="n">
        <f aca="false">IF(J8&lt;Assumptions!$G$34,Assumptions!$G$42*Assumptions!$G$41,IF(AND(J8&gt;Assumptions!$G$34,I8&lt;Assumptions!$G$34),Assumptions!$G$42*Assumptions!$G$41*(1-$C$6),0))</f>
        <v>0</v>
      </c>
      <c r="K24" s="355" t="n">
        <f aca="false">IF(K8&lt;Assumptions!$G$34,Assumptions!$G$42*Assumptions!$G$41,IF(AND(K8&gt;Assumptions!$G$34,J8&lt;Assumptions!$G$34),Assumptions!$G$42*Assumptions!$G$41*(1-$C$6),0))</f>
        <v>0</v>
      </c>
      <c r="L24" s="355" t="n">
        <f aca="false">IF(L8&lt;Assumptions!$G$34,Assumptions!$G$42*Assumptions!$G$41,IF(AND(L8&gt;Assumptions!$G$34,K8&lt;Assumptions!$G$34),Assumptions!$G$42*Assumptions!$G$41*(1-$C$6),0))</f>
        <v>0</v>
      </c>
      <c r="M24" s="355" t="n">
        <f aca="false">IF(M8&lt;Assumptions!$G$34,Assumptions!$G$42*Assumptions!$G$41,IF(AND(M8&gt;Assumptions!$G$34,L8&lt;Assumptions!$G$34),Assumptions!$G$42*Assumptions!$G$41*(1-$C$6),0))</f>
        <v>0</v>
      </c>
      <c r="N24" s="355" t="n">
        <f aca="false">IF(N8&lt;Assumptions!$G$34,Assumptions!$G$42*Assumptions!$G$41,IF(AND(N8&gt;Assumptions!$G$34,M8&lt;Assumptions!$G$34),Assumptions!$G$42*Assumptions!$G$41*(1-$C$6),0))</f>
        <v>0</v>
      </c>
      <c r="O24" s="355" t="n">
        <f aca="false">IF(O8&lt;Assumptions!$G$34,Assumptions!$G$42*Assumptions!$G$41,IF(AND(O8&gt;Assumptions!$G$34,N8&lt;Assumptions!$G$34),Assumptions!$G$42*Assumptions!$G$41*(1-$C$6),0))</f>
        <v>0</v>
      </c>
      <c r="P24" s="355" t="n">
        <f aca="false">IF(P8&lt;Assumptions!$G$34,Assumptions!$G$42*Assumptions!$G$41,IF(AND(P8&gt;Assumptions!$G$34,O8&lt;Assumptions!$G$34),Assumptions!$G$42*Assumptions!$G$41*(1-$C$6),0))</f>
        <v>0</v>
      </c>
      <c r="Q24" s="355" t="n">
        <f aca="false">IF(Q8&lt;Assumptions!$G$34,Assumptions!$G$42*Assumptions!$G$41,IF(AND(Q8&gt;Assumptions!$G$34,P8&lt;Assumptions!$G$34),Assumptions!$G$42*Assumptions!$G$41*(1-$C$6),0))</f>
        <v>0</v>
      </c>
      <c r="R24" s="355" t="n">
        <f aca="false">IF(R8&lt;Assumptions!$G$34,Assumptions!$G$42*Assumptions!$G$41,IF(AND(R8&gt;Assumptions!$G$34,Q8&lt;Assumptions!$G$34),Assumptions!$G$42*Assumptions!$G$41*(1-$C$6),0))</f>
        <v>0</v>
      </c>
      <c r="S24" s="355" t="n">
        <f aca="false">IF(S8&lt;Assumptions!$G$34,Assumptions!$G$42*Assumptions!$G$41,IF(AND(S8&gt;Assumptions!$G$34,R8&lt;Assumptions!$G$34),Assumptions!$G$42*Assumptions!$G$41*(1-$C$6),0))</f>
        <v>0</v>
      </c>
      <c r="T24" s="355" t="n">
        <f aca="false">IF(T8&lt;Assumptions!$G$34,Assumptions!$G$42*Assumptions!$G$41,IF(AND(T8&gt;Assumptions!$G$34,S8&lt;Assumptions!$G$34),Assumptions!$G$42*Assumptions!$G$41*(1-$C$6),0))</f>
        <v>0</v>
      </c>
      <c r="U24" s="355" t="n">
        <f aca="false">IF(U8&lt;Assumptions!$G$34,Assumptions!$G$42*Assumptions!$G$41,IF(AND(U8&gt;Assumptions!$G$34,T8&lt;Assumptions!$G$34),Assumptions!$G$42*Assumptions!$G$41*(1-$C$6),0))</f>
        <v>0</v>
      </c>
      <c r="V24" s="355" t="n">
        <f aca="false">IF(V8&lt;Assumptions!$G$34,Assumptions!$G$42*Assumptions!$G$41,IF(AND(V8&gt;Assumptions!$G$34,U8&lt;Assumptions!$G$34),Assumptions!$G$42*Assumptions!$G$41*(1-$C$6),0))</f>
        <v>0</v>
      </c>
      <c r="W24" s="355" t="n">
        <f aca="false">IF(W8&lt;Assumptions!$G$34,Assumptions!$G$42*Assumptions!$G$41,IF(AND(W8&gt;Assumptions!$G$34,V8&lt;Assumptions!$G$34),Assumptions!$G$42*Assumptions!$G$41*(1-$C$6),0))</f>
        <v>0</v>
      </c>
      <c r="X24" s="355" t="n">
        <f aca="false">IF(X8&lt;Assumptions!$G$34,Assumptions!$G$42*Assumptions!$G$41,IF(AND(X8&gt;Assumptions!$G$34,W8&lt;Assumptions!$G$34),Assumptions!$G$42*Assumptions!$G$41*(1-$C$6),0))</f>
        <v>0</v>
      </c>
      <c r="Y24" s="355" t="n">
        <f aca="false">IF(Y8&lt;Assumptions!$G$34,Assumptions!$G$42*Assumptions!$G$41,IF(AND(Y8&gt;Assumptions!$G$34,X8&lt;Assumptions!$G$34),Assumptions!$G$42*Assumptions!$G$41*(1-$C$6),0))</f>
        <v>0</v>
      </c>
      <c r="Z24" s="355" t="n">
        <f aca="false">IF(Z8&lt;Assumptions!$G$34,Assumptions!$G$42*Assumptions!$G$41,IF(AND(Z8&gt;Assumptions!$G$34,Y8&lt;Assumptions!$G$34),Assumptions!$G$42*Assumptions!$G$41*(1-$C$6),0))</f>
        <v>0</v>
      </c>
      <c r="AA24" s="355" t="n">
        <f aca="false">IF(AA8&lt;Assumptions!$G$34,Assumptions!$G$42*Assumptions!$G$41,IF(AND(AA8&gt;Assumptions!$G$34,Z8&lt;Assumptions!$G$34),Assumptions!$G$42*Assumptions!$G$41*(1-$C$6),0))</f>
        <v>0</v>
      </c>
      <c r="AB24" s="355" t="n">
        <f aca="false">IF(AB8&lt;Assumptions!$G$34,Assumptions!$G$42*Assumptions!$G$41,IF(AND(AB8&gt;Assumptions!$G$34,AA8&lt;Assumptions!$G$34),Assumptions!$G$42*Assumptions!$G$41*(1-$C$6),0))</f>
        <v>0</v>
      </c>
      <c r="AC24" s="355" t="n">
        <f aca="false">IF(AC8&lt;Assumptions!$G$34,Assumptions!$G$42*Assumptions!$G$41,IF(AND(AC8&gt;Assumptions!$G$34,AB8&lt;Assumptions!$G$34),Assumptions!$G$42*Assumptions!$G$41*(1-$C$6),0))</f>
        <v>0</v>
      </c>
      <c r="AD24" s="355" t="n">
        <f aca="false">IF(AD8&lt;Assumptions!$G$34,Assumptions!$G$42*Assumptions!$G$41,IF(AND(AD8&gt;Assumptions!$G$34,AC8&lt;Assumptions!$G$34),Assumptions!$G$42*Assumptions!$G$41*(1-$C$6),0))</f>
        <v>0</v>
      </c>
      <c r="AE24" s="355" t="n">
        <f aca="false">IF(AE8&lt;Assumptions!$G$34,Assumptions!$G$42*Assumptions!$G$41,IF(AND(AE8&gt;Assumptions!$G$34,AD8&lt;Assumptions!$G$34),Assumptions!$G$42*Assumptions!$G$41*(1-$C$6),0))</f>
        <v>0</v>
      </c>
      <c r="AF24" s="355" t="n">
        <f aca="false">IF(AF8&lt;Assumptions!$G$34,Assumptions!$G$42*Assumptions!$G$41,IF(AND(AF8&gt;Assumptions!$G$34,AE8&lt;Assumptions!$G$34),Assumptions!$G$42*Assumptions!$G$41*(1-$C$6),0))</f>
        <v>0</v>
      </c>
      <c r="AG24" s="355" t="n">
        <f aca="false">IF(AG8&lt;Assumptions!$G$34,Assumptions!$G$42*Assumptions!$G$41,IF(AND(AG8&gt;Assumptions!$G$34,AF8&lt;Assumptions!$G$34),Assumptions!$G$42*Assumptions!$G$41*(1-$C$6),0))</f>
        <v>0</v>
      </c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</row>
    <row r="25" customFormat="false" ht="12.75" hidden="false" customHeight="false" outlineLevel="0" collapsed="false">
      <c r="A25" s="31" t="s">
        <v>146</v>
      </c>
      <c r="C25" s="355" t="n">
        <f aca="false">Assumptions!$O$23*Assumptions!$H$69*Assumptions!H18/12</f>
        <v>0</v>
      </c>
      <c r="D25" s="355" t="n">
        <f aca="false">Assumptions!$O$23*Assumptions!$H$69*(1+Assumptions!$N$11)</f>
        <v>0</v>
      </c>
      <c r="E25" s="355" t="n">
        <f aca="false">Assumptions!$O$23*Assumptions!$H$69*(1+Assumptions!$N$11)</f>
        <v>0</v>
      </c>
      <c r="F25" s="355" t="n">
        <f aca="false">Assumptions!$O$23*Assumptions!$H$69*(1+Assumptions!$N$11)</f>
        <v>0</v>
      </c>
      <c r="G25" s="355" t="n">
        <f aca="false">Assumptions!$O$23*Assumptions!$H$69*(1+Assumptions!$N$11)</f>
        <v>0</v>
      </c>
      <c r="H25" s="355" t="n">
        <f aca="false">Assumptions!$O$23*Assumptions!$H$69*(1+Assumptions!$N$11)</f>
        <v>0</v>
      </c>
      <c r="I25" s="355" t="n">
        <f aca="false">Assumptions!$O$23*Assumptions!$H$69*(1+Assumptions!$N$11)</f>
        <v>0</v>
      </c>
      <c r="J25" s="355" t="n">
        <f aca="false">Assumptions!$O$23*Assumptions!$H$69*(1+Assumptions!$N$11)</f>
        <v>0</v>
      </c>
      <c r="K25" s="355" t="n">
        <f aca="false">Assumptions!$O$23*Assumptions!$H$69*(1+Assumptions!$N$11)</f>
        <v>0</v>
      </c>
      <c r="L25" s="355" t="n">
        <f aca="false">Assumptions!$O$23*Assumptions!$H$69*(1+Assumptions!$N$11)</f>
        <v>0</v>
      </c>
      <c r="M25" s="355" t="n">
        <f aca="false">Assumptions!$O$23*Assumptions!$H$69*(1+Assumptions!$N$11)</f>
        <v>0</v>
      </c>
      <c r="N25" s="355" t="n">
        <f aca="false">Assumptions!$O$23*Assumptions!$H$69*(1+Assumptions!$N$11)</f>
        <v>0</v>
      </c>
      <c r="O25" s="355" t="n">
        <f aca="false">Assumptions!$O$23*Assumptions!$H$69*(1+Assumptions!$N$11)</f>
        <v>0</v>
      </c>
      <c r="P25" s="355" t="n">
        <f aca="false">Assumptions!$O$23*Assumptions!$H$69*(1+Assumptions!$N$11)</f>
        <v>0</v>
      </c>
      <c r="Q25" s="355" t="n">
        <f aca="false">Assumptions!$O$23*Assumptions!$H$69*(1+Assumptions!$N$11)</f>
        <v>0</v>
      </c>
      <c r="R25" s="355" t="n">
        <f aca="false">Assumptions!$O$23*Assumptions!$H$69*(1+Assumptions!$N$11)</f>
        <v>0</v>
      </c>
      <c r="S25" s="355" t="n">
        <f aca="false">Assumptions!$O$23*Assumptions!$H$69*(1+Assumptions!$N$11)</f>
        <v>0</v>
      </c>
      <c r="T25" s="355" t="n">
        <f aca="false">Assumptions!$O$23*Assumptions!$H$69*(1+Assumptions!$N$11)</f>
        <v>0</v>
      </c>
      <c r="U25" s="355" t="n">
        <f aca="false">Assumptions!$O$23*Assumptions!$H$69*(1+Assumptions!$N$11)</f>
        <v>0</v>
      </c>
      <c r="V25" s="355" t="n">
        <f aca="false">Assumptions!$O$23*Assumptions!$H$69*(1+Assumptions!$N$11)</f>
        <v>0</v>
      </c>
      <c r="W25" s="355" t="n">
        <f aca="false">Assumptions!$O$23*Assumptions!$H$69*(1+Assumptions!$N$11)</f>
        <v>0</v>
      </c>
      <c r="X25" s="355" t="n">
        <f aca="false">Assumptions!$O$23*Assumptions!$H$69*(1+Assumptions!$N$11)</f>
        <v>0</v>
      </c>
      <c r="Y25" s="355" t="n">
        <f aca="false">Assumptions!$O$23*Assumptions!$H$69*(1+Assumptions!$N$11)</f>
        <v>0</v>
      </c>
      <c r="Z25" s="355" t="n">
        <f aca="false">Assumptions!$O$23*Assumptions!$H$69*(1+Assumptions!$N$11)</f>
        <v>0</v>
      </c>
      <c r="AA25" s="355" t="n">
        <f aca="false">Assumptions!$O$23*Assumptions!$H$69*(1+Assumptions!$N$11)</f>
        <v>0</v>
      </c>
      <c r="AB25" s="355" t="n">
        <f aca="false">Assumptions!$O$23*Assumptions!$H$69*(1+Assumptions!$N$11)</f>
        <v>0</v>
      </c>
      <c r="AC25" s="355" t="n">
        <f aca="false">Assumptions!$O$23*Assumptions!$H$69*(1+Assumptions!$N$11)</f>
        <v>0</v>
      </c>
      <c r="AD25" s="355" t="n">
        <f aca="false">Assumptions!$O$23*Assumptions!$H$69*(1+Assumptions!$N$11)</f>
        <v>0</v>
      </c>
      <c r="AE25" s="355" t="n">
        <f aca="false">Assumptions!$O$23*Assumptions!$H$69*(1+Assumptions!$N$11)</f>
        <v>0</v>
      </c>
      <c r="AF25" s="355" t="n">
        <f aca="false">Assumptions!$O$23*Assumptions!$H$69*(1+Assumptions!$N$11)</f>
        <v>0</v>
      </c>
      <c r="AG25" s="355" t="n">
        <f aca="false">Assumptions!$O$23*Assumptions!$H$69*(1+Assumptions!$N$11)</f>
        <v>0</v>
      </c>
    </row>
    <row r="26" customFormat="false" ht="12.75" hidden="false" customHeight="false" outlineLevel="0" collapsed="false">
      <c r="A26" s="135" t="s">
        <v>318</v>
      </c>
      <c r="C26" s="355" t="n">
        <f aca="false">Assumptions!$N24*Assumptions!H18/12</f>
        <v>0</v>
      </c>
      <c r="D26" s="355" t="n">
        <f aca="false">Assumptions!$N24*(1+Assumptions!$N$11)</f>
        <v>0</v>
      </c>
      <c r="E26" s="355" t="n">
        <f aca="false">D26*(1+Assumptions!$N$11)</f>
        <v>0</v>
      </c>
      <c r="F26" s="355" t="n">
        <f aca="false">E26*(1+Assumptions!$N$11)</f>
        <v>0</v>
      </c>
      <c r="G26" s="355" t="n">
        <f aca="false">F26*(1+Assumptions!$N$11)</f>
        <v>0</v>
      </c>
      <c r="H26" s="355" t="n">
        <f aca="false">G26*(1+Assumptions!$N$11)</f>
        <v>0</v>
      </c>
      <c r="I26" s="355" t="n">
        <f aca="false">H26*(1+Assumptions!$N$11)</f>
        <v>0</v>
      </c>
      <c r="J26" s="355" t="n">
        <f aca="false">I26*(1+Assumptions!$N$11)</f>
        <v>0</v>
      </c>
      <c r="K26" s="355" t="n">
        <f aca="false">J26*(1+Assumptions!$N$11)</f>
        <v>0</v>
      </c>
      <c r="L26" s="355" t="n">
        <f aca="false">K26*(1+Assumptions!$N$11)</f>
        <v>0</v>
      </c>
      <c r="M26" s="355" t="n">
        <f aca="false">L26*(1+Assumptions!$N$11)</f>
        <v>0</v>
      </c>
      <c r="N26" s="355" t="n">
        <f aca="false">M26*(1+Assumptions!$N$11)</f>
        <v>0</v>
      </c>
      <c r="O26" s="355" t="n">
        <f aca="false">N26*(1+Assumptions!$N$11)</f>
        <v>0</v>
      </c>
      <c r="P26" s="355" t="n">
        <f aca="false">O26*(1+Assumptions!$N$11)</f>
        <v>0</v>
      </c>
      <c r="Q26" s="355" t="n">
        <f aca="false">P26*(1+Assumptions!$N$11)</f>
        <v>0</v>
      </c>
      <c r="R26" s="355" t="n">
        <f aca="false">Q26*(1+Assumptions!$N$11)</f>
        <v>0</v>
      </c>
      <c r="S26" s="355" t="n">
        <f aca="false">R26*(1+Assumptions!$N$11)</f>
        <v>0</v>
      </c>
      <c r="T26" s="355" t="n">
        <f aca="false">S26*(1+Assumptions!$N$11)</f>
        <v>0</v>
      </c>
      <c r="U26" s="355" t="n">
        <f aca="false">T26*(1+Assumptions!$N$11)</f>
        <v>0</v>
      </c>
      <c r="V26" s="355" t="n">
        <f aca="false">U26*(1+Assumptions!$N$11)</f>
        <v>0</v>
      </c>
      <c r="W26" s="355" t="n">
        <f aca="false">V26*(1+Assumptions!$N$11)</f>
        <v>0</v>
      </c>
      <c r="X26" s="355" t="n">
        <f aca="false">W26*(1+Assumptions!$N$11)</f>
        <v>0</v>
      </c>
      <c r="Y26" s="355" t="n">
        <f aca="false">X26*(1+Assumptions!$N$11)</f>
        <v>0</v>
      </c>
      <c r="Z26" s="355" t="n">
        <f aca="false">Y26*(1+Assumptions!$N$11)</f>
        <v>0</v>
      </c>
      <c r="AA26" s="355" t="n">
        <f aca="false">Z26*(1+Assumptions!$N$11)</f>
        <v>0</v>
      </c>
      <c r="AB26" s="355" t="n">
        <f aca="false">AA26*(1+Assumptions!$N$11)</f>
        <v>0</v>
      </c>
      <c r="AC26" s="355" t="n">
        <f aca="false">AB26*(1+Assumptions!$N$11)</f>
        <v>0</v>
      </c>
      <c r="AD26" s="355" t="n">
        <f aca="false">AC26*(1+Assumptions!$N$11)</f>
        <v>0</v>
      </c>
      <c r="AE26" s="355" t="n">
        <f aca="false">AD26*(1+Assumptions!$N$11)</f>
        <v>0</v>
      </c>
      <c r="AF26" s="355" t="n">
        <f aca="false">AE26*(1+Assumptions!$N$11)</f>
        <v>0</v>
      </c>
      <c r="AG26" s="355" t="n">
        <f aca="false">AF26*(1+Assumptions!$N$11)</f>
        <v>0</v>
      </c>
    </row>
    <row r="27" customFormat="false" ht="12.75" hidden="false" customHeight="false" outlineLevel="0" collapsed="false">
      <c r="A27" s="135" t="s">
        <v>319</v>
      </c>
      <c r="C27" s="362" t="n">
        <f aca="false">Assumptions!$N25*Assumptions!H18/12</f>
        <v>133.333333333333</v>
      </c>
      <c r="D27" s="362" t="n">
        <f aca="false">Assumptions!$N25*(1+Assumptions!$N$11)</f>
        <v>206</v>
      </c>
      <c r="E27" s="362" t="n">
        <f aca="false">D27*(1+Assumptions!$N$11)</f>
        <v>212.18</v>
      </c>
      <c r="F27" s="362" t="n">
        <f aca="false">E27*(1+Assumptions!$N$11)</f>
        <v>218.5454</v>
      </c>
      <c r="G27" s="362" t="n">
        <f aca="false">F27*(1+Assumptions!$N$11)</f>
        <v>225.101762</v>
      </c>
      <c r="H27" s="362" t="n">
        <f aca="false">G27*(1+Assumptions!$N$11)</f>
        <v>231.85481486</v>
      </c>
      <c r="I27" s="362" t="n">
        <f aca="false">H27*(1+Assumptions!$N$11)</f>
        <v>238.8104593058</v>
      </c>
      <c r="J27" s="362" t="n">
        <f aca="false">I27*(1+Assumptions!$N$11)</f>
        <v>245.974773084974</v>
      </c>
      <c r="K27" s="362" t="n">
        <f aca="false">J27*(1+Assumptions!$N$11)</f>
        <v>253.354016277523</v>
      </c>
      <c r="L27" s="362" t="n">
        <f aca="false">K27*(1+Assumptions!$N$11)</f>
        <v>260.954636765849</v>
      </c>
      <c r="M27" s="362" t="n">
        <f aca="false">L27*(1+Assumptions!$N$11)</f>
        <v>268.783275868824</v>
      </c>
      <c r="N27" s="362" t="n">
        <f aca="false">M27*(1+Assumptions!$N$11)</f>
        <v>276.846774144889</v>
      </c>
      <c r="O27" s="362" t="n">
        <f aca="false">N27*(1+Assumptions!$N$11)</f>
        <v>285.152177369236</v>
      </c>
      <c r="P27" s="362" t="n">
        <f aca="false">O27*(1+Assumptions!$N$11)</f>
        <v>293.706742690313</v>
      </c>
      <c r="Q27" s="362" t="n">
        <f aca="false">P27*(1+Assumptions!$N$11)</f>
        <v>302.517944971022</v>
      </c>
      <c r="R27" s="362" t="n">
        <f aca="false">Q27*(1+Assumptions!$N$11)</f>
        <v>311.593483320153</v>
      </c>
      <c r="S27" s="362" t="n">
        <f aca="false">R27*(1+Assumptions!$N$11)</f>
        <v>320.941287819758</v>
      </c>
      <c r="T27" s="362" t="n">
        <f aca="false">S27*(1+Assumptions!$N$11)</f>
        <v>330.56952645435</v>
      </c>
      <c r="U27" s="362" t="n">
        <f aca="false">T27*(1+Assumptions!$N$11)</f>
        <v>340.486612247981</v>
      </c>
      <c r="V27" s="362" t="n">
        <f aca="false">U27*(1+Assumptions!$N$11)</f>
        <v>350.70121061542</v>
      </c>
      <c r="W27" s="362" t="n">
        <f aca="false">V27*(1+Assumptions!$N$11)</f>
        <v>361.222246933883</v>
      </c>
      <c r="X27" s="362" t="n">
        <f aca="false">W27*(1+Assumptions!$N$11)</f>
        <v>372.058914341899</v>
      </c>
      <c r="Y27" s="362" t="n">
        <f aca="false">X27*(1+Assumptions!$N$11)</f>
        <v>383.220681772156</v>
      </c>
      <c r="Z27" s="362" t="n">
        <f aca="false">Y27*(1+Assumptions!$N$11)</f>
        <v>394.717302225321</v>
      </c>
      <c r="AA27" s="362" t="n">
        <f aca="false">Z27*(1+Assumptions!$N$11)</f>
        <v>406.558821292081</v>
      </c>
      <c r="AB27" s="362" t="n">
        <f aca="false">AA27*(1+Assumptions!$N$11)</f>
        <v>418.755585930843</v>
      </c>
      <c r="AC27" s="362" t="n">
        <f aca="false">AB27*(1+Assumptions!$N$11)</f>
        <v>431.318253508768</v>
      </c>
      <c r="AD27" s="362" t="n">
        <f aca="false">AC27*(1+Assumptions!$N$11)</f>
        <v>444.257801114031</v>
      </c>
      <c r="AE27" s="362" t="n">
        <f aca="false">AD27*(1+Assumptions!$N$11)</f>
        <v>457.585535147452</v>
      </c>
      <c r="AF27" s="362" t="n">
        <f aca="false">AE27*(1+Assumptions!$N$11)</f>
        <v>471.313101201876</v>
      </c>
      <c r="AG27" s="362" t="n">
        <f aca="false">AF27*(1+Assumptions!$N$11)</f>
        <v>485.452494237932</v>
      </c>
    </row>
    <row r="28" customFormat="false" ht="12.75" hidden="false" customHeight="false" outlineLevel="0" collapsed="false">
      <c r="A28" s="363" t="s">
        <v>320</v>
      </c>
      <c r="B28" s="253"/>
      <c r="C28" s="358" t="n">
        <f aca="false">SUM(C16:C27)</f>
        <v>16331.7112550367</v>
      </c>
      <c r="D28" s="358" t="n">
        <f aca="false">SUM(D16:D27)</f>
        <v>26214.1113375533</v>
      </c>
      <c r="E28" s="358" t="n">
        <f aca="false">SUM(E16:E27)</f>
        <v>28574.9772925517</v>
      </c>
      <c r="F28" s="358" t="n">
        <f aca="false">SUM(F16:F27)</f>
        <v>29951.99544755</v>
      </c>
      <c r="G28" s="358" t="n">
        <f aca="false">SUM(G16:G27)</f>
        <v>29908.2268765483</v>
      </c>
      <c r="H28" s="358" t="n">
        <f aca="false">SUM(H16:H27)</f>
        <v>29864.3627747933</v>
      </c>
      <c r="I28" s="358" t="n">
        <f aca="false">SUM(I16:I27)</f>
        <v>28132.9479309462</v>
      </c>
      <c r="J28" s="358" t="n">
        <f aca="false">SUM(J16:J27)</f>
        <v>28686.5330866945</v>
      </c>
      <c r="K28" s="358" t="n">
        <f aca="false">SUM(K16:K27)</f>
        <v>28814.8880754967</v>
      </c>
      <c r="L28" s="358" t="n">
        <f aca="false">SUM(L16:L27)</f>
        <v>21644.5587404847</v>
      </c>
      <c r="M28" s="358" t="n">
        <f aca="false">SUM(M16:M27)</f>
        <v>2002.83296404687</v>
      </c>
      <c r="N28" s="358" t="n">
        <f aca="false">SUM(N16:N27)</f>
        <v>2045.27069828547</v>
      </c>
      <c r="O28" s="358" t="n">
        <f aca="false">SUM(O16:O27)</f>
        <v>2089.11299637268</v>
      </c>
      <c r="P28" s="358" t="n">
        <f aca="false">SUM(P16:P27)</f>
        <v>2134.40004483288</v>
      </c>
      <c r="Q28" s="358" t="n">
        <f aca="false">SUM(Q16:Q27)</f>
        <v>2181.17319677837</v>
      </c>
      <c r="R28" s="358" t="n">
        <f aca="false">SUM(R16:R27)</f>
        <v>2229.47500612684</v>
      </c>
      <c r="S28" s="358" t="n">
        <f aca="false">SUM(S16:S27)</f>
        <v>2279.34926282977</v>
      </c>
      <c r="T28" s="358" t="n">
        <f aca="false">SUM(T16:T27)</f>
        <v>2330.84102914178</v>
      </c>
      <c r="U28" s="358" t="n">
        <f aca="false">SUM(U16:U27)</f>
        <v>2383.99667696179</v>
      </c>
      <c r="V28" s="358" t="n">
        <f aca="false">SUM(V16:V27)</f>
        <v>2438.86392627791</v>
      </c>
      <c r="W28" s="358" t="n">
        <f aca="false">SUM(W16:W27)</f>
        <v>2495.57521808209</v>
      </c>
      <c r="X28" s="358" t="n">
        <f aca="false">SUM(X16:X27)</f>
        <v>2554.13942178832</v>
      </c>
      <c r="Y28" s="358" t="n">
        <f aca="false">SUM(Y16:Y27)</f>
        <v>2614.5668771891</v>
      </c>
      <c r="Z28" s="358" t="n">
        <f aca="false">SUM(Z16:Z27)</f>
        <v>2676.91110431945</v>
      </c>
      <c r="AA28" s="358" t="n">
        <f aca="false">SUM(AA16:AA27)</f>
        <v>2741.22718126509</v>
      </c>
      <c r="AB28" s="358" t="n">
        <f aca="false">SUM(AB16:AB27)</f>
        <v>2807.57178995302</v>
      </c>
      <c r="AC28" s="358" t="n">
        <f aca="false">SUM(AC16:AC27)</f>
        <v>2876.00326329668</v>
      </c>
      <c r="AD28" s="358" t="n">
        <f aca="false">SUM(AD16:AD27)</f>
        <v>2946.58163373615</v>
      </c>
      <c r="AE28" s="358" t="n">
        <f aca="false">SUM(AE16:AE27)</f>
        <v>3019.36868321469</v>
      </c>
      <c r="AF28" s="358" t="n">
        <f aca="false">SUM(AF16:AF27)</f>
        <v>3094.42799463452</v>
      </c>
      <c r="AG28" s="358" t="n">
        <f aca="false">SUM(AG16:AG27)</f>
        <v>3176.82947983662</v>
      </c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  <c r="EJ28" s="253"/>
      <c r="EK28" s="253"/>
      <c r="EL28" s="253"/>
      <c r="EM28" s="253"/>
      <c r="EN28" s="253"/>
      <c r="EO28" s="253"/>
      <c r="EP28" s="253"/>
      <c r="EQ28" s="253"/>
      <c r="ER28" s="253"/>
      <c r="ES28" s="253"/>
      <c r="ET28" s="253"/>
      <c r="EU28" s="253"/>
      <c r="EV28" s="253"/>
      <c r="EW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3"/>
      <c r="FH28" s="253"/>
      <c r="FI28" s="253"/>
      <c r="FJ28" s="253"/>
      <c r="FK28" s="253"/>
      <c r="FL28" s="253"/>
      <c r="FM28" s="253"/>
      <c r="FN28" s="253"/>
      <c r="FO28" s="253"/>
      <c r="FP28" s="253"/>
      <c r="FQ28" s="253"/>
      <c r="FR28" s="253"/>
      <c r="FS28" s="253"/>
      <c r="FT28" s="253"/>
      <c r="FU28" s="253"/>
      <c r="FV28" s="253"/>
      <c r="FW28" s="253"/>
      <c r="FX28" s="253"/>
      <c r="FY28" s="253"/>
      <c r="FZ28" s="253"/>
      <c r="GA28" s="253"/>
      <c r="GB28" s="253"/>
      <c r="GC28" s="253"/>
      <c r="GD28" s="253"/>
      <c r="GE28" s="253"/>
      <c r="GF28" s="253"/>
      <c r="GG28" s="253"/>
      <c r="GH28" s="253"/>
      <c r="GI28" s="253"/>
      <c r="GJ28" s="253"/>
      <c r="GK28" s="253"/>
      <c r="GL28" s="253"/>
      <c r="GM28" s="253"/>
      <c r="GN28" s="253"/>
      <c r="GO28" s="253"/>
      <c r="GP28" s="253"/>
      <c r="GQ28" s="253"/>
      <c r="GR28" s="253"/>
      <c r="GS28" s="253"/>
      <c r="GT28" s="253"/>
      <c r="GU28" s="253"/>
      <c r="GV28" s="253"/>
      <c r="GW28" s="253"/>
      <c r="GX28" s="253"/>
      <c r="GY28" s="253"/>
      <c r="GZ28" s="253"/>
      <c r="HA28" s="253"/>
      <c r="HB28" s="253"/>
      <c r="HC28" s="253"/>
      <c r="HD28" s="253"/>
      <c r="HE28" s="253"/>
      <c r="HF28" s="253"/>
      <c r="HG28" s="253"/>
      <c r="HH28" s="253"/>
      <c r="HI28" s="253"/>
      <c r="HJ28" s="253"/>
      <c r="HK28" s="253"/>
      <c r="HL28" s="253"/>
      <c r="HM28" s="253"/>
      <c r="HN28" s="253"/>
      <c r="HO28" s="253"/>
      <c r="HP28" s="253"/>
      <c r="HQ28" s="253"/>
      <c r="HR28" s="253"/>
      <c r="HS28" s="253"/>
      <c r="HT28" s="253"/>
      <c r="HU28" s="253"/>
      <c r="HV28" s="253"/>
      <c r="HW28" s="253"/>
      <c r="HX28" s="253"/>
      <c r="HY28" s="253"/>
      <c r="HZ28" s="253"/>
      <c r="IA28" s="253"/>
      <c r="IB28" s="253"/>
      <c r="IC28" s="253"/>
      <c r="ID28" s="253"/>
      <c r="IE28" s="253"/>
      <c r="IF28" s="253"/>
      <c r="IG28" s="253"/>
      <c r="IH28" s="253"/>
      <c r="II28" s="253"/>
      <c r="IJ28" s="253"/>
      <c r="IK28" s="253"/>
      <c r="IL28" s="253"/>
      <c r="IM28" s="253"/>
      <c r="IN28" s="253"/>
      <c r="IO28" s="253"/>
      <c r="IP28" s="253"/>
      <c r="IQ28" s="253"/>
      <c r="IR28" s="253"/>
      <c r="IS28" s="253"/>
      <c r="IT28" s="253"/>
      <c r="IU28" s="253"/>
      <c r="IV28" s="253"/>
      <c r="IW28" s="253"/>
    </row>
    <row r="29" customFormat="false" ht="12.75" hidden="false" customHeight="false" outlineLevel="0" collapsed="false">
      <c r="A29" s="364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</row>
    <row r="30" customFormat="false" ht="12.75" hidden="false" customHeight="false" outlineLevel="0" collapsed="false">
      <c r="A30" s="354" t="s">
        <v>321</v>
      </c>
      <c r="C30" s="358" t="n">
        <f aca="false">C13-C28</f>
        <v>14975.7911455633</v>
      </c>
      <c r="D30" s="358" t="n">
        <f aca="false">D13-D28</f>
        <v>17916.3022790467</v>
      </c>
      <c r="E30" s="358" t="n">
        <f aca="false">E13-E28</f>
        <v>18778.3521158483</v>
      </c>
      <c r="F30" s="358" t="n">
        <f aca="false">F13-F28</f>
        <v>19363.88385895</v>
      </c>
      <c r="G30" s="358" t="n">
        <f aca="false">G13-G28</f>
        <v>19220.2176596517</v>
      </c>
      <c r="H30" s="358" t="n">
        <f aca="false">H13-H28</f>
        <v>19077.3404520067</v>
      </c>
      <c r="I30" s="358" t="n">
        <f aca="false">I13-I28</f>
        <v>18376.6749916538</v>
      </c>
      <c r="J30" s="358" t="n">
        <f aca="false">J13-J28</f>
        <v>18359.7139629055</v>
      </c>
      <c r="K30" s="358" t="n">
        <f aca="false">K13-K28</f>
        <v>18003.4567875033</v>
      </c>
      <c r="L30" s="358" t="n">
        <f aca="false">L13-L28</f>
        <v>13085.2548525153</v>
      </c>
      <c r="M30" s="358" t="n">
        <f aca="false">M13-M28</f>
        <v>-2002.83296404687</v>
      </c>
      <c r="N30" s="358" t="n">
        <f aca="false">N13-N28</f>
        <v>-2045.27069828547</v>
      </c>
      <c r="O30" s="358" t="n">
        <f aca="false">O13-O28</f>
        <v>-2089.11299637268</v>
      </c>
      <c r="P30" s="358" t="n">
        <f aca="false">P13-P28</f>
        <v>-2134.40004483288</v>
      </c>
      <c r="Q30" s="358" t="n">
        <f aca="false">Q13-Q28</f>
        <v>-2181.17319677837</v>
      </c>
      <c r="R30" s="358" t="n">
        <f aca="false">R13-R28</f>
        <v>-2229.47500612684</v>
      </c>
      <c r="S30" s="358" t="n">
        <f aca="false">S13-S28</f>
        <v>-2279.34926282977</v>
      </c>
      <c r="T30" s="358" t="n">
        <f aca="false">T13-T28</f>
        <v>-2330.84102914178</v>
      </c>
      <c r="U30" s="358" t="n">
        <f aca="false">U13-U28</f>
        <v>-2383.99667696179</v>
      </c>
      <c r="V30" s="358" t="n">
        <f aca="false">V13-V28</f>
        <v>-2438.86392627791</v>
      </c>
      <c r="W30" s="358" t="n">
        <f aca="false">W13-W28</f>
        <v>-2495.57521808209</v>
      </c>
      <c r="X30" s="358" t="n">
        <f aca="false">X13-X28</f>
        <v>-2554.13942178832</v>
      </c>
      <c r="Y30" s="358" t="n">
        <f aca="false">Y13-Y28</f>
        <v>-2614.5668771891</v>
      </c>
      <c r="Z30" s="358" t="n">
        <f aca="false">Z13-Z28</f>
        <v>-2676.91110431945</v>
      </c>
      <c r="AA30" s="358" t="n">
        <f aca="false">AA13-AA28</f>
        <v>-2741.22718126509</v>
      </c>
      <c r="AB30" s="358" t="n">
        <f aca="false">AB13-AB28</f>
        <v>-2807.57178995302</v>
      </c>
      <c r="AC30" s="358" t="n">
        <f aca="false">AC13-AC28</f>
        <v>-2876.00326329668</v>
      </c>
      <c r="AD30" s="358" t="n">
        <f aca="false">AD13-AD28</f>
        <v>-2946.58163373615</v>
      </c>
      <c r="AE30" s="358" t="n">
        <f aca="false">AE13-AE28</f>
        <v>-3019.36868321469</v>
      </c>
      <c r="AF30" s="358" t="n">
        <f aca="false">AF13-AF28</f>
        <v>-3094.42799463452</v>
      </c>
      <c r="AG30" s="358" t="n">
        <f aca="false">AG13-AG28</f>
        <v>-3176.82947983662</v>
      </c>
    </row>
    <row r="31" customFormat="false" ht="12.75" hidden="false" customHeight="false" outlineLevel="0" collapsed="false">
      <c r="A31" s="354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</row>
    <row r="32" customFormat="false" ht="12.75" hidden="false" customHeight="false" outlineLevel="0" collapsed="false">
      <c r="A32" s="135" t="s">
        <v>322</v>
      </c>
      <c r="C32" s="265" t="n">
        <f aca="false">Depreciation!D48</f>
        <v>2556.0120004492</v>
      </c>
      <c r="D32" s="265" t="n">
        <f aca="false">Depreciation!E48</f>
        <v>3834.01800067379</v>
      </c>
      <c r="E32" s="265" t="n">
        <f aca="false">Depreciation!F48</f>
        <v>3834.01800067379</v>
      </c>
      <c r="F32" s="265" t="n">
        <f aca="false">Depreciation!G48</f>
        <v>3834.01800067379</v>
      </c>
      <c r="G32" s="265" t="n">
        <f aca="false">Depreciation!H48</f>
        <v>3834.01800067379</v>
      </c>
      <c r="H32" s="265" t="n">
        <f aca="false">Depreciation!I48</f>
        <v>3313.12933400713</v>
      </c>
      <c r="I32" s="265" t="n">
        <f aca="false">Depreciation!J48</f>
        <v>3052.68500067379</v>
      </c>
      <c r="J32" s="265" t="n">
        <f aca="false">Depreciation!K48</f>
        <v>3052.68500067379</v>
      </c>
      <c r="K32" s="265" t="n">
        <f aca="false">Depreciation!L48</f>
        <v>3052.68500067379</v>
      </c>
      <c r="L32" s="265" t="n">
        <f aca="false">Depreciation!M48</f>
        <v>3052.68500067379</v>
      </c>
      <c r="M32" s="265" t="n">
        <f aca="false">Depreciation!N48</f>
        <v>3052.68500067379</v>
      </c>
      <c r="N32" s="265" t="n">
        <f aca="false">Depreciation!O48</f>
        <v>3052.68500067379</v>
      </c>
      <c r="O32" s="265" t="n">
        <f aca="false">Depreciation!P48</f>
        <v>3052.68500067379</v>
      </c>
      <c r="P32" s="265" t="n">
        <f aca="false">Depreciation!Q48</f>
        <v>3052.68500067379</v>
      </c>
      <c r="Q32" s="265" t="n">
        <f aca="false">Depreciation!R48</f>
        <v>3052.68500067379</v>
      </c>
      <c r="R32" s="265" t="n">
        <f aca="false">Depreciation!S48</f>
        <v>3052.68500067379</v>
      </c>
      <c r="S32" s="265" t="n">
        <f aca="false">Depreciation!T48</f>
        <v>3052.68500067379</v>
      </c>
      <c r="T32" s="265" t="n">
        <f aca="false">Depreciation!U48</f>
        <v>3052.68500067379</v>
      </c>
      <c r="U32" s="265" t="n">
        <f aca="false">Depreciation!V48</f>
        <v>3052.68500067379</v>
      </c>
      <c r="V32" s="265" t="n">
        <f aca="false">Depreciation!W48</f>
        <v>3052.68500067379</v>
      </c>
      <c r="W32" s="265" t="n">
        <f aca="false">Depreciation!X48</f>
        <v>3019.35166734046</v>
      </c>
      <c r="X32" s="265" t="n">
        <f aca="false">Depreciation!Y48</f>
        <v>3002.68500067379</v>
      </c>
      <c r="Y32" s="265" t="n">
        <f aca="false">Depreciation!Z48</f>
        <v>3002.68500067379</v>
      </c>
      <c r="Z32" s="265" t="n">
        <f aca="false">Depreciation!AA48</f>
        <v>3002.68500067379</v>
      </c>
      <c r="AA32" s="265" t="n">
        <f aca="false">Depreciation!AB48</f>
        <v>3002.68500067379</v>
      </c>
      <c r="AB32" s="265" t="n">
        <f aca="false">Depreciation!AC48</f>
        <v>3002.68500067379</v>
      </c>
      <c r="AC32" s="265" t="n">
        <f aca="false">Depreciation!AD48</f>
        <v>3002.68500067379</v>
      </c>
      <c r="AD32" s="265" t="n">
        <f aca="false">Depreciation!AE48</f>
        <v>3002.68500067379</v>
      </c>
      <c r="AE32" s="265" t="n">
        <f aca="false">Depreciation!AF48</f>
        <v>3002.68500067379</v>
      </c>
      <c r="AF32" s="265" t="n">
        <f aca="false">Depreciation!AG48</f>
        <v>3002.68500067379</v>
      </c>
      <c r="AG32" s="265" t="n">
        <f aca="false">Depreciation!AH48</f>
        <v>1000.8950002246</v>
      </c>
    </row>
    <row r="33" customFormat="false" ht="12.75" hidden="false" customHeight="false" outlineLevel="0" collapsed="false">
      <c r="A33" s="13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</row>
    <row r="34" customFormat="false" ht="12.75" hidden="false" customHeight="false" outlineLevel="0" collapsed="false">
      <c r="A34" s="354" t="s">
        <v>323</v>
      </c>
      <c r="C34" s="358" t="n">
        <f aca="false">C30-C32</f>
        <v>12419.7791451141</v>
      </c>
      <c r="D34" s="358" t="n">
        <f aca="false">D30-D32</f>
        <v>14082.2842783729</v>
      </c>
      <c r="E34" s="358" t="n">
        <f aca="false">E30-E32</f>
        <v>14944.3341151745</v>
      </c>
      <c r="F34" s="358" t="n">
        <f aca="false">F30-F32</f>
        <v>15529.8658582762</v>
      </c>
      <c r="G34" s="358" t="n">
        <f aca="false">G30-G32</f>
        <v>15386.1996589779</v>
      </c>
      <c r="H34" s="358" t="n">
        <f aca="false">H30-H32</f>
        <v>15764.2111179996</v>
      </c>
      <c r="I34" s="358" t="n">
        <f aca="false">I30-I32</f>
        <v>15323.98999098</v>
      </c>
      <c r="J34" s="358" t="n">
        <f aca="false">J30-J32</f>
        <v>15307.0289622317</v>
      </c>
      <c r="K34" s="358" t="n">
        <f aca="false">K30-K32</f>
        <v>14950.7717868295</v>
      </c>
      <c r="L34" s="358" t="n">
        <f aca="false">L30-L32</f>
        <v>10032.5698518415</v>
      </c>
      <c r="M34" s="358" t="n">
        <f aca="false">M30-M32</f>
        <v>-5055.51796472067</v>
      </c>
      <c r="N34" s="358" t="n">
        <f aca="false">N30-N32</f>
        <v>-5097.95569895927</v>
      </c>
      <c r="O34" s="358" t="n">
        <f aca="false">O30-O32</f>
        <v>-5141.79799704647</v>
      </c>
      <c r="P34" s="358" t="n">
        <f aca="false">P30-P32</f>
        <v>-5187.08504550667</v>
      </c>
      <c r="Q34" s="358" t="n">
        <f aca="false">Q30-Q32</f>
        <v>-5233.85819745217</v>
      </c>
      <c r="R34" s="358" t="n">
        <f aca="false">R30-R32</f>
        <v>-5282.16000680064</v>
      </c>
      <c r="S34" s="358" t="n">
        <f aca="false">S30-S32</f>
        <v>-5332.03426350357</v>
      </c>
      <c r="T34" s="358" t="n">
        <f aca="false">T30-T32</f>
        <v>-5383.52602981557</v>
      </c>
      <c r="U34" s="358" t="n">
        <f aca="false">U30-U32</f>
        <v>-5436.68167763558</v>
      </c>
      <c r="V34" s="358" t="n">
        <f aca="false">V30-V32</f>
        <v>-5491.5489269517</v>
      </c>
      <c r="W34" s="358" t="n">
        <f aca="false">W30-W32</f>
        <v>-5514.92688542255</v>
      </c>
      <c r="X34" s="358" t="n">
        <f aca="false">X30-X32</f>
        <v>-5556.82442246211</v>
      </c>
      <c r="Y34" s="358" t="n">
        <f aca="false">Y30-Y32</f>
        <v>-5617.2518778629</v>
      </c>
      <c r="Z34" s="358" t="n">
        <f aca="false">Z30-Z32</f>
        <v>-5679.59610499324</v>
      </c>
      <c r="AA34" s="358" t="n">
        <f aca="false">AA30-AA32</f>
        <v>-5743.91218193889</v>
      </c>
      <c r="AB34" s="358" t="n">
        <f aca="false">AB30-AB32</f>
        <v>-5810.25679062682</v>
      </c>
      <c r="AC34" s="358" t="n">
        <f aca="false">AC30-AC32</f>
        <v>-5878.68826397048</v>
      </c>
      <c r="AD34" s="358" t="n">
        <f aca="false">AD30-AD32</f>
        <v>-5949.26663440994</v>
      </c>
      <c r="AE34" s="358" t="n">
        <f aca="false">AE30-AE32</f>
        <v>-6022.05368388849</v>
      </c>
      <c r="AF34" s="358" t="n">
        <f aca="false">AF30-AF32</f>
        <v>-6097.11299530831</v>
      </c>
      <c r="AG34" s="358" t="n">
        <f aca="false">AG30-AG32</f>
        <v>-4177.72448006122</v>
      </c>
    </row>
    <row r="35" customFormat="false" ht="12.75" hidden="false" customHeight="false" outlineLevel="0" collapsed="false">
      <c r="A35" s="354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</row>
    <row r="36" customFormat="false" ht="12.75" hidden="false" customHeight="false" outlineLevel="0" collapsed="false">
      <c r="A36" s="135" t="s">
        <v>324</v>
      </c>
      <c r="C36" s="265" t="n">
        <f aca="false">Debt!B57</f>
        <v>3492.12465000107</v>
      </c>
      <c r="D36" s="265" t="n">
        <f aca="false">Debt!C57</f>
        <v>4683.26334616349</v>
      </c>
      <c r="E36" s="265" t="n">
        <f aca="false">Debt!D57</f>
        <v>4001.72072009642</v>
      </c>
      <c r="F36" s="265" t="n">
        <f aca="false">Debt!E57</f>
        <v>3257.16149562199</v>
      </c>
      <c r="G36" s="265" t="n">
        <f aca="false">Debt!F57</f>
        <v>2425.22511793277</v>
      </c>
      <c r="H36" s="265" t="n">
        <f aca="false">Debt!G57</f>
        <v>1525.82663795868</v>
      </c>
      <c r="I36" s="265" t="n">
        <f aca="false">Debt!H57</f>
        <v>568.276122854214</v>
      </c>
      <c r="J36" s="265" t="n">
        <f aca="false">Debt!I57</f>
        <v>18.1325466530093</v>
      </c>
      <c r="K36" s="265" t="n">
        <f aca="false">Debt!J57</f>
        <v>0</v>
      </c>
      <c r="L36" s="265" t="n">
        <f aca="false">Debt!K57</f>
        <v>0</v>
      </c>
      <c r="M36" s="265" t="n">
        <f aca="false">Debt!L57</f>
        <v>0</v>
      </c>
      <c r="N36" s="265" t="n">
        <f aca="false">Debt!M57</f>
        <v>58.1410100729092</v>
      </c>
      <c r="O36" s="265" t="n">
        <f aca="false">Debt!N57</f>
        <v>182.346165969797</v>
      </c>
      <c r="P36" s="265" t="n">
        <f aca="false">Debt!O57</f>
        <v>319.685027907243</v>
      </c>
      <c r="Q36" s="265" t="n">
        <f aca="false">Debt!P57</f>
        <v>471.630477960685</v>
      </c>
      <c r="R36" s="265" t="n">
        <f aca="false">Debt!Q57</f>
        <v>639.354342935908</v>
      </c>
      <c r="S36" s="265" t="n">
        <f aca="false">Debt!R57</f>
        <v>824.791428184887</v>
      </c>
      <c r="T36" s="265" t="n">
        <f aca="false">Debt!S57</f>
        <v>1028.9842177624</v>
      </c>
      <c r="U36" s="265" t="n">
        <f aca="false">Debt!T57</f>
        <v>1253.96143020353</v>
      </c>
      <c r="V36" s="265" t="n">
        <f aca="false">Debt!U57</f>
        <v>1501.40399379312</v>
      </c>
      <c r="W36" s="265" t="n">
        <f aca="false">Debt!V57</f>
        <v>1773.93143593317</v>
      </c>
      <c r="X36" s="265" t="n">
        <f aca="false">Debt!W57</f>
        <v>2073.11308090394</v>
      </c>
      <c r="Y36" s="265" t="n">
        <f aca="false">Debt!X57</f>
        <v>2401.75441109863</v>
      </c>
      <c r="Z36" s="265" t="n">
        <f aca="false">Debt!Y57</f>
        <v>2762.25147535573</v>
      </c>
      <c r="AA36" s="265" t="n">
        <f aca="false">Debt!Z57</f>
        <v>3158.17000554362</v>
      </c>
      <c r="AB36" s="265" t="n">
        <f aca="false">Debt!AA57</f>
        <v>3591.81546553531</v>
      </c>
      <c r="AC36" s="265" t="n">
        <f aca="false">Debt!AB57</f>
        <v>4067.07131151256</v>
      </c>
      <c r="AD36" s="265" t="n">
        <f aca="false">Debt!AC57</f>
        <v>4587.33439216361</v>
      </c>
      <c r="AE36" s="265" t="n">
        <f aca="false">Debt!AD57</f>
        <v>5157.48580594929</v>
      </c>
      <c r="AF36" s="265" t="n">
        <f aca="false">Debt!AE57</f>
        <v>5780.87209275111</v>
      </c>
      <c r="AG36" s="265" t="n">
        <f aca="false">Debt!AF57</f>
        <v>6493.96727710637</v>
      </c>
    </row>
    <row r="37" customFormat="false" ht="12" hidden="false" customHeight="true" outlineLevel="0" collapsed="false">
      <c r="A37" s="3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</row>
    <row r="38" customFormat="false" ht="12.75" hidden="false" customHeight="false" outlineLevel="0" collapsed="false">
      <c r="A38" s="354" t="s">
        <v>325</v>
      </c>
      <c r="C38" s="358" t="n">
        <f aca="false">C34-C36</f>
        <v>8927.65449511305</v>
      </c>
      <c r="D38" s="358" t="n">
        <f aca="false">D34-D36</f>
        <v>9399.02093220938</v>
      </c>
      <c r="E38" s="358" t="n">
        <f aca="false">E34-E36</f>
        <v>10942.6133950781</v>
      </c>
      <c r="F38" s="358" t="n">
        <f aca="false">F34-F36</f>
        <v>12272.7043626542</v>
      </c>
      <c r="G38" s="358" t="n">
        <f aca="false">G34-G36</f>
        <v>12960.9745410452</v>
      </c>
      <c r="H38" s="358" t="n">
        <f aca="false">H34-H36</f>
        <v>14238.3844800409</v>
      </c>
      <c r="I38" s="358" t="n">
        <f aca="false">I34-I36</f>
        <v>14755.7138681258</v>
      </c>
      <c r="J38" s="358" t="n">
        <f aca="false">J34-J36</f>
        <v>15288.8964155787</v>
      </c>
      <c r="K38" s="358" t="n">
        <f aca="false">K34-K36</f>
        <v>14950.7717868295</v>
      </c>
      <c r="L38" s="358" t="n">
        <f aca="false">L34-L36</f>
        <v>10032.5698518415</v>
      </c>
      <c r="M38" s="358" t="n">
        <f aca="false">M34-M36</f>
        <v>-5055.51796472067</v>
      </c>
      <c r="N38" s="358" t="n">
        <f aca="false">N34-N36</f>
        <v>-5156.09670903217</v>
      </c>
      <c r="O38" s="358" t="n">
        <f aca="false">O34-O36</f>
        <v>-5324.14416301627</v>
      </c>
      <c r="P38" s="358" t="n">
        <f aca="false">P34-P36</f>
        <v>-5506.77007341391</v>
      </c>
      <c r="Q38" s="358" t="n">
        <f aca="false">Q34-Q36</f>
        <v>-5705.48867541285</v>
      </c>
      <c r="R38" s="358" t="n">
        <f aca="false">R34-R36</f>
        <v>-5921.51434973654</v>
      </c>
      <c r="S38" s="358" t="n">
        <f aca="false">S34-S36</f>
        <v>-6156.82569168846</v>
      </c>
      <c r="T38" s="358" t="n">
        <f aca="false">T34-T36</f>
        <v>-6412.51024757797</v>
      </c>
      <c r="U38" s="358" t="n">
        <f aca="false">U34-U36</f>
        <v>-6690.64310783911</v>
      </c>
      <c r="V38" s="358" t="n">
        <f aca="false">V34-V36</f>
        <v>-6992.95292074482</v>
      </c>
      <c r="W38" s="358" t="n">
        <f aca="false">W34-W36</f>
        <v>-7288.85832135572</v>
      </c>
      <c r="X38" s="358" t="n">
        <f aca="false">X34-X36</f>
        <v>-7629.93750336605</v>
      </c>
      <c r="Y38" s="358" t="n">
        <f aca="false">Y34-Y36</f>
        <v>-8019.00628896153</v>
      </c>
      <c r="Z38" s="358" t="n">
        <f aca="false">Z34-Z36</f>
        <v>-8441.84758034897</v>
      </c>
      <c r="AA38" s="358" t="n">
        <f aca="false">AA34-AA36</f>
        <v>-8902.0821874825</v>
      </c>
      <c r="AB38" s="358" t="n">
        <f aca="false">AB34-AB36</f>
        <v>-9402.07225616213</v>
      </c>
      <c r="AC38" s="358" t="n">
        <f aca="false">AC34-AC36</f>
        <v>-9945.75957548304</v>
      </c>
      <c r="AD38" s="358" t="n">
        <f aca="false">AD34-AD36</f>
        <v>-10536.6010265735</v>
      </c>
      <c r="AE38" s="358" t="n">
        <f aca="false">AE34-AE36</f>
        <v>-11179.5394898378</v>
      </c>
      <c r="AF38" s="358" t="n">
        <f aca="false">AF34-AF36</f>
        <v>-11877.9850880594</v>
      </c>
      <c r="AG38" s="358" t="n">
        <f aca="false">AG34-AG36</f>
        <v>-10671.6917571676</v>
      </c>
    </row>
    <row r="39" customFormat="false" ht="12.75" hidden="false" customHeight="false" outlineLevel="0" collapsed="false">
      <c r="A39" s="354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</row>
    <row r="40" customFormat="false" ht="12.75" hidden="false" customHeight="false" outlineLevel="0" collapsed="false">
      <c r="A40" s="135" t="s">
        <v>326</v>
      </c>
      <c r="B40" s="366" t="n">
        <f aca="false">Assumptions!N51</f>
        <v>0.07</v>
      </c>
      <c r="C40" s="355" t="n">
        <f aca="false">-C38*$B$40</f>
        <v>-624.935814657914</v>
      </c>
      <c r="D40" s="355" t="n">
        <f aca="false">-D38*$B$40</f>
        <v>-657.931465254657</v>
      </c>
      <c r="E40" s="355" t="n">
        <f aca="false">-E38*$B$40</f>
        <v>-765.982937655469</v>
      </c>
      <c r="F40" s="355" t="n">
        <f aca="false">-F38*$B$40</f>
        <v>-859.089305385797</v>
      </c>
      <c r="G40" s="355" t="n">
        <f aca="false">-G38*$B$40</f>
        <v>-907.268217873161</v>
      </c>
      <c r="H40" s="355" t="n">
        <f aca="false">-H38*$B$40</f>
        <v>-996.686913602865</v>
      </c>
      <c r="I40" s="355" t="n">
        <f aca="false">-I38*$B$40</f>
        <v>-1032.89997076881</v>
      </c>
      <c r="J40" s="355" t="n">
        <f aca="false">-J38*$B$40</f>
        <v>-1070.22274909051</v>
      </c>
      <c r="K40" s="355" t="n">
        <f aca="false">-K38*$B$40</f>
        <v>-1046.55402507806</v>
      </c>
      <c r="L40" s="355" t="n">
        <f aca="false">-L38*$B$40</f>
        <v>-702.279889628906</v>
      </c>
      <c r="M40" s="355" t="n">
        <f aca="false">-M38*$B$40</f>
        <v>353.886257530447</v>
      </c>
      <c r="N40" s="355" t="n">
        <f aca="false">-N38*$B$40</f>
        <v>360.926769632252</v>
      </c>
      <c r="O40" s="355" t="n">
        <f aca="false">-O38*$B$40</f>
        <v>372.690091411139</v>
      </c>
      <c r="P40" s="355" t="n">
        <f aca="false">-P38*$B$40</f>
        <v>385.473905138974</v>
      </c>
      <c r="Q40" s="355" t="n">
        <f aca="false">-Q38*$B$40</f>
        <v>399.3842072789</v>
      </c>
      <c r="R40" s="355" t="n">
        <f aca="false">-R38*$B$40</f>
        <v>414.506004481558</v>
      </c>
      <c r="S40" s="355" t="n">
        <f aca="false">-S38*$B$40</f>
        <v>430.977798418192</v>
      </c>
      <c r="T40" s="355" t="n">
        <f aca="false">-T38*$B$40</f>
        <v>448.875717330458</v>
      </c>
      <c r="U40" s="355" t="n">
        <f aca="false">-U38*$B$40</f>
        <v>468.345017548738</v>
      </c>
      <c r="V40" s="355" t="n">
        <f aca="false">-V38*$B$40</f>
        <v>489.506704452137</v>
      </c>
      <c r="W40" s="355" t="n">
        <f aca="false">-W38*$B$40</f>
        <v>510.2200824949</v>
      </c>
      <c r="X40" s="355" t="n">
        <f aca="false">-X38*$B$40</f>
        <v>534.095625235624</v>
      </c>
      <c r="Y40" s="355" t="n">
        <f aca="false">-Y38*$B$40</f>
        <v>561.330440227307</v>
      </c>
      <c r="Z40" s="355" t="n">
        <f aca="false">-Z38*$B$40</f>
        <v>590.929330624428</v>
      </c>
      <c r="AA40" s="355" t="n">
        <f aca="false">-AA38*$B$40</f>
        <v>623.145753123775</v>
      </c>
      <c r="AB40" s="355" t="n">
        <f aca="false">-AB38*$B$40</f>
        <v>658.145057931349</v>
      </c>
      <c r="AC40" s="355" t="n">
        <f aca="false">-AC38*$B$40</f>
        <v>696.203170283813</v>
      </c>
      <c r="AD40" s="355" t="n">
        <f aca="false">-AD38*$B$40</f>
        <v>737.562071860148</v>
      </c>
      <c r="AE40" s="355" t="n">
        <f aca="false">-AE38*$B$40</f>
        <v>782.567764288645</v>
      </c>
      <c r="AF40" s="355" t="n">
        <f aca="false">-AF38*$B$40</f>
        <v>831.45895616416</v>
      </c>
      <c r="AG40" s="355" t="n">
        <f aca="false">-AG38*$B$40</f>
        <v>747.018423001731</v>
      </c>
    </row>
    <row r="41" customFormat="false" ht="12.75" hidden="false" customHeight="false" outlineLevel="0" collapsed="false">
      <c r="A41" s="135" t="s">
        <v>327</v>
      </c>
      <c r="B41" s="366" t="n">
        <f aca="false">Assumptions!N50</f>
        <v>0.35</v>
      </c>
      <c r="C41" s="355" t="n">
        <f aca="false">(C38+C40)*-$B$41</f>
        <v>-2905.9515381593</v>
      </c>
      <c r="D41" s="355" t="n">
        <f aca="false">(D38+D40)*-$B$41</f>
        <v>-3059.38131343415</v>
      </c>
      <c r="E41" s="355" t="n">
        <f aca="false">(E38+E40)*-$B$41</f>
        <v>-3561.82066009793</v>
      </c>
      <c r="F41" s="355" t="n">
        <f aca="false">(F38+F40)*-$B$41</f>
        <v>-3994.76527004395</v>
      </c>
      <c r="G41" s="355" t="n">
        <f aca="false">(G38+G40)*-$B$41</f>
        <v>-4218.7972131102</v>
      </c>
      <c r="H41" s="355" t="n">
        <f aca="false">(H38+H40)*-$B$41</f>
        <v>-4634.59414825332</v>
      </c>
      <c r="I41" s="355" t="n">
        <f aca="false">(I38+I40)*-$B$41</f>
        <v>-4802.98486407495</v>
      </c>
      <c r="J41" s="355" t="n">
        <f aca="false">(J38+J40)*-$B$41</f>
        <v>-4976.53578327087</v>
      </c>
      <c r="K41" s="355" t="n">
        <f aca="false">(K38+K40)*-$B$41</f>
        <v>-4866.47621661299</v>
      </c>
      <c r="L41" s="355" t="n">
        <f aca="false">(L38+L40)*-$B$41</f>
        <v>-3265.60148677441</v>
      </c>
      <c r="M41" s="355" t="n">
        <f aca="false">(M38+M40)*-$B$41</f>
        <v>1645.57109751658</v>
      </c>
      <c r="N41" s="355" t="n">
        <f aca="false">(N38+N40)*-$B$41</f>
        <v>1678.30947878997</v>
      </c>
      <c r="O41" s="355" t="n">
        <f aca="false">(O38+O40)*-$B$41</f>
        <v>1733.0089250618</v>
      </c>
      <c r="P41" s="355" t="n">
        <f aca="false">(P38+P40)*-$B$41</f>
        <v>1792.45365889623</v>
      </c>
      <c r="Q41" s="355" t="n">
        <f aca="false">(Q38+Q40)*-$B$41</f>
        <v>1857.13656384688</v>
      </c>
      <c r="R41" s="355" t="n">
        <f aca="false">(R38+R40)*-$B$41</f>
        <v>1927.45292083925</v>
      </c>
      <c r="S41" s="355" t="n">
        <f aca="false">(S38+S40)*-$B$41</f>
        <v>2004.04676264459</v>
      </c>
      <c r="T41" s="355" t="n">
        <f aca="false">(T38+T40)*-$B$41</f>
        <v>2087.27208558663</v>
      </c>
      <c r="U41" s="355" t="n">
        <f aca="false">(U38+U40)*-$B$41</f>
        <v>2177.80433160163</v>
      </c>
      <c r="V41" s="355" t="n">
        <f aca="false">(V38+V40)*-$B$41</f>
        <v>2276.20617570244</v>
      </c>
      <c r="W41" s="355" t="n">
        <f aca="false">(W38+W40)*-$B$41</f>
        <v>2372.52338360129</v>
      </c>
      <c r="X41" s="355" t="n">
        <f aca="false">(X38+X40)*-$B$41</f>
        <v>2483.54465734565</v>
      </c>
      <c r="Y41" s="355" t="n">
        <f aca="false">(Y38+Y40)*-$B$41</f>
        <v>2610.18654705698</v>
      </c>
      <c r="Z41" s="355" t="n">
        <f aca="false">(Z38+Z40)*-$B$41</f>
        <v>2747.82138740359</v>
      </c>
      <c r="AA41" s="355" t="n">
        <f aca="false">(AA38+AA40)*-$B$41</f>
        <v>2897.62775202555</v>
      </c>
      <c r="AB41" s="355" t="n">
        <f aca="false">(AB38+AB40)*-$B$41</f>
        <v>3060.37451938077</v>
      </c>
      <c r="AC41" s="355" t="n">
        <f aca="false">(AC38+AC40)*-$B$41</f>
        <v>3237.34474181973</v>
      </c>
      <c r="AD41" s="355" t="n">
        <f aca="false">(AD38+AD40)*-$B$41</f>
        <v>3429.66363414969</v>
      </c>
      <c r="AE41" s="355" t="n">
        <f aca="false">(AE38+AE40)*-$B$41</f>
        <v>3638.9401039422</v>
      </c>
      <c r="AF41" s="355" t="n">
        <f aca="false">(AF38+AF40)*-$B$41</f>
        <v>3866.28414616334</v>
      </c>
      <c r="AG41" s="355" t="n">
        <f aca="false">(AG38+AG40)*-$B$41</f>
        <v>3473.63566695805</v>
      </c>
    </row>
    <row r="42" customFormat="false" ht="12.75" hidden="false" customHeight="false" outlineLevel="0" collapsed="false">
      <c r="A42" s="3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</row>
    <row r="43" customFormat="false" ht="15.75" hidden="false" customHeight="false" outlineLevel="0" collapsed="false">
      <c r="A43" s="367" t="s">
        <v>328</v>
      </c>
      <c r="B43" s="4"/>
      <c r="C43" s="368" t="n">
        <f aca="false">C38+C40+C41</f>
        <v>5396.76714229584</v>
      </c>
      <c r="D43" s="368" t="n">
        <f aca="false">D38+D40+D41</f>
        <v>5681.70815352057</v>
      </c>
      <c r="E43" s="368" t="n">
        <f aca="false">E38+E40+E41</f>
        <v>6614.80979732473</v>
      </c>
      <c r="F43" s="368" t="n">
        <f aca="false">F38+F40+F41</f>
        <v>7418.84978722449</v>
      </c>
      <c r="G43" s="368" t="n">
        <f aca="false">G38+G40+G41</f>
        <v>7834.90911006179</v>
      </c>
      <c r="H43" s="368" t="n">
        <f aca="false">H38+H40+H41</f>
        <v>8607.10341818474</v>
      </c>
      <c r="I43" s="368" t="n">
        <f aca="false">I38+I40+I41</f>
        <v>8919.82903328205</v>
      </c>
      <c r="J43" s="368" t="n">
        <f aca="false">J38+J40+J41</f>
        <v>9242.13788321733</v>
      </c>
      <c r="K43" s="368" t="n">
        <f aca="false">K38+K40+K41</f>
        <v>9037.74154513842</v>
      </c>
      <c r="L43" s="368" t="n">
        <f aca="false">L38+L40+L41</f>
        <v>6064.68847543819</v>
      </c>
      <c r="M43" s="368" t="n">
        <f aca="false">M38+M40+M41</f>
        <v>-3056.06060967364</v>
      </c>
      <c r="N43" s="368" t="n">
        <f aca="false">N38+N40+N41</f>
        <v>-3116.86046060995</v>
      </c>
      <c r="O43" s="368" t="n">
        <f aca="false">O38+O40+O41</f>
        <v>-3218.44514654333</v>
      </c>
      <c r="P43" s="368" t="n">
        <f aca="false">P38+P40+P41</f>
        <v>-3328.84250937871</v>
      </c>
      <c r="Q43" s="368" t="n">
        <f aca="false">Q38+Q40+Q41</f>
        <v>-3448.96790428707</v>
      </c>
      <c r="R43" s="368" t="n">
        <f aca="false">R38+R40+R41</f>
        <v>-3579.55542441574</v>
      </c>
      <c r="S43" s="368" t="n">
        <f aca="false">S38+S40+S41</f>
        <v>-3721.80113062567</v>
      </c>
      <c r="T43" s="368" t="n">
        <f aca="false">T38+T40+T41</f>
        <v>-3876.36244466088</v>
      </c>
      <c r="U43" s="368" t="n">
        <f aca="false">U38+U40+U41</f>
        <v>-4044.49375868874</v>
      </c>
      <c r="V43" s="368" t="n">
        <f aca="false">V38+V40+V41</f>
        <v>-4227.24004059024</v>
      </c>
      <c r="W43" s="368" t="n">
        <f aca="false">W38+W40+W41</f>
        <v>-4406.11485525953</v>
      </c>
      <c r="X43" s="368" t="n">
        <f aca="false">X38+X40+X41</f>
        <v>-4612.29722078478</v>
      </c>
      <c r="Y43" s="368" t="n">
        <f aca="false">Y38+Y40+Y41</f>
        <v>-4847.48930167724</v>
      </c>
      <c r="Z43" s="368" t="n">
        <f aca="false">Z38+Z40+Z41</f>
        <v>-5103.09686232095</v>
      </c>
      <c r="AA43" s="368" t="n">
        <f aca="false">AA38+AA40+AA41</f>
        <v>-5381.30868233317</v>
      </c>
      <c r="AB43" s="368" t="n">
        <f aca="false">AB38+AB40+AB41</f>
        <v>-5683.55267885001</v>
      </c>
      <c r="AC43" s="368" t="n">
        <f aca="false">AC38+AC40+AC41</f>
        <v>-6012.2116633795</v>
      </c>
      <c r="AD43" s="368" t="n">
        <f aca="false">AD38+AD40+AD41</f>
        <v>-6369.37532056371</v>
      </c>
      <c r="AE43" s="368" t="n">
        <f aca="false">AE38+AE40+AE41</f>
        <v>-6758.03162160694</v>
      </c>
      <c r="AF43" s="368" t="n">
        <f aca="false">AF38+AF40+AF41</f>
        <v>-7180.24198573192</v>
      </c>
      <c r="AG43" s="368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3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</row>
    <row r="48" customFormat="false" ht="12.75" hidden="false" customHeight="false" outlineLevel="0" collapsed="false">
      <c r="A48" s="253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</row>
    <row r="49" customFormat="false" ht="12.75" hidden="false" customHeight="false" outlineLevel="0" collapsed="false">
      <c r="C49" s="369"/>
      <c r="D49" s="369"/>
      <c r="E49" s="369"/>
      <c r="F49" s="369"/>
      <c r="G49" s="369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9"/>
      <c r="D51" s="369"/>
      <c r="E51" s="369"/>
      <c r="F51" s="369"/>
      <c r="G51" s="369"/>
    </row>
    <row r="52" customFormat="false" ht="12.75" hidden="false" customHeight="false" outlineLevel="0" collapsed="false">
      <c r="C52" s="369"/>
      <c r="D52" s="369"/>
      <c r="E52" s="369"/>
      <c r="F52" s="369"/>
      <c r="G52" s="369"/>
    </row>
    <row r="53" customFormat="false" ht="12.75" hidden="false" customHeight="false" outlineLevel="0" collapsed="false">
      <c r="C53" s="369"/>
      <c r="D53" s="369"/>
      <c r="E53" s="369"/>
      <c r="F53" s="369"/>
      <c r="G53" s="369"/>
    </row>
    <row r="54" customFormat="false" ht="12.75" hidden="false" customHeight="false" outlineLevel="0" collapsed="false">
      <c r="C54" s="369"/>
      <c r="D54" s="369"/>
      <c r="E54" s="369"/>
      <c r="F54" s="369"/>
      <c r="G54" s="369"/>
    </row>
    <row r="55" customFormat="false" ht="12.75" hidden="false" customHeight="false" outlineLevel="0" collapsed="false">
      <c r="C55" s="369"/>
      <c r="D55" s="369"/>
      <c r="E55" s="369"/>
      <c r="F55" s="369"/>
      <c r="G55" s="369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70"/>
      <c r="D58" s="370"/>
      <c r="E58" s="370"/>
      <c r="F58" s="370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70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7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9" t="s">
        <v>329</v>
      </c>
      <c r="B4" s="372"/>
      <c r="C4" s="372"/>
    </row>
    <row r="6" customFormat="false" ht="12.75" hidden="false" customHeight="false" outlineLevel="0" collapsed="false">
      <c r="C6" s="373" t="n">
        <v>0</v>
      </c>
      <c r="D6" s="374" t="n">
        <f aca="false">'Price_Technical Assumption'!D7</f>
        <v>0.666666666666667</v>
      </c>
      <c r="E6" s="374" t="n">
        <f aca="false">'Price_Technical Assumption'!E7</f>
        <v>1.66666666666667</v>
      </c>
      <c r="F6" s="374" t="n">
        <f aca="false">'Price_Technical Assumption'!F7</f>
        <v>2.66666666666667</v>
      </c>
      <c r="G6" s="374" t="n">
        <f aca="false">'Price_Technical Assumption'!G7</f>
        <v>3.66666666666667</v>
      </c>
      <c r="H6" s="374" t="n">
        <f aca="false">'Price_Technical Assumption'!H7</f>
        <v>4.66666666666667</v>
      </c>
      <c r="I6" s="374" t="n">
        <f aca="false">'Price_Technical Assumption'!I7</f>
        <v>5.66666666666667</v>
      </c>
      <c r="J6" s="374" t="n">
        <f aca="false">'Price_Technical Assumption'!J7</f>
        <v>6.66666666666667</v>
      </c>
      <c r="K6" s="374" t="n">
        <f aca="false">'Price_Technical Assumption'!K7</f>
        <v>7.66666666666667</v>
      </c>
      <c r="L6" s="374" t="n">
        <f aca="false">'Price_Technical Assumption'!L7</f>
        <v>8.66666666666667</v>
      </c>
      <c r="M6" s="374" t="n">
        <f aca="false">'Price_Technical Assumption'!M7</f>
        <v>9.66666666666667</v>
      </c>
      <c r="N6" s="374" t="n">
        <f aca="false">'Price_Technical Assumption'!N7</f>
        <v>10.6666666666667</v>
      </c>
      <c r="O6" s="374" t="n">
        <f aca="false">'Price_Technical Assumption'!O7</f>
        <v>11.6666666666667</v>
      </c>
      <c r="P6" s="374" t="n">
        <f aca="false">'Price_Technical Assumption'!P7</f>
        <v>12.6666666666667</v>
      </c>
      <c r="Q6" s="374" t="n">
        <f aca="false">'Price_Technical Assumption'!Q7</f>
        <v>13.6666666666667</v>
      </c>
      <c r="R6" s="374" t="n">
        <f aca="false">'Price_Technical Assumption'!R7</f>
        <v>14.6666666666667</v>
      </c>
      <c r="S6" s="374" t="n">
        <f aca="false">'Price_Technical Assumption'!S7</f>
        <v>15.6666666666667</v>
      </c>
      <c r="T6" s="374" t="n">
        <f aca="false">'Price_Technical Assumption'!T7</f>
        <v>16.6666666666667</v>
      </c>
      <c r="U6" s="374" t="n">
        <f aca="false">'Price_Technical Assumption'!U7</f>
        <v>17.6666666666667</v>
      </c>
      <c r="V6" s="374" t="n">
        <f aca="false">'Price_Technical Assumption'!V7</f>
        <v>18.6666666666667</v>
      </c>
      <c r="W6" s="374" t="n">
        <f aca="false">'Price_Technical Assumption'!W7</f>
        <v>19.6666666666667</v>
      </c>
      <c r="X6" s="374" t="n">
        <f aca="false">'Price_Technical Assumption'!X7</f>
        <v>20.6666666666667</v>
      </c>
      <c r="Y6" s="374" t="n">
        <f aca="false">'Price_Technical Assumption'!Y7</f>
        <v>21.6666666666667</v>
      </c>
      <c r="Z6" s="374" t="n">
        <f aca="false">'Price_Technical Assumption'!Z7</f>
        <v>22.6666666666667</v>
      </c>
      <c r="AA6" s="374" t="n">
        <f aca="false">'Price_Technical Assumption'!AA7</f>
        <v>23.6666666666667</v>
      </c>
      <c r="AB6" s="374" t="n">
        <f aca="false">'Price_Technical Assumption'!AB7</f>
        <v>24.6666666666667</v>
      </c>
      <c r="AC6" s="374" t="n">
        <f aca="false">'Price_Technical Assumption'!AC7</f>
        <v>25.6666666666667</v>
      </c>
      <c r="AD6" s="374" t="n">
        <f aca="false">'Price_Technical Assumption'!AD7</f>
        <v>26.6666666666667</v>
      </c>
      <c r="AE6" s="374" t="n">
        <f aca="false">'Price_Technical Assumption'!AE7</f>
        <v>27.6666666666667</v>
      </c>
      <c r="AF6" s="374" t="n">
        <f aca="false">'Price_Technical Assumption'!AF7</f>
        <v>28.6666666666667</v>
      </c>
      <c r="AG6" s="374" t="n">
        <f aca="false">'Price_Technical Assumption'!AG7</f>
        <v>29.6666666666667</v>
      </c>
      <c r="AH6" s="374" t="n">
        <f aca="false">'Price_Technical Assumption'!AH7</f>
        <v>30.6666666666667</v>
      </c>
    </row>
    <row r="7" customFormat="false" ht="13.5" hidden="false" customHeight="false" outlineLevel="0" collapsed="false">
      <c r="A7" s="350" t="s">
        <v>311</v>
      </c>
      <c r="B7" s="351"/>
      <c r="C7" s="375" t="s">
        <v>330</v>
      </c>
      <c r="D7" s="351" t="n">
        <f aca="false">'Price_Technical Assumption'!D8</f>
        <v>2001</v>
      </c>
      <c r="E7" s="351" t="n">
        <f aca="false">'Price_Technical Assumption'!E8</f>
        <v>2002</v>
      </c>
      <c r="F7" s="351" t="n">
        <f aca="false">'Price_Technical Assumption'!F8</f>
        <v>2003</v>
      </c>
      <c r="G7" s="351" t="n">
        <f aca="false">'Price_Technical Assumption'!G8</f>
        <v>2004</v>
      </c>
      <c r="H7" s="351" t="n">
        <f aca="false">'Price_Technical Assumption'!H8</f>
        <v>2005</v>
      </c>
      <c r="I7" s="351" t="n">
        <f aca="false">'Price_Technical Assumption'!I8</f>
        <v>2006</v>
      </c>
      <c r="J7" s="351" t="n">
        <f aca="false">'Price_Technical Assumption'!J8</f>
        <v>2007</v>
      </c>
      <c r="K7" s="351" t="n">
        <f aca="false">'Price_Technical Assumption'!K8</f>
        <v>2008</v>
      </c>
      <c r="L7" s="351" t="n">
        <f aca="false">'Price_Technical Assumption'!L8</f>
        <v>2009</v>
      </c>
      <c r="M7" s="351" t="n">
        <f aca="false">'Price_Technical Assumption'!M8</f>
        <v>2010</v>
      </c>
      <c r="N7" s="351" t="n">
        <f aca="false">'Price_Technical Assumption'!N8</f>
        <v>2011</v>
      </c>
      <c r="O7" s="351" t="n">
        <f aca="false">'Price_Technical Assumption'!O8</f>
        <v>2012</v>
      </c>
      <c r="P7" s="351" t="n">
        <f aca="false">'Price_Technical Assumption'!P8</f>
        <v>2013</v>
      </c>
      <c r="Q7" s="351" t="n">
        <f aca="false">'Price_Technical Assumption'!Q8</f>
        <v>2014</v>
      </c>
      <c r="R7" s="351" t="n">
        <f aca="false">'Price_Technical Assumption'!R8</f>
        <v>2015</v>
      </c>
      <c r="S7" s="351" t="n">
        <f aca="false">'Price_Technical Assumption'!S8</f>
        <v>2016</v>
      </c>
      <c r="T7" s="351" t="n">
        <f aca="false">'Price_Technical Assumption'!T8</f>
        <v>2017</v>
      </c>
      <c r="U7" s="351" t="n">
        <f aca="false">'Price_Technical Assumption'!U8</f>
        <v>2018</v>
      </c>
      <c r="V7" s="351" t="n">
        <f aca="false">'Price_Technical Assumption'!V8</f>
        <v>2019</v>
      </c>
      <c r="W7" s="351" t="n">
        <f aca="false">'Price_Technical Assumption'!W8</f>
        <v>2020</v>
      </c>
      <c r="X7" s="351" t="n">
        <f aca="false">'Price_Technical Assumption'!X8</f>
        <v>2021</v>
      </c>
      <c r="Y7" s="351" t="n">
        <f aca="false">'Price_Technical Assumption'!Y8</f>
        <v>2022</v>
      </c>
      <c r="Z7" s="351" t="n">
        <f aca="false">'Price_Technical Assumption'!Z8</f>
        <v>2023</v>
      </c>
      <c r="AA7" s="351" t="n">
        <f aca="false">'Price_Technical Assumption'!AA8</f>
        <v>2024</v>
      </c>
      <c r="AB7" s="351" t="n">
        <f aca="false">'Price_Technical Assumption'!AB8</f>
        <v>2025</v>
      </c>
      <c r="AC7" s="351" t="n">
        <f aca="false">'Price_Technical Assumption'!AC8</f>
        <v>2026</v>
      </c>
      <c r="AD7" s="351" t="n">
        <f aca="false">'Price_Technical Assumption'!AD8</f>
        <v>2027</v>
      </c>
      <c r="AE7" s="351" t="n">
        <f aca="false">'Price_Technical Assumption'!AE8</f>
        <v>2028</v>
      </c>
      <c r="AF7" s="351" t="n">
        <f aca="false">'Price_Technical Assumption'!AF8</f>
        <v>2029</v>
      </c>
      <c r="AG7" s="351" t="n">
        <f aca="false">'Price_Technical Assumption'!AG8</f>
        <v>2030</v>
      </c>
      <c r="AH7" s="351" t="n">
        <f aca="false">'Price_Technical Assumption'!AH8</f>
        <v>2031</v>
      </c>
    </row>
    <row r="8" customFormat="false" ht="12.75" hidden="false" customHeight="false" outlineLevel="0" collapsed="false">
      <c r="A8" s="352"/>
      <c r="C8" s="376"/>
      <c r="D8" s="377" t="n">
        <f aca="false">Assumptions!H17+365.25*Assumptions!H18/12</f>
        <v>37255.5</v>
      </c>
      <c r="E8" s="377" t="n">
        <f aca="false">D8+365.25</f>
        <v>37620.75</v>
      </c>
      <c r="F8" s="377" t="n">
        <f aca="false">E8+365.25</f>
        <v>37986</v>
      </c>
      <c r="G8" s="377" t="n">
        <f aca="false">F8+365.25</f>
        <v>38351.25</v>
      </c>
      <c r="H8" s="377" t="n">
        <f aca="false">G8+365.25</f>
        <v>38716.5</v>
      </c>
      <c r="I8" s="377" t="n">
        <f aca="false">H8+365.25</f>
        <v>39081.75</v>
      </c>
      <c r="J8" s="377" t="n">
        <f aca="false">I8+365.25</f>
        <v>39447</v>
      </c>
      <c r="K8" s="377" t="n">
        <f aca="false">J8+365.25</f>
        <v>39812.25</v>
      </c>
      <c r="L8" s="377" t="n">
        <f aca="false">K8+365.25</f>
        <v>40177.5</v>
      </c>
      <c r="M8" s="377" t="n">
        <f aca="false">L8+365.25</f>
        <v>40542.75</v>
      </c>
      <c r="N8" s="377" t="n">
        <f aca="false">M8+365.25</f>
        <v>40908</v>
      </c>
      <c r="O8" s="377" t="n">
        <f aca="false">N8+365.25</f>
        <v>41273.25</v>
      </c>
      <c r="P8" s="377" t="n">
        <f aca="false">O8+365.25</f>
        <v>41638.5</v>
      </c>
      <c r="Q8" s="377" t="n">
        <f aca="false">P8+365.25</f>
        <v>42003.75</v>
      </c>
      <c r="R8" s="377" t="n">
        <f aca="false">Q8+365.25</f>
        <v>42369</v>
      </c>
      <c r="S8" s="377" t="n">
        <f aca="false">R8+365.25</f>
        <v>42734.25</v>
      </c>
      <c r="T8" s="377" t="n">
        <f aca="false">S8+365.25</f>
        <v>43099.5</v>
      </c>
      <c r="U8" s="377" t="n">
        <f aca="false">T8+365.25</f>
        <v>43464.75</v>
      </c>
      <c r="V8" s="377" t="n">
        <f aca="false">U8+365.25</f>
        <v>43830</v>
      </c>
      <c r="W8" s="377" t="n">
        <f aca="false">V8+365.25</f>
        <v>44195.25</v>
      </c>
      <c r="X8" s="377" t="n">
        <f aca="false">W8+365.25</f>
        <v>44560.5</v>
      </c>
      <c r="Y8" s="377" t="n">
        <f aca="false">X8+365.25</f>
        <v>44925.75</v>
      </c>
      <c r="Z8" s="377" t="n">
        <f aca="false">Y8+365.25</f>
        <v>45291</v>
      </c>
      <c r="AA8" s="377" t="n">
        <f aca="false">Z8+365.25</f>
        <v>45656.25</v>
      </c>
      <c r="AB8" s="377" t="n">
        <f aca="false">AA8+365.25</f>
        <v>46021.5</v>
      </c>
      <c r="AC8" s="377" t="n">
        <f aca="false">AB8+365.25</f>
        <v>46386.75</v>
      </c>
      <c r="AD8" s="377" t="n">
        <f aca="false">AC8+365.25</f>
        <v>46752</v>
      </c>
      <c r="AE8" s="377" t="n">
        <f aca="false">AD8+365.25</f>
        <v>47117.25</v>
      </c>
      <c r="AF8" s="377" t="n">
        <f aca="false">AE8+365.25</f>
        <v>47482.5</v>
      </c>
      <c r="AG8" s="377" t="n">
        <f aca="false">AF8+365.25</f>
        <v>47847.75</v>
      </c>
      <c r="AH8" s="377" t="n">
        <f aca="false">AG8+365.25</f>
        <v>48213</v>
      </c>
    </row>
    <row r="9" customFormat="false" ht="12.75" hidden="false" customHeight="false" outlineLevel="0" collapsed="false">
      <c r="A9" s="354" t="s">
        <v>331</v>
      </c>
      <c r="B9" s="1"/>
      <c r="C9" s="378"/>
      <c r="D9" s="265"/>
      <c r="E9" s="265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</row>
    <row r="10" customFormat="false" ht="12.75" hidden="false" customHeight="false" outlineLevel="0" collapsed="false">
      <c r="A10" s="354"/>
      <c r="B10" s="1"/>
      <c r="C10" s="378"/>
      <c r="D10" s="265"/>
      <c r="E10" s="265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</row>
    <row r="11" customFormat="false" ht="12.75" hidden="false" customHeight="false" outlineLevel="0" collapsed="false">
      <c r="A11" s="180" t="s">
        <v>332</v>
      </c>
      <c r="B11" s="1"/>
      <c r="C11" s="380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</row>
    <row r="12" customFormat="false" ht="12.75" hidden="false" customHeight="false" outlineLevel="0" collapsed="false">
      <c r="A12" s="180" t="s">
        <v>333</v>
      </c>
      <c r="B12" s="1"/>
      <c r="C12" s="380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81"/>
      <c r="AJ12" s="381"/>
      <c r="AK12" s="381"/>
      <c r="AL12" s="381"/>
      <c r="AM12" s="381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81"/>
      <c r="BG12" s="381"/>
      <c r="BH12" s="381"/>
    </row>
    <row r="13" customFormat="false" ht="12.75" hidden="false" customHeight="false" outlineLevel="0" collapsed="false">
      <c r="A13" s="180" t="s">
        <v>334</v>
      </c>
      <c r="B13" s="1"/>
      <c r="C13" s="380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</row>
    <row r="14" customFormat="false" ht="12.75" hidden="false" customHeight="false" outlineLevel="0" collapsed="false">
      <c r="A14" s="180" t="s">
        <v>335</v>
      </c>
      <c r="B14" s="1"/>
      <c r="C14" s="380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81"/>
      <c r="AJ14" s="381"/>
      <c r="AK14" s="381"/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</row>
    <row r="15" customFormat="false" ht="12.75" hidden="false" customHeight="false" outlineLevel="0" collapsed="false">
      <c r="A15" s="382" t="s">
        <v>336</v>
      </c>
      <c r="B15" s="116"/>
      <c r="C15" s="383" t="n">
        <v>0</v>
      </c>
      <c r="D15" s="382" t="n">
        <v>0</v>
      </c>
      <c r="E15" s="382" t="n">
        <v>0</v>
      </c>
      <c r="F15" s="382" t="n">
        <v>0</v>
      </c>
      <c r="G15" s="382" t="n">
        <v>0</v>
      </c>
      <c r="H15" s="382" t="n">
        <v>0</v>
      </c>
      <c r="I15" s="382" t="n">
        <v>0</v>
      </c>
      <c r="J15" s="382" t="n">
        <v>0</v>
      </c>
      <c r="K15" s="382" t="n">
        <v>0</v>
      </c>
      <c r="L15" s="382" t="n">
        <v>0</v>
      </c>
      <c r="M15" s="382" t="n">
        <v>0</v>
      </c>
      <c r="N15" s="382" t="n">
        <v>0</v>
      </c>
      <c r="O15" s="382" t="n">
        <v>0</v>
      </c>
      <c r="P15" s="382" t="n">
        <v>0</v>
      </c>
      <c r="Q15" s="382" t="n">
        <v>0</v>
      </c>
      <c r="R15" s="382" t="n">
        <v>0</v>
      </c>
      <c r="S15" s="382" t="n">
        <v>0</v>
      </c>
      <c r="T15" s="382" t="n">
        <v>0</v>
      </c>
      <c r="U15" s="382" t="n">
        <v>0</v>
      </c>
      <c r="V15" s="382" t="n">
        <v>0</v>
      </c>
      <c r="W15" s="382" t="n">
        <v>0</v>
      </c>
      <c r="X15" s="382" t="n">
        <v>0</v>
      </c>
      <c r="Y15" s="382" t="n">
        <v>0</v>
      </c>
      <c r="Z15" s="382" t="n">
        <v>0</v>
      </c>
      <c r="AA15" s="382" t="n">
        <v>0</v>
      </c>
      <c r="AB15" s="382" t="n">
        <v>0</v>
      </c>
      <c r="AC15" s="382" t="n">
        <v>0</v>
      </c>
      <c r="AD15" s="382" t="n">
        <v>0</v>
      </c>
      <c r="AE15" s="382" t="n">
        <v>0</v>
      </c>
      <c r="AF15" s="382" t="n">
        <v>0</v>
      </c>
      <c r="AG15" s="382" t="n">
        <v>0</v>
      </c>
      <c r="AH15" s="382" t="n">
        <v>0</v>
      </c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381"/>
      <c r="BC15" s="381"/>
      <c r="BD15" s="381"/>
      <c r="BE15" s="381"/>
      <c r="BF15" s="381"/>
      <c r="BG15" s="381"/>
      <c r="BH15" s="381"/>
    </row>
    <row r="16" customFormat="false" ht="12.75" hidden="false" customHeight="false" outlineLevel="0" collapsed="false">
      <c r="A16" s="180" t="s">
        <v>337</v>
      </c>
      <c r="B16" s="1"/>
      <c r="C16" s="380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81"/>
      <c r="AJ16" s="381"/>
      <c r="AK16" s="381"/>
      <c r="AL16" s="381"/>
      <c r="AM16" s="381"/>
      <c r="AN16" s="381"/>
      <c r="AO16" s="381"/>
      <c r="AP16" s="381"/>
      <c r="AQ16" s="381"/>
      <c r="AR16" s="381"/>
      <c r="AS16" s="381"/>
      <c r="AT16" s="381"/>
      <c r="AU16" s="381"/>
      <c r="AV16" s="381"/>
      <c r="AW16" s="381"/>
      <c r="AX16" s="381"/>
      <c r="AY16" s="381"/>
      <c r="AZ16" s="381"/>
      <c r="BA16" s="381"/>
      <c r="BB16" s="381"/>
      <c r="BC16" s="381"/>
      <c r="BD16" s="381"/>
      <c r="BE16" s="381"/>
      <c r="BF16" s="381"/>
      <c r="BG16" s="381"/>
      <c r="BH16" s="381"/>
    </row>
    <row r="17" customFormat="false" ht="12.75" hidden="false" customHeight="false" outlineLevel="0" collapsed="false">
      <c r="A17" s="31"/>
      <c r="B17" s="1"/>
      <c r="C17" s="380"/>
      <c r="D17" s="180"/>
      <c r="E17" s="180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81"/>
    </row>
    <row r="18" customFormat="false" ht="12.75" hidden="false" customHeight="false" outlineLevel="0" collapsed="false">
      <c r="A18" s="180" t="s">
        <v>338</v>
      </c>
      <c r="B18" s="1"/>
      <c r="C18" s="380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81"/>
      <c r="AJ18" s="381"/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1"/>
      <c r="BD18" s="381"/>
      <c r="BE18" s="381"/>
      <c r="BF18" s="381"/>
      <c r="BG18" s="381"/>
      <c r="BH18" s="381"/>
    </row>
    <row r="19" customFormat="false" ht="12.75" hidden="false" customHeight="false" outlineLevel="0" collapsed="false">
      <c r="A19" s="180" t="s">
        <v>339</v>
      </c>
      <c r="B19" s="31"/>
      <c r="C19" s="384" t="n">
        <v>0</v>
      </c>
      <c r="D19" s="385" t="n">
        <f aca="false">SUM(Depreciation!$D$48:D48)</f>
        <v>2556.0120004492</v>
      </c>
      <c r="E19" s="385" t="n">
        <f aca="false">SUM(Depreciation!$D$48:E48)</f>
        <v>6390.03000112299</v>
      </c>
      <c r="F19" s="385" t="n">
        <f aca="false">SUM(Depreciation!$D$48:F48)</f>
        <v>10224.0480017968</v>
      </c>
      <c r="G19" s="385" t="n">
        <f aca="false">SUM(Depreciation!$D$48:G48)</f>
        <v>14058.0660024706</v>
      </c>
      <c r="H19" s="385" t="n">
        <f aca="false">SUM(Depreciation!$D$48:H48)</f>
        <v>17892.0840031444</v>
      </c>
      <c r="I19" s="385" t="n">
        <f aca="false">SUM(Depreciation!$D$48:I48)</f>
        <v>21205.2133371515</v>
      </c>
      <c r="J19" s="385" t="n">
        <f aca="false">SUM(Depreciation!$D$48:J48)</f>
        <v>24257.8983378253</v>
      </c>
      <c r="K19" s="385" t="n">
        <f aca="false">SUM(Depreciation!$D$48:K48)</f>
        <v>27310.5833384991</v>
      </c>
      <c r="L19" s="385" t="n">
        <f aca="false">SUM(Depreciation!$D$48:L48)</f>
        <v>30363.2683391729</v>
      </c>
      <c r="M19" s="385" t="n">
        <f aca="false">SUM(Depreciation!$D$48:M48)</f>
        <v>33415.9533398467</v>
      </c>
      <c r="N19" s="385" t="n">
        <f aca="false">SUM(Depreciation!$D$48:N48)</f>
        <v>36468.6383405205</v>
      </c>
      <c r="O19" s="385" t="n">
        <f aca="false">SUM(Depreciation!$D$48:O48)</f>
        <v>39521.3233411943</v>
      </c>
      <c r="P19" s="385" t="n">
        <f aca="false">SUM(Depreciation!$D$48:P48)</f>
        <v>42574.0083418681</v>
      </c>
      <c r="Q19" s="385" t="n">
        <f aca="false">SUM(Depreciation!$D$48:Q48)</f>
        <v>45626.6933425419</v>
      </c>
      <c r="R19" s="385" t="n">
        <f aca="false">SUM(Depreciation!$D$48:R48)</f>
        <v>48679.3783432156</v>
      </c>
      <c r="S19" s="385" t="n">
        <f aca="false">SUM(Depreciation!$D$48:S48)</f>
        <v>51732.0633438894</v>
      </c>
      <c r="T19" s="385" t="n">
        <f aca="false">SUM(Depreciation!$D$48:T48)</f>
        <v>54784.7483445632</v>
      </c>
      <c r="U19" s="385" t="n">
        <f aca="false">SUM(Depreciation!$D$48:U48)</f>
        <v>57837.433345237</v>
      </c>
      <c r="V19" s="385" t="n">
        <f aca="false">SUM(Depreciation!$D$48:V48)</f>
        <v>60890.1183459108</v>
      </c>
      <c r="W19" s="385" t="n">
        <f aca="false">SUM(Depreciation!$D$48:W48)</f>
        <v>63942.8033465846</v>
      </c>
      <c r="X19" s="385" t="n">
        <f aca="false">SUM(Depreciation!$D$48:X48)</f>
        <v>66962.1550139251</v>
      </c>
      <c r="Y19" s="385" t="n">
        <f aca="false">SUM(Depreciation!$D$48:Y48)</f>
        <v>69964.8400145989</v>
      </c>
      <c r="Z19" s="385" t="n">
        <f aca="false">SUM(Depreciation!$D$48:Z48)</f>
        <v>72967.5250152727</v>
      </c>
      <c r="AA19" s="385" t="n">
        <f aca="false">SUM(Depreciation!$D$48:AA48)</f>
        <v>75970.2100159465</v>
      </c>
      <c r="AB19" s="385" t="n">
        <f aca="false">SUM(Depreciation!$D$48:AB48)</f>
        <v>78972.8950166202</v>
      </c>
      <c r="AC19" s="385" t="n">
        <f aca="false">SUM(Depreciation!$D$48:AC48)</f>
        <v>81975.580017294</v>
      </c>
      <c r="AD19" s="385" t="n">
        <f aca="false">SUM(Depreciation!$D$48:AD48)</f>
        <v>84978.2650179678</v>
      </c>
      <c r="AE19" s="385" t="n">
        <f aca="false">SUM(Depreciation!$D$48:AE48)</f>
        <v>87980.9500186416</v>
      </c>
      <c r="AF19" s="385" t="n">
        <f aca="false">SUM(Depreciation!$D$48:AF48)</f>
        <v>90983.6350193154</v>
      </c>
      <c r="AG19" s="385" t="n">
        <f aca="false">SUM(Depreciation!$D$48:AG48)</f>
        <v>93986.3200199892</v>
      </c>
      <c r="AH19" s="385" t="n">
        <f aca="false">SUM(Depreciation!$D$48:AH48)</f>
        <v>94987.2150202138</v>
      </c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381"/>
      <c r="BF19" s="381"/>
      <c r="BG19" s="381"/>
      <c r="BH19" s="381"/>
    </row>
    <row r="20" customFormat="false" ht="12.75" hidden="false" customHeight="false" outlineLevel="0" collapsed="false">
      <c r="A20" s="180" t="s">
        <v>340</v>
      </c>
      <c r="B20" s="31"/>
      <c r="C20" s="380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81"/>
      <c r="AJ20" s="381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1"/>
      <c r="BB20" s="381"/>
      <c r="BC20" s="381"/>
      <c r="BD20" s="381"/>
      <c r="BE20" s="381"/>
      <c r="BF20" s="381"/>
      <c r="BG20" s="381"/>
      <c r="BH20" s="381"/>
    </row>
    <row r="21" customFormat="false" ht="12.75" hidden="false" customHeight="false" outlineLevel="0" collapsed="false">
      <c r="A21" s="180"/>
      <c r="B21" s="31"/>
      <c r="C21" s="3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</row>
    <row r="22" customFormat="false" ht="12.75" hidden="false" customHeight="false" outlineLevel="0" collapsed="false">
      <c r="A22" s="180" t="s">
        <v>341</v>
      </c>
      <c r="B22" s="31"/>
      <c r="C22" s="380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381"/>
      <c r="BF22" s="381"/>
      <c r="BG22" s="381"/>
      <c r="BH22" s="381"/>
    </row>
    <row r="23" customFormat="false" ht="12.75" hidden="false" customHeight="false" outlineLevel="0" collapsed="false">
      <c r="A23" s="180" t="s">
        <v>342</v>
      </c>
      <c r="B23" s="31"/>
      <c r="C23" s="384" t="n">
        <v>0</v>
      </c>
      <c r="D23" s="385" t="n">
        <v>0</v>
      </c>
      <c r="E23" s="385" t="n">
        <v>0</v>
      </c>
      <c r="F23" s="385" t="n">
        <v>0</v>
      </c>
      <c r="G23" s="385" t="n">
        <v>0</v>
      </c>
      <c r="H23" s="385" t="n">
        <v>0</v>
      </c>
      <c r="I23" s="385" t="n">
        <v>0</v>
      </c>
      <c r="J23" s="385" t="n">
        <v>0</v>
      </c>
      <c r="K23" s="385" t="n">
        <v>0</v>
      </c>
      <c r="L23" s="385" t="n">
        <v>0</v>
      </c>
      <c r="M23" s="385" t="n">
        <v>0</v>
      </c>
      <c r="N23" s="385" t="n">
        <v>0</v>
      </c>
      <c r="O23" s="385" t="n">
        <v>0</v>
      </c>
      <c r="P23" s="385" t="n">
        <v>0</v>
      </c>
      <c r="Q23" s="385" t="n">
        <v>0</v>
      </c>
      <c r="R23" s="385" t="n">
        <v>0</v>
      </c>
      <c r="S23" s="385" t="n">
        <v>0</v>
      </c>
      <c r="T23" s="385" t="n">
        <v>0</v>
      </c>
      <c r="U23" s="385" t="n">
        <v>0</v>
      </c>
      <c r="V23" s="385" t="n">
        <v>0</v>
      </c>
      <c r="W23" s="385" t="n">
        <v>0</v>
      </c>
      <c r="X23" s="385" t="n">
        <v>0</v>
      </c>
      <c r="Y23" s="385" t="n">
        <v>0</v>
      </c>
      <c r="Z23" s="385" t="n">
        <v>0</v>
      </c>
      <c r="AA23" s="385" t="n">
        <v>0</v>
      </c>
      <c r="AB23" s="385" t="n">
        <v>0</v>
      </c>
      <c r="AC23" s="385" t="n">
        <v>0</v>
      </c>
      <c r="AD23" s="385" t="n">
        <v>0</v>
      </c>
      <c r="AE23" s="385" t="n">
        <v>0</v>
      </c>
      <c r="AF23" s="385" t="n">
        <v>0</v>
      </c>
      <c r="AG23" s="385" t="n">
        <v>0</v>
      </c>
      <c r="AH23" s="385" t="n">
        <v>0</v>
      </c>
      <c r="AI23" s="381"/>
      <c r="AJ23" s="381"/>
      <c r="AK23" s="381"/>
      <c r="AL23" s="381"/>
      <c r="AM23" s="381"/>
      <c r="AN23" s="381"/>
      <c r="AO23" s="381"/>
      <c r="AP23" s="381"/>
      <c r="AQ23" s="381"/>
      <c r="AR23" s="381"/>
      <c r="AS23" s="381"/>
      <c r="AT23" s="381"/>
      <c r="AU23" s="381"/>
      <c r="AV23" s="381"/>
      <c r="AW23" s="381"/>
      <c r="AX23" s="381"/>
      <c r="AY23" s="381"/>
      <c r="AZ23" s="381"/>
      <c r="BA23" s="381"/>
      <c r="BB23" s="381"/>
      <c r="BC23" s="381"/>
      <c r="BD23" s="381"/>
      <c r="BE23" s="381"/>
      <c r="BF23" s="381"/>
      <c r="BG23" s="381"/>
      <c r="BH23" s="381"/>
    </row>
    <row r="24" customFormat="false" ht="12.75" hidden="false" customHeight="false" outlineLevel="0" collapsed="false">
      <c r="A24" s="31"/>
      <c r="B24" s="31"/>
      <c r="C24" s="380"/>
      <c r="D24" s="180"/>
      <c r="E24" s="180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  <c r="BA24" s="381"/>
      <c r="BB24" s="381"/>
      <c r="BC24" s="381"/>
      <c r="BD24" s="381"/>
      <c r="BE24" s="381"/>
      <c r="BF24" s="381"/>
      <c r="BG24" s="381"/>
      <c r="BH24" s="381"/>
    </row>
    <row r="25" customFormat="false" ht="12.75" hidden="false" customHeight="false" outlineLevel="0" collapsed="false">
      <c r="A25" s="386" t="s">
        <v>343</v>
      </c>
      <c r="B25" s="31"/>
      <c r="C25" s="380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81"/>
      <c r="AJ25" s="381"/>
      <c r="AK25" s="381"/>
      <c r="AL25" s="381"/>
      <c r="AM25" s="381"/>
      <c r="AN25" s="381"/>
      <c r="AO25" s="381"/>
      <c r="AP25" s="381"/>
      <c r="AQ25" s="381"/>
      <c r="AR25" s="381"/>
      <c r="AS25" s="381"/>
      <c r="AT25" s="381"/>
      <c r="AU25" s="381"/>
      <c r="AV25" s="381"/>
      <c r="AW25" s="381"/>
      <c r="AX25" s="381"/>
      <c r="AY25" s="381"/>
      <c r="AZ25" s="381"/>
      <c r="BA25" s="381"/>
      <c r="BB25" s="381"/>
      <c r="BC25" s="381"/>
      <c r="BD25" s="381"/>
      <c r="BE25" s="381"/>
      <c r="BF25" s="381"/>
      <c r="BG25" s="381"/>
      <c r="BH25" s="381"/>
    </row>
    <row r="26" customFormat="false" ht="12.75" hidden="false" customHeight="false" outlineLevel="0" collapsed="false">
      <c r="A26" s="31"/>
      <c r="B26" s="31"/>
      <c r="C26" s="380"/>
      <c r="D26" s="180"/>
      <c r="E26" s="180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381"/>
      <c r="BA26" s="381"/>
      <c r="BB26" s="381"/>
      <c r="BC26" s="381"/>
      <c r="BD26" s="381"/>
      <c r="BE26" s="381"/>
      <c r="BF26" s="381"/>
      <c r="BG26" s="381"/>
      <c r="BH26" s="381"/>
    </row>
    <row r="27" customFormat="false" ht="12.75" hidden="false" customHeight="false" outlineLevel="0" collapsed="false">
      <c r="A27" s="31"/>
      <c r="B27" s="31"/>
      <c r="C27" s="380"/>
      <c r="D27" s="180"/>
      <c r="E27" s="180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C27" s="381"/>
      <c r="BD27" s="381"/>
      <c r="BE27" s="381"/>
      <c r="BF27" s="381"/>
      <c r="BG27" s="381"/>
      <c r="BH27" s="381"/>
    </row>
    <row r="28" customFormat="false" ht="12.75" hidden="false" customHeight="false" outlineLevel="0" collapsed="false">
      <c r="A28" s="386" t="s">
        <v>344</v>
      </c>
      <c r="B28" s="31"/>
      <c r="C28" s="380"/>
      <c r="D28" s="180"/>
      <c r="E28" s="180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381"/>
      <c r="BH28" s="381"/>
    </row>
    <row r="29" customFormat="false" ht="12.75" hidden="false" customHeight="false" outlineLevel="0" collapsed="false">
      <c r="A29" s="386"/>
      <c r="B29" s="31"/>
      <c r="C29" s="380"/>
      <c r="D29" s="180"/>
      <c r="E29" s="180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1"/>
      <c r="BC29" s="381"/>
      <c r="BD29" s="381"/>
      <c r="BE29" s="381"/>
      <c r="BF29" s="381"/>
      <c r="BG29" s="381"/>
      <c r="BH29" s="381"/>
    </row>
    <row r="30" customFormat="false" ht="12.75" hidden="false" customHeight="false" outlineLevel="0" collapsed="false">
      <c r="A30" s="180" t="s">
        <v>345</v>
      </c>
      <c r="C30" s="380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1"/>
      <c r="BE30" s="381"/>
      <c r="BF30" s="381"/>
      <c r="BG30" s="381"/>
      <c r="BH30" s="381"/>
    </row>
    <row r="31" customFormat="false" ht="12.75" hidden="false" customHeight="false" outlineLevel="0" collapsed="false">
      <c r="A31" s="180" t="s">
        <v>346</v>
      </c>
      <c r="C31" s="380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</row>
    <row r="32" customFormat="false" ht="12.75" hidden="false" customHeight="false" outlineLevel="0" collapsed="false">
      <c r="A32" s="180" t="s">
        <v>347</v>
      </c>
      <c r="C32" s="380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1"/>
      <c r="BC32" s="381"/>
      <c r="BD32" s="381"/>
      <c r="BE32" s="381"/>
      <c r="BF32" s="381"/>
      <c r="BG32" s="381"/>
      <c r="BH32" s="381"/>
    </row>
    <row r="33" customFormat="false" ht="12.75" hidden="false" customHeight="false" outlineLevel="0" collapsed="false">
      <c r="A33" s="180" t="s">
        <v>348</v>
      </c>
      <c r="C33" s="380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1"/>
      <c r="AY33" s="381"/>
      <c r="AZ33" s="381"/>
      <c r="BA33" s="381"/>
      <c r="BB33" s="381"/>
      <c r="BC33" s="381"/>
      <c r="BD33" s="381"/>
      <c r="BE33" s="381"/>
      <c r="BF33" s="381"/>
      <c r="BG33" s="381"/>
      <c r="BH33" s="381"/>
    </row>
    <row r="34" customFormat="false" ht="12.75" hidden="false" customHeight="false" outlineLevel="0" collapsed="false">
      <c r="A34" s="180" t="s">
        <v>349</v>
      </c>
      <c r="C34" s="380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81"/>
      <c r="AJ34" s="381"/>
      <c r="AK34" s="381"/>
      <c r="AL34" s="381"/>
      <c r="AM34" s="381"/>
      <c r="AN34" s="381"/>
      <c r="AO34" s="381"/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1"/>
      <c r="BB34" s="381"/>
      <c r="BC34" s="381"/>
      <c r="BD34" s="381"/>
      <c r="BE34" s="381"/>
      <c r="BF34" s="381"/>
      <c r="BG34" s="381"/>
      <c r="BH34" s="381"/>
    </row>
    <row r="35" customFormat="false" ht="12.75" hidden="false" customHeight="false" outlineLevel="0" collapsed="false">
      <c r="A35" s="180" t="s">
        <v>350</v>
      </c>
      <c r="C35" s="384" t="n">
        <v>0</v>
      </c>
      <c r="D35" s="385" t="n">
        <v>0</v>
      </c>
      <c r="E35" s="385" t="n">
        <v>0</v>
      </c>
      <c r="F35" s="387" t="n">
        <v>0</v>
      </c>
      <c r="G35" s="387" t="n">
        <v>0</v>
      </c>
      <c r="H35" s="387" t="n">
        <v>0</v>
      </c>
      <c r="I35" s="387" t="n">
        <v>0</v>
      </c>
      <c r="J35" s="387" t="n">
        <v>0</v>
      </c>
      <c r="K35" s="387" t="n">
        <v>0</v>
      </c>
      <c r="L35" s="387" t="n">
        <v>0</v>
      </c>
      <c r="M35" s="387" t="n">
        <v>0</v>
      </c>
      <c r="N35" s="387" t="n">
        <v>0</v>
      </c>
      <c r="O35" s="387" t="n">
        <v>0</v>
      </c>
      <c r="P35" s="387" t="n">
        <v>0</v>
      </c>
      <c r="Q35" s="387" t="n">
        <v>0</v>
      </c>
      <c r="R35" s="387" t="n">
        <v>0</v>
      </c>
      <c r="S35" s="387" t="n">
        <v>0</v>
      </c>
      <c r="T35" s="387" t="n">
        <v>0</v>
      </c>
      <c r="U35" s="387" t="n">
        <v>0</v>
      </c>
      <c r="V35" s="387" t="n">
        <v>0</v>
      </c>
      <c r="W35" s="387" t="n">
        <v>0</v>
      </c>
      <c r="X35" s="387" t="n">
        <v>0</v>
      </c>
      <c r="Y35" s="387" t="n">
        <v>0</v>
      </c>
      <c r="Z35" s="387" t="n">
        <v>0</v>
      </c>
      <c r="AA35" s="387" t="n">
        <v>0</v>
      </c>
      <c r="AB35" s="387" t="n">
        <v>0</v>
      </c>
      <c r="AC35" s="387" t="n">
        <v>0</v>
      </c>
      <c r="AD35" s="387" t="n">
        <v>0</v>
      </c>
      <c r="AE35" s="387" t="n">
        <v>0</v>
      </c>
      <c r="AF35" s="387" t="n">
        <v>0</v>
      </c>
      <c r="AG35" s="387" t="n">
        <v>0</v>
      </c>
      <c r="AH35" s="387" t="n">
        <v>0</v>
      </c>
      <c r="AI35" s="381"/>
      <c r="AJ35" s="381"/>
      <c r="AK35" s="381"/>
      <c r="AL35" s="381"/>
      <c r="AM35" s="381"/>
      <c r="AN35" s="381"/>
      <c r="AO35" s="381"/>
      <c r="AP35" s="381"/>
      <c r="AQ35" s="381"/>
      <c r="AR35" s="381"/>
      <c r="AS35" s="381"/>
      <c r="AT35" s="381"/>
      <c r="AU35" s="381"/>
      <c r="AV35" s="381"/>
      <c r="AW35" s="381"/>
      <c r="AX35" s="381"/>
      <c r="AY35" s="381"/>
      <c r="AZ35" s="381"/>
      <c r="BA35" s="381"/>
      <c r="BB35" s="381"/>
      <c r="BC35" s="381"/>
      <c r="BD35" s="381"/>
      <c r="BE35" s="381"/>
      <c r="BF35" s="381"/>
      <c r="BG35" s="381"/>
      <c r="BH35" s="381"/>
    </row>
    <row r="36" customFormat="false" ht="12.75" hidden="false" customHeight="false" outlineLevel="0" collapsed="false">
      <c r="A36" s="180"/>
      <c r="C36" s="380"/>
      <c r="D36" s="180"/>
      <c r="E36" s="180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</row>
    <row r="37" customFormat="false" ht="12.75" hidden="false" customHeight="false" outlineLevel="0" collapsed="false">
      <c r="A37" s="386" t="s">
        <v>351</v>
      </c>
      <c r="B37" s="31"/>
      <c r="C37" s="380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</row>
    <row r="38" customFormat="false" ht="12.75" hidden="false" customHeight="false" outlineLevel="0" collapsed="false">
      <c r="A38" s="180"/>
      <c r="B38" s="31"/>
      <c r="C38" s="380"/>
      <c r="D38" s="180"/>
      <c r="E38" s="180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</row>
    <row r="39" customFormat="false" ht="12.75" hidden="false" customHeight="false" outlineLevel="0" collapsed="false">
      <c r="A39" s="386" t="s">
        <v>352</v>
      </c>
      <c r="B39" s="31"/>
      <c r="C39" s="380"/>
      <c r="D39" s="180"/>
      <c r="E39" s="180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1"/>
      <c r="AP39" s="381"/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1"/>
      <c r="BF39" s="381"/>
      <c r="BG39" s="381"/>
      <c r="BH39" s="381"/>
    </row>
    <row r="40" customFormat="false" ht="12.75" hidden="false" customHeight="false" outlineLevel="0" collapsed="false">
      <c r="A40" s="386"/>
      <c r="B40" s="31"/>
      <c r="C40" s="380"/>
      <c r="D40" s="180"/>
      <c r="E40" s="180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1"/>
      <c r="AS40" s="381"/>
      <c r="AT40" s="381"/>
      <c r="AU40" s="381"/>
      <c r="AV40" s="381"/>
      <c r="AW40" s="381"/>
      <c r="AX40" s="381"/>
      <c r="AY40" s="381"/>
      <c r="AZ40" s="381"/>
      <c r="BA40" s="381"/>
      <c r="BB40" s="381"/>
      <c r="BC40" s="381"/>
      <c r="BD40" s="381"/>
      <c r="BE40" s="381"/>
      <c r="BF40" s="381"/>
      <c r="BG40" s="381"/>
      <c r="BH40" s="381"/>
    </row>
    <row r="41" customFormat="false" ht="12.75" hidden="false" customHeight="false" outlineLevel="0" collapsed="false">
      <c r="A41" s="180" t="s">
        <v>353</v>
      </c>
      <c r="C41" s="380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81"/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</row>
    <row r="42" customFormat="false" ht="12.75" hidden="false" customHeight="false" outlineLevel="0" collapsed="false">
      <c r="A42" s="180" t="s">
        <v>354</v>
      </c>
      <c r="C42" s="384" t="e">
        <f aca="false">IS!B43-#REF!</f>
        <v>#REF!</v>
      </c>
      <c r="D42" s="385" t="e">
        <f aca="false">IS!C43-#REF!</f>
        <v>#REF!</v>
      </c>
      <c r="E42" s="385" t="e">
        <f aca="false">IS!D43-#REF!</f>
        <v>#REF!</v>
      </c>
      <c r="F42" s="385" t="e">
        <f aca="false">IS!E43-#REF!</f>
        <v>#REF!</v>
      </c>
      <c r="G42" s="385" t="e">
        <f aca="false">IS!F43-#REF!</f>
        <v>#REF!</v>
      </c>
      <c r="H42" s="385" t="e">
        <f aca="false">IS!G43-#REF!</f>
        <v>#REF!</v>
      </c>
      <c r="I42" s="385" t="e">
        <f aca="false">IS!H43-#REF!</f>
        <v>#REF!</v>
      </c>
      <c r="J42" s="385" t="e">
        <f aca="false">IS!I43-#REF!</f>
        <v>#REF!</v>
      </c>
      <c r="K42" s="385" t="e">
        <f aca="false">IS!J43-#REF!</f>
        <v>#REF!</v>
      </c>
      <c r="L42" s="385" t="e">
        <f aca="false">IS!K43-#REF!</f>
        <v>#REF!</v>
      </c>
      <c r="M42" s="385" t="e">
        <f aca="false">IS!L43-#REF!</f>
        <v>#REF!</v>
      </c>
      <c r="N42" s="385" t="e">
        <f aca="false">IS!M43-#REF!</f>
        <v>#REF!</v>
      </c>
      <c r="O42" s="385" t="e">
        <f aca="false">IS!N43-#REF!</f>
        <v>#REF!</v>
      </c>
      <c r="P42" s="385" t="e">
        <f aca="false">IS!O43-#REF!</f>
        <v>#REF!</v>
      </c>
      <c r="Q42" s="385" t="e">
        <f aca="false">IS!P43-#REF!</f>
        <v>#REF!</v>
      </c>
      <c r="R42" s="385" t="e">
        <f aca="false">IS!Q43-#REF!</f>
        <v>#REF!</v>
      </c>
      <c r="S42" s="385" t="e">
        <f aca="false">IS!R43-#REF!</f>
        <v>#REF!</v>
      </c>
      <c r="T42" s="385" t="e">
        <f aca="false">IS!S43-#REF!</f>
        <v>#REF!</v>
      </c>
      <c r="U42" s="385" t="e">
        <f aca="false">IS!T43-#REF!</f>
        <v>#REF!</v>
      </c>
      <c r="V42" s="385" t="e">
        <f aca="false">IS!U43-#REF!</f>
        <v>#REF!</v>
      </c>
      <c r="W42" s="385" t="e">
        <f aca="false">IS!V43-#REF!</f>
        <v>#REF!</v>
      </c>
      <c r="X42" s="385" t="e">
        <f aca="false">IS!W43-#REF!</f>
        <v>#REF!</v>
      </c>
      <c r="Y42" s="385" t="e">
        <f aca="false">IS!X43-#REF!</f>
        <v>#REF!</v>
      </c>
      <c r="Z42" s="385" t="e">
        <f aca="false">IS!Y43-#REF!</f>
        <v>#REF!</v>
      </c>
      <c r="AA42" s="385" t="e">
        <f aca="false">IS!Z43-#REF!</f>
        <v>#REF!</v>
      </c>
      <c r="AB42" s="385" t="e">
        <f aca="false">IS!AA43-#REF!</f>
        <v>#REF!</v>
      </c>
      <c r="AC42" s="385" t="e">
        <f aca="false">IS!AB43-#REF!</f>
        <v>#REF!</v>
      </c>
      <c r="AD42" s="385" t="e">
        <f aca="false">IS!AC43-#REF!</f>
        <v>#REF!</v>
      </c>
      <c r="AE42" s="385" t="e">
        <f aca="false">IS!AD43-#REF!</f>
        <v>#REF!</v>
      </c>
      <c r="AF42" s="385" t="e">
        <f aca="false">IS!AE43-#REF!</f>
        <v>#REF!</v>
      </c>
      <c r="AG42" s="385" t="e">
        <f aca="false">IS!AF43-#REF!</f>
        <v>#REF!</v>
      </c>
      <c r="AH42" s="385" t="e">
        <f aca="false">IS!AG43-#REF!</f>
        <v>#REF!</v>
      </c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  <c r="BF42" s="381"/>
      <c r="BG42" s="381"/>
      <c r="BH42" s="381"/>
    </row>
    <row r="43" customFormat="false" ht="12.75" hidden="false" customHeight="false" outlineLevel="0" collapsed="false">
      <c r="A43" s="180" t="s">
        <v>355</v>
      </c>
      <c r="C43" s="380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81"/>
      <c r="AJ43" s="381"/>
      <c r="AK43" s="381"/>
      <c r="AL43" s="381"/>
      <c r="AM43" s="381"/>
      <c r="AN43" s="381"/>
      <c r="AO43" s="381"/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</row>
    <row r="44" customFormat="false" ht="12.75" hidden="false" customHeight="false" outlineLevel="0" collapsed="false">
      <c r="A44" s="31"/>
      <c r="B44" s="31"/>
      <c r="C44" s="380"/>
      <c r="D44" s="180"/>
      <c r="E44" s="180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  <c r="AJ44" s="381"/>
      <c r="AK44" s="381"/>
      <c r="AL44" s="381"/>
      <c r="AM44" s="381"/>
      <c r="AN44" s="381"/>
      <c r="AO44" s="381"/>
      <c r="AP44" s="381"/>
      <c r="AQ44" s="381"/>
      <c r="AR44" s="381"/>
      <c r="AS44" s="381"/>
      <c r="AT44" s="381"/>
      <c r="AU44" s="381"/>
      <c r="AV44" s="381"/>
      <c r="AW44" s="381"/>
      <c r="AX44" s="381"/>
      <c r="AY44" s="381"/>
      <c r="AZ44" s="381"/>
      <c r="BA44" s="381"/>
      <c r="BB44" s="381"/>
      <c r="BC44" s="381"/>
      <c r="BD44" s="381"/>
      <c r="BE44" s="381"/>
      <c r="BF44" s="381"/>
      <c r="BG44" s="381"/>
      <c r="BH44" s="381"/>
    </row>
    <row r="45" customFormat="false" ht="12.75" hidden="false" customHeight="false" outlineLevel="0" collapsed="false">
      <c r="A45" s="386" t="s">
        <v>356</v>
      </c>
      <c r="B45" s="31"/>
      <c r="C45" s="380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</row>
    <row r="46" customFormat="false" ht="12.75" hidden="false" customHeight="false" outlineLevel="0" collapsed="false">
      <c r="A46" s="180"/>
      <c r="B46" s="31"/>
      <c r="C46" s="380"/>
      <c r="D46" s="180"/>
      <c r="E46" s="180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</row>
    <row r="47" customFormat="false" ht="12.75" hidden="false" customHeight="false" outlineLevel="0" collapsed="false">
      <c r="A47" s="386" t="s">
        <v>357</v>
      </c>
      <c r="B47" s="31"/>
      <c r="C47" s="380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81"/>
      <c r="AJ47" s="381"/>
      <c r="AK47" s="381"/>
      <c r="AL47" s="381"/>
      <c r="AM47" s="381"/>
      <c r="AN47" s="381"/>
      <c r="AO47" s="381"/>
      <c r="AP47" s="381"/>
      <c r="AQ47" s="381"/>
      <c r="AR47" s="381"/>
      <c r="AS47" s="381"/>
      <c r="AT47" s="381"/>
      <c r="AU47" s="381"/>
      <c r="AV47" s="381"/>
      <c r="AW47" s="381"/>
      <c r="AX47" s="381"/>
      <c r="AY47" s="381"/>
      <c r="AZ47" s="381"/>
      <c r="BA47" s="381"/>
      <c r="BB47" s="381"/>
      <c r="BC47" s="381"/>
      <c r="BD47" s="381"/>
      <c r="BE47" s="381"/>
      <c r="BF47" s="381"/>
      <c r="BG47" s="381"/>
      <c r="BH47" s="381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1"/>
      <c r="BB48" s="381"/>
      <c r="BC48" s="381"/>
      <c r="BD48" s="381"/>
      <c r="BE48" s="381"/>
      <c r="BF48" s="381"/>
      <c r="BG48" s="381"/>
      <c r="BH48" s="381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381"/>
      <c r="AN49" s="381"/>
      <c r="AO49" s="381"/>
      <c r="AP49" s="381"/>
      <c r="AQ49" s="381"/>
      <c r="AR49" s="381"/>
      <c r="AS49" s="381"/>
      <c r="AT49" s="381"/>
      <c r="AU49" s="381"/>
      <c r="AV49" s="381"/>
      <c r="AW49" s="381"/>
      <c r="AX49" s="381"/>
      <c r="AY49" s="381"/>
      <c r="AZ49" s="381"/>
      <c r="BA49" s="381"/>
      <c r="BB49" s="381"/>
      <c r="BC49" s="381"/>
      <c r="BD49" s="381"/>
      <c r="BE49" s="381"/>
      <c r="BF49" s="381"/>
      <c r="BG49" s="381"/>
      <c r="BH49" s="381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1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81"/>
      <c r="G52" s="381"/>
      <c r="H52" s="381"/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1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1"/>
      <c r="AM53" s="381"/>
      <c r="AN53" s="381"/>
      <c r="AO53" s="381"/>
      <c r="AP53" s="381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1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</row>
    <row r="55" customFormat="false" ht="12.75" hidden="false" customHeight="false" outlineLevel="0" collapsed="false">
      <c r="A55" s="31"/>
      <c r="B55" s="138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1"/>
      <c r="BC55" s="381"/>
      <c r="BD55" s="381"/>
      <c r="BE55" s="381"/>
      <c r="BF55" s="381"/>
      <c r="BG55" s="381"/>
      <c r="BH55" s="381"/>
    </row>
    <row r="56" customFormat="false" ht="12.75" hidden="false" customHeight="false" outlineLevel="0" collapsed="false">
      <c r="A56" s="31"/>
      <c r="B56" s="138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381"/>
    </row>
    <row r="57" customFormat="false" ht="12.75" hidden="false" customHeight="false" outlineLevel="0" collapsed="false">
      <c r="A57" s="31"/>
      <c r="B57" s="138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</row>
    <row r="58" customFormat="false" ht="12.75" hidden="false" customHeight="false" outlineLevel="0" collapsed="false">
      <c r="A58" s="31"/>
      <c r="B58" s="138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1"/>
      <c r="AU58" s="381"/>
      <c r="AV58" s="381"/>
      <c r="AW58" s="381"/>
      <c r="AX58" s="381"/>
      <c r="AY58" s="381"/>
      <c r="AZ58" s="381"/>
      <c r="BA58" s="381"/>
      <c r="BB58" s="381"/>
      <c r="BC58" s="381"/>
      <c r="BD58" s="381"/>
      <c r="BE58" s="381"/>
      <c r="BF58" s="381"/>
      <c r="BG58" s="381"/>
      <c r="BH58" s="381"/>
    </row>
    <row r="59" customFormat="false" ht="12.75" hidden="false" customHeight="false" outlineLevel="0" collapsed="false">
      <c r="A59" s="31"/>
      <c r="B59" s="138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1"/>
      <c r="BB59" s="381"/>
      <c r="BC59" s="381"/>
      <c r="BD59" s="381"/>
      <c r="BE59" s="381"/>
      <c r="BF59" s="381"/>
      <c r="BG59" s="381"/>
      <c r="BH59" s="381"/>
    </row>
    <row r="60" customFormat="false" ht="12.75" hidden="false" customHeight="false" outlineLevel="0" collapsed="false">
      <c r="A60" s="31"/>
      <c r="B60" s="138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1"/>
      <c r="AU60" s="381"/>
      <c r="AV60" s="381"/>
      <c r="AW60" s="381"/>
      <c r="AX60" s="381"/>
      <c r="AY60" s="381"/>
    </row>
    <row r="61" customFormat="false" ht="12.75" hidden="false" customHeight="false" outlineLevel="0" collapsed="false">
      <c r="A61" s="138"/>
      <c r="B61" s="138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/>
      <c r="AK61" s="381"/>
      <c r="AL61" s="381"/>
      <c r="AM61" s="381"/>
      <c r="AN61" s="381"/>
      <c r="AO61" s="381"/>
      <c r="AP61" s="381"/>
      <c r="AQ61" s="381"/>
      <c r="AR61" s="381"/>
      <c r="AS61" s="381"/>
      <c r="AT61" s="381"/>
      <c r="AU61" s="381"/>
      <c r="AV61" s="381"/>
      <c r="AW61" s="381"/>
      <c r="AX61" s="381"/>
      <c r="AY61" s="381"/>
    </row>
    <row r="62" customFormat="false" ht="12.75" hidden="false" customHeight="false" outlineLevel="0" collapsed="false"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1"/>
      <c r="AO62" s="381"/>
      <c r="AP62" s="381"/>
      <c r="AQ62" s="381"/>
      <c r="AR62" s="381"/>
      <c r="AS62" s="381"/>
      <c r="AT62" s="381"/>
      <c r="AU62" s="381"/>
      <c r="AV62" s="381"/>
      <c r="AW62" s="381"/>
      <c r="AX62" s="381"/>
      <c r="AY62" s="381"/>
    </row>
    <row r="63" customFormat="false" ht="12.75" hidden="false" customHeight="false" outlineLevel="0" collapsed="false"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1"/>
      <c r="AL63" s="381"/>
      <c r="AM63" s="381"/>
      <c r="AN63" s="381"/>
      <c r="AO63" s="381"/>
      <c r="AP63" s="381"/>
      <c r="AQ63" s="381"/>
      <c r="AR63" s="381"/>
      <c r="AS63" s="381"/>
      <c r="AT63" s="381"/>
      <c r="AU63" s="381"/>
      <c r="AV63" s="381"/>
      <c r="AW63" s="381"/>
      <c r="AX63" s="381"/>
      <c r="AY63" s="381"/>
    </row>
    <row r="64" customFormat="false" ht="12.75" hidden="false" customHeight="false" outlineLevel="0" collapsed="false"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  <c r="AJ64" s="381"/>
      <c r="AK64" s="381"/>
      <c r="AL64" s="381"/>
      <c r="AM64" s="381"/>
      <c r="AN64" s="381"/>
      <c r="AO64" s="381"/>
      <c r="AP64" s="381"/>
      <c r="AQ64" s="381"/>
      <c r="AR64" s="381"/>
      <c r="AS64" s="381"/>
      <c r="AT64" s="381"/>
      <c r="AU64" s="381"/>
      <c r="AV64" s="381"/>
      <c r="AW64" s="381"/>
      <c r="AX64" s="381"/>
      <c r="AY64" s="381"/>
    </row>
    <row r="65" customFormat="false" ht="12.75" hidden="false" customHeight="false" outlineLevel="0" collapsed="false"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  <c r="AJ65" s="381"/>
      <c r="AK65" s="381"/>
      <c r="AL65" s="381"/>
      <c r="AM65" s="381"/>
      <c r="AN65" s="381"/>
      <c r="AO65" s="381"/>
      <c r="AP65" s="381"/>
      <c r="AQ65" s="381"/>
      <c r="AR65" s="381"/>
      <c r="AS65" s="381"/>
      <c r="AT65" s="381"/>
      <c r="AU65" s="381"/>
      <c r="AV65" s="381"/>
      <c r="AW65" s="381"/>
      <c r="AX65" s="381"/>
      <c r="AY65" s="381"/>
    </row>
    <row r="66" customFormat="false" ht="12.75" hidden="false" customHeight="false" outlineLevel="0" collapsed="false"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  <c r="AJ66" s="381"/>
      <c r="AK66" s="381"/>
      <c r="AL66" s="381"/>
      <c r="AM66" s="381"/>
      <c r="AN66" s="381"/>
      <c r="AO66" s="381"/>
      <c r="AP66" s="381"/>
      <c r="AQ66" s="381"/>
      <c r="AR66" s="381"/>
      <c r="AS66" s="381"/>
      <c r="AT66" s="381"/>
      <c r="AU66" s="381"/>
      <c r="AV66" s="381"/>
      <c r="AW66" s="381"/>
      <c r="AX66" s="381"/>
      <c r="AY66" s="381"/>
    </row>
    <row r="67" customFormat="false" ht="12.75" hidden="false" customHeight="false" outlineLevel="0" collapsed="false"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  <c r="AJ67" s="381"/>
      <c r="AK67" s="381"/>
      <c r="AL67" s="381"/>
      <c r="AM67" s="381"/>
      <c r="AN67" s="381"/>
      <c r="AO67" s="381"/>
      <c r="AP67" s="381"/>
      <c r="AQ67" s="381"/>
      <c r="AR67" s="381"/>
      <c r="AS67" s="381"/>
      <c r="AT67" s="381"/>
      <c r="AU67" s="381"/>
      <c r="AV67" s="381"/>
      <c r="AW67" s="381"/>
      <c r="AX67" s="381"/>
      <c r="AY67" s="381"/>
    </row>
    <row r="68" customFormat="false" ht="12.75" hidden="false" customHeight="false" outlineLevel="0" collapsed="false"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  <c r="AJ68" s="381"/>
      <c r="AK68" s="381"/>
      <c r="AL68" s="381"/>
      <c r="AM68" s="381"/>
      <c r="AN68" s="381"/>
      <c r="AO68" s="381"/>
      <c r="AP68" s="381"/>
      <c r="AQ68" s="381"/>
      <c r="AR68" s="381"/>
      <c r="AS68" s="381"/>
      <c r="AT68" s="381"/>
      <c r="AU68" s="381"/>
      <c r="AV68" s="381"/>
      <c r="AW68" s="381"/>
      <c r="AX68" s="381"/>
      <c r="AY68" s="381"/>
    </row>
    <row r="69" customFormat="false" ht="12.75" hidden="false" customHeight="false" outlineLevel="0" collapsed="false"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1"/>
      <c r="AM69" s="381"/>
      <c r="AN69" s="381"/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</row>
    <row r="70" customFormat="false" ht="12.75" hidden="false" customHeight="false" outlineLevel="0" collapsed="false"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  <c r="AJ70" s="381"/>
      <c r="AK70" s="381"/>
      <c r="AL70" s="381"/>
      <c r="AM70" s="381"/>
      <c r="AN70" s="381"/>
      <c r="AO70" s="381"/>
      <c r="AP70" s="381"/>
      <c r="AQ70" s="381"/>
      <c r="AR70" s="381"/>
      <c r="AS70" s="381"/>
      <c r="AT70" s="381"/>
      <c r="AU70" s="381"/>
      <c r="AV70" s="381"/>
      <c r="AW70" s="381"/>
      <c r="AX70" s="381"/>
      <c r="AY70" s="381"/>
    </row>
    <row r="71" customFormat="false" ht="12.75" hidden="false" customHeight="false" outlineLevel="0" collapsed="false"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  <c r="AJ71" s="381"/>
      <c r="AK71" s="381"/>
      <c r="AL71" s="381"/>
      <c r="AM71" s="381"/>
      <c r="AN71" s="381"/>
      <c r="AO71" s="381"/>
      <c r="AP71" s="381"/>
      <c r="AQ71" s="381"/>
      <c r="AR71" s="381"/>
      <c r="AS71" s="381"/>
      <c r="AT71" s="381"/>
      <c r="AU71" s="381"/>
      <c r="AV71" s="381"/>
      <c r="AW71" s="381"/>
      <c r="AX71" s="381"/>
      <c r="AY71" s="381"/>
    </row>
    <row r="72" customFormat="false" ht="12.75" hidden="false" customHeight="false" outlineLevel="0" collapsed="false"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  <c r="AJ72" s="381"/>
      <c r="AK72" s="381"/>
      <c r="AL72" s="381"/>
      <c r="AM72" s="381"/>
      <c r="AN72" s="381"/>
      <c r="AO72" s="381"/>
      <c r="AP72" s="381"/>
      <c r="AQ72" s="381"/>
      <c r="AR72" s="381"/>
      <c r="AS72" s="381"/>
      <c r="AT72" s="381"/>
      <c r="AU72" s="381"/>
      <c r="AV72" s="381"/>
      <c r="AW72" s="381"/>
      <c r="AX72" s="381"/>
      <c r="AY72" s="381"/>
    </row>
    <row r="73" customFormat="false" ht="12.75" hidden="false" customHeight="false" outlineLevel="0" collapsed="false"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  <c r="AJ73" s="381"/>
      <c r="AK73" s="381"/>
      <c r="AL73" s="381"/>
      <c r="AM73" s="381"/>
      <c r="AN73" s="381"/>
      <c r="AO73" s="381"/>
      <c r="AP73" s="381"/>
      <c r="AQ73" s="381"/>
      <c r="AR73" s="381"/>
      <c r="AS73" s="381"/>
      <c r="AT73" s="381"/>
      <c r="AU73" s="381"/>
      <c r="AV73" s="381"/>
      <c r="AW73" s="381"/>
      <c r="AX73" s="381"/>
      <c r="AY73" s="381"/>
    </row>
    <row r="74" customFormat="false" ht="12.75" hidden="false" customHeight="false" outlineLevel="0" collapsed="false"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  <c r="AR74" s="381"/>
      <c r="AS74" s="381"/>
      <c r="AT74" s="381"/>
      <c r="AU74" s="381"/>
      <c r="AV74" s="381"/>
      <c r="AW74" s="381"/>
      <c r="AX74" s="381"/>
      <c r="AY74" s="381"/>
    </row>
    <row r="75" customFormat="false" ht="12.75" hidden="false" customHeight="false" outlineLevel="0" collapsed="false"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  <c r="AJ75" s="381"/>
      <c r="AK75" s="381"/>
      <c r="AL75" s="381"/>
      <c r="AM75" s="381"/>
      <c r="AN75" s="381"/>
      <c r="AO75" s="381"/>
      <c r="AP75" s="381"/>
      <c r="AQ75" s="381"/>
      <c r="AR75" s="381"/>
      <c r="AS75" s="381"/>
      <c r="AT75" s="381"/>
      <c r="AU75" s="381"/>
      <c r="AV75" s="381"/>
      <c r="AW75" s="381"/>
      <c r="AX75" s="381"/>
      <c r="AY75" s="381"/>
    </row>
    <row r="76" customFormat="false" ht="12.75" hidden="false" customHeight="false" outlineLevel="0" collapsed="false"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1"/>
      <c r="AL76" s="381"/>
      <c r="AM76" s="381"/>
      <c r="AN76" s="381"/>
      <c r="AO76" s="381"/>
      <c r="AP76" s="381"/>
      <c r="AQ76" s="381"/>
      <c r="AR76" s="381"/>
      <c r="AS76" s="381"/>
      <c r="AT76" s="381"/>
      <c r="AU76" s="381"/>
      <c r="AV76" s="381"/>
      <c r="AW76" s="381"/>
      <c r="AX76" s="381"/>
      <c r="AY76" s="381"/>
    </row>
    <row r="77" customFormat="false" ht="12.75" hidden="false" customHeight="false" outlineLevel="0" collapsed="false"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  <c r="AJ77" s="381"/>
      <c r="AK77" s="381"/>
      <c r="AL77" s="381"/>
      <c r="AM77" s="381"/>
      <c r="AN77" s="381"/>
      <c r="AO77" s="381"/>
      <c r="AP77" s="381"/>
      <c r="AQ77" s="381"/>
      <c r="AR77" s="381"/>
      <c r="AS77" s="381"/>
      <c r="AT77" s="381"/>
      <c r="AU77" s="381"/>
      <c r="AV77" s="381"/>
      <c r="AW77" s="381"/>
      <c r="AX77" s="381"/>
      <c r="AY77" s="381"/>
    </row>
    <row r="78" customFormat="false" ht="12.75" hidden="false" customHeight="false" outlineLevel="0" collapsed="false"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  <c r="AJ78" s="381"/>
      <c r="AK78" s="381"/>
      <c r="AL78" s="381"/>
      <c r="AM78" s="381"/>
      <c r="AN78" s="381"/>
      <c r="AO78" s="381"/>
      <c r="AP78" s="381"/>
      <c r="AQ78" s="381"/>
      <c r="AR78" s="381"/>
      <c r="AS78" s="381"/>
      <c r="AT78" s="381"/>
      <c r="AU78" s="381"/>
      <c r="AV78" s="381"/>
      <c r="AW78" s="381"/>
      <c r="AX78" s="381"/>
      <c r="AY78" s="381"/>
    </row>
    <row r="79" customFormat="false" ht="12.75" hidden="false" customHeight="false" outlineLevel="0" collapsed="false"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381"/>
      <c r="AU79" s="381"/>
      <c r="AV79" s="381"/>
      <c r="AW79" s="381"/>
      <c r="AX79" s="381"/>
      <c r="AY79" s="381"/>
    </row>
    <row r="80" customFormat="false" ht="12.75" hidden="false" customHeight="false" outlineLevel="0" collapsed="false"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</row>
    <row r="81" customFormat="false" ht="12.75" hidden="false" customHeight="false" outlineLevel="0" collapsed="false"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  <c r="AJ81" s="381"/>
      <c r="AK81" s="381"/>
      <c r="AL81" s="381"/>
      <c r="AM81" s="381"/>
      <c r="AN81" s="381"/>
      <c r="AO81" s="381"/>
      <c r="AP81" s="381"/>
      <c r="AQ81" s="381"/>
      <c r="AR81" s="381"/>
      <c r="AS81" s="381"/>
      <c r="AT81" s="381"/>
      <c r="AU81" s="381"/>
      <c r="AV81" s="381"/>
      <c r="AW81" s="381"/>
      <c r="AX81" s="381"/>
      <c r="AY81" s="381"/>
    </row>
    <row r="82" customFormat="false" ht="12.75" hidden="false" customHeight="false" outlineLevel="0" collapsed="false"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  <c r="AK82" s="381"/>
      <c r="AL82" s="381"/>
      <c r="AM82" s="381"/>
      <c r="AN82" s="381"/>
      <c r="AO82" s="381"/>
      <c r="AP82" s="381"/>
      <c r="AQ82" s="381"/>
      <c r="AR82" s="381"/>
      <c r="AS82" s="381"/>
      <c r="AT82" s="381"/>
      <c r="AU82" s="381"/>
      <c r="AV82" s="381"/>
      <c r="AW82" s="381"/>
      <c r="AX82" s="381"/>
      <c r="AY82" s="381"/>
    </row>
    <row r="83" customFormat="false" ht="12.75" hidden="false" customHeight="false" outlineLevel="0" collapsed="false"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1"/>
      <c r="AL83" s="381"/>
      <c r="AM83" s="381"/>
      <c r="AN83" s="381"/>
      <c r="AO83" s="381"/>
      <c r="AP83" s="381"/>
      <c r="AQ83" s="381"/>
      <c r="AR83" s="381"/>
      <c r="AS83" s="381"/>
      <c r="AT83" s="381"/>
      <c r="AU83" s="381"/>
      <c r="AV83" s="381"/>
      <c r="AW83" s="381"/>
      <c r="AX83" s="381"/>
      <c r="AY83" s="381"/>
    </row>
    <row r="84" customFormat="false" ht="12.75" hidden="false" customHeight="false" outlineLevel="0" collapsed="false"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  <c r="AJ84" s="381"/>
      <c r="AK84" s="381"/>
      <c r="AL84" s="381"/>
      <c r="AM84" s="381"/>
      <c r="AN84" s="381"/>
      <c r="AO84" s="381"/>
      <c r="AP84" s="381"/>
      <c r="AQ84" s="381"/>
      <c r="AR84" s="381"/>
      <c r="AS84" s="381"/>
      <c r="AT84" s="381"/>
      <c r="AU84" s="381"/>
      <c r="AV84" s="381"/>
      <c r="AW84" s="381"/>
      <c r="AX84" s="381"/>
      <c r="AY84" s="381"/>
    </row>
    <row r="85" customFormat="false" ht="12.75" hidden="false" customHeight="false" outlineLevel="0" collapsed="false"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1"/>
      <c r="AL85" s="381"/>
      <c r="AM85" s="381"/>
      <c r="AN85" s="381"/>
      <c r="AO85" s="381"/>
      <c r="AP85" s="381"/>
      <c r="AQ85" s="381"/>
      <c r="AR85" s="381"/>
      <c r="AS85" s="381"/>
      <c r="AT85" s="381"/>
      <c r="AU85" s="381"/>
      <c r="AV85" s="381"/>
      <c r="AW85" s="381"/>
      <c r="AX85" s="381"/>
      <c r="AY85" s="381"/>
    </row>
    <row r="86" customFormat="false" ht="12.75" hidden="false" customHeight="false" outlineLevel="0" collapsed="false"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  <c r="AJ86" s="381"/>
      <c r="AK86" s="381"/>
      <c r="AL86" s="381"/>
      <c r="AM86" s="381"/>
      <c r="AN86" s="381"/>
      <c r="AO86" s="381"/>
      <c r="AP86" s="381"/>
      <c r="AQ86" s="381"/>
      <c r="AR86" s="381"/>
      <c r="AS86" s="381"/>
      <c r="AT86" s="381"/>
      <c r="AU86" s="381"/>
      <c r="AV86" s="381"/>
      <c r="AW86" s="381"/>
      <c r="AX86" s="381"/>
      <c r="AY86" s="381"/>
    </row>
    <row r="87" customFormat="false" ht="12.75" hidden="false" customHeight="false" outlineLevel="0" collapsed="false"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1"/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</row>
    <row r="88" customFormat="false" ht="12.75" hidden="false" customHeight="false" outlineLevel="0" collapsed="false"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1"/>
    </row>
    <row r="89" customFormat="false" ht="12.75" hidden="false" customHeight="false" outlineLevel="0" collapsed="false"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1"/>
      <c r="AL89" s="381"/>
      <c r="AM89" s="381"/>
      <c r="AN89" s="381"/>
      <c r="AO89" s="381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</row>
    <row r="90" customFormat="false" ht="12.75" hidden="false" customHeight="false" outlineLevel="0" collapsed="false"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1"/>
      <c r="AO90" s="381"/>
      <c r="AP90" s="381"/>
      <c r="AQ90" s="381"/>
      <c r="AR90" s="381"/>
      <c r="AS90" s="381"/>
      <c r="AT90" s="381"/>
      <c r="AU90" s="381"/>
      <c r="AV90" s="381"/>
      <c r="AW90" s="381"/>
      <c r="AX90" s="381"/>
      <c r="AY90" s="38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9" t="s">
        <v>358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6" t="n">
        <v>0</v>
      </c>
      <c r="C6" s="236" t="n">
        <f aca="false">'Price_Technical Assumption'!D7</f>
        <v>0.666666666666667</v>
      </c>
      <c r="D6" s="236" t="n">
        <f aca="false">'Price_Technical Assumption'!E7</f>
        <v>1.66666666666667</v>
      </c>
      <c r="E6" s="236" t="n">
        <f aca="false">'Price_Technical Assumption'!F7</f>
        <v>2.66666666666667</v>
      </c>
      <c r="F6" s="236" t="n">
        <f aca="false">'Price_Technical Assumption'!G7</f>
        <v>3.66666666666667</v>
      </c>
      <c r="G6" s="236" t="n">
        <f aca="false">'Price_Technical Assumption'!H7</f>
        <v>4.66666666666667</v>
      </c>
      <c r="H6" s="236" t="n">
        <f aca="false">'Price_Technical Assumption'!I7</f>
        <v>5.66666666666667</v>
      </c>
      <c r="I6" s="236" t="n">
        <f aca="false">'Price_Technical Assumption'!J7</f>
        <v>6.66666666666667</v>
      </c>
      <c r="J6" s="236" t="n">
        <f aca="false">'Price_Technical Assumption'!K7</f>
        <v>7.66666666666667</v>
      </c>
      <c r="K6" s="236" t="n">
        <f aca="false">'Price_Technical Assumption'!L7</f>
        <v>8.66666666666667</v>
      </c>
      <c r="L6" s="236" t="n">
        <f aca="false">'Price_Technical Assumption'!M7</f>
        <v>9.66666666666667</v>
      </c>
      <c r="M6" s="236" t="n">
        <f aca="false">'Price_Technical Assumption'!N7</f>
        <v>10.6666666666667</v>
      </c>
      <c r="N6" s="236" t="n">
        <f aca="false">'Price_Technical Assumption'!O7</f>
        <v>11.6666666666667</v>
      </c>
      <c r="O6" s="236" t="n">
        <f aca="false">'Price_Technical Assumption'!P7</f>
        <v>12.6666666666667</v>
      </c>
      <c r="P6" s="236" t="n">
        <f aca="false">'Price_Technical Assumption'!Q7</f>
        <v>13.6666666666667</v>
      </c>
      <c r="Q6" s="236" t="n">
        <f aca="false">'Price_Technical Assumption'!R7</f>
        <v>14.6666666666667</v>
      </c>
      <c r="R6" s="236" t="n">
        <f aca="false">'Price_Technical Assumption'!S7</f>
        <v>15.6666666666667</v>
      </c>
      <c r="S6" s="236" t="n">
        <f aca="false">'Price_Technical Assumption'!T7</f>
        <v>16.6666666666667</v>
      </c>
      <c r="T6" s="236" t="n">
        <f aca="false">'Price_Technical Assumption'!U7</f>
        <v>17.6666666666667</v>
      </c>
      <c r="U6" s="236" t="n">
        <f aca="false">'Price_Technical Assumption'!V7</f>
        <v>18.6666666666667</v>
      </c>
      <c r="V6" s="236" t="n">
        <f aca="false">'Price_Technical Assumption'!W7</f>
        <v>19.6666666666667</v>
      </c>
      <c r="W6" s="236" t="n">
        <f aca="false">'Price_Technical Assumption'!X7</f>
        <v>20.6666666666667</v>
      </c>
      <c r="X6" s="236" t="n">
        <f aca="false">'Price_Technical Assumption'!Y7</f>
        <v>21.6666666666667</v>
      </c>
      <c r="Y6" s="236" t="n">
        <f aca="false">'Price_Technical Assumption'!Z7</f>
        <v>22.6666666666667</v>
      </c>
      <c r="Z6" s="236" t="n">
        <f aca="false">'Price_Technical Assumption'!AA7</f>
        <v>23.6666666666667</v>
      </c>
      <c r="AA6" s="236" t="n">
        <f aca="false">'Price_Technical Assumption'!AB7</f>
        <v>24.6666666666667</v>
      </c>
      <c r="AB6" s="236" t="n">
        <f aca="false">'Price_Technical Assumption'!AC7</f>
        <v>25.6666666666667</v>
      </c>
      <c r="AC6" s="236" t="n">
        <f aca="false">'Price_Technical Assumption'!AD7</f>
        <v>26.6666666666667</v>
      </c>
      <c r="AD6" s="236" t="n">
        <f aca="false">'Price_Technical Assumption'!AE7</f>
        <v>27.6666666666667</v>
      </c>
      <c r="AE6" s="236" t="n">
        <f aca="false">'Price_Technical Assumption'!AF7</f>
        <v>28.6666666666667</v>
      </c>
      <c r="AF6" s="236" t="n">
        <f aca="false">'Price_Technical Assumption'!AG7</f>
        <v>29.6666666666667</v>
      </c>
      <c r="AG6" s="236" t="n">
        <f aca="false">'Price_Technical Assumption'!AH7</f>
        <v>30.6666666666667</v>
      </c>
    </row>
    <row r="7" customFormat="false" ht="13.5" hidden="false" customHeight="false" outlineLevel="0" collapsed="false">
      <c r="A7" s="350" t="s">
        <v>311</v>
      </c>
      <c r="B7" s="351" t="s">
        <v>330</v>
      </c>
      <c r="C7" s="351" t="n">
        <f aca="false">'Price_Technical Assumption'!D8</f>
        <v>2001</v>
      </c>
      <c r="D7" s="351" t="n">
        <f aca="false">'Price_Technical Assumption'!E8</f>
        <v>2002</v>
      </c>
      <c r="E7" s="351" t="n">
        <f aca="false">'Price_Technical Assumption'!F8</f>
        <v>2003</v>
      </c>
      <c r="F7" s="351" t="n">
        <f aca="false">'Price_Technical Assumption'!G8</f>
        <v>2004</v>
      </c>
      <c r="G7" s="351" t="n">
        <f aca="false">'Price_Technical Assumption'!H8</f>
        <v>2005</v>
      </c>
      <c r="H7" s="351" t="n">
        <f aca="false">'Price_Technical Assumption'!I8</f>
        <v>2006</v>
      </c>
      <c r="I7" s="351" t="n">
        <f aca="false">'Price_Technical Assumption'!J8</f>
        <v>2007</v>
      </c>
      <c r="J7" s="351" t="n">
        <f aca="false">'Price_Technical Assumption'!K8</f>
        <v>2008</v>
      </c>
      <c r="K7" s="351" t="n">
        <f aca="false">'Price_Technical Assumption'!L8</f>
        <v>2009</v>
      </c>
      <c r="L7" s="351" t="n">
        <f aca="false">'Price_Technical Assumption'!M8</f>
        <v>2010</v>
      </c>
      <c r="M7" s="351" t="n">
        <f aca="false">'Price_Technical Assumption'!N8</f>
        <v>2011</v>
      </c>
      <c r="N7" s="351" t="n">
        <f aca="false">'Price_Technical Assumption'!O8</f>
        <v>2012</v>
      </c>
      <c r="O7" s="351" t="n">
        <f aca="false">'Price_Technical Assumption'!P8</f>
        <v>2013</v>
      </c>
      <c r="P7" s="351" t="n">
        <f aca="false">'Price_Technical Assumption'!Q8</f>
        <v>2014</v>
      </c>
      <c r="Q7" s="351" t="n">
        <f aca="false">'Price_Technical Assumption'!R8</f>
        <v>2015</v>
      </c>
      <c r="R7" s="351" t="n">
        <f aca="false">'Price_Technical Assumption'!S8</f>
        <v>2016</v>
      </c>
      <c r="S7" s="351" t="n">
        <f aca="false">'Price_Technical Assumption'!T8</f>
        <v>2017</v>
      </c>
      <c r="T7" s="351" t="n">
        <f aca="false">'Price_Technical Assumption'!U8</f>
        <v>2018</v>
      </c>
      <c r="U7" s="351" t="n">
        <f aca="false">'Price_Technical Assumption'!V8</f>
        <v>2019</v>
      </c>
      <c r="V7" s="351" t="n">
        <f aca="false">'Price_Technical Assumption'!W8</f>
        <v>2020</v>
      </c>
      <c r="W7" s="351" t="n">
        <f aca="false">'Price_Technical Assumption'!X8</f>
        <v>2021</v>
      </c>
      <c r="X7" s="351" t="n">
        <f aca="false">'Price_Technical Assumption'!Y8</f>
        <v>2022</v>
      </c>
      <c r="Y7" s="351" t="n">
        <f aca="false">'Price_Technical Assumption'!Z8</f>
        <v>2023</v>
      </c>
      <c r="Z7" s="351" t="n">
        <f aca="false">'Price_Technical Assumption'!AA8</f>
        <v>2024</v>
      </c>
      <c r="AA7" s="351" t="n">
        <f aca="false">'Price_Technical Assumption'!AB8</f>
        <v>2025</v>
      </c>
      <c r="AB7" s="351" t="n">
        <f aca="false">'Price_Technical Assumption'!AC8</f>
        <v>2026</v>
      </c>
      <c r="AC7" s="351" t="n">
        <f aca="false">'Price_Technical Assumption'!AD8</f>
        <v>2027</v>
      </c>
      <c r="AD7" s="351" t="n">
        <f aca="false">'Price_Technical Assumption'!AE8</f>
        <v>2028</v>
      </c>
      <c r="AE7" s="351" t="n">
        <f aca="false">'Price_Technical Assumption'!AF8</f>
        <v>2029</v>
      </c>
      <c r="AF7" s="351" t="n">
        <f aca="false">'Price_Technical Assumption'!AG8</f>
        <v>2030</v>
      </c>
      <c r="AG7" s="351" t="n">
        <f aca="false">'Price_Technical Assumption'!AH8</f>
        <v>2031</v>
      </c>
    </row>
    <row r="8" customFormat="false" ht="12.75" hidden="false" customHeight="false" outlineLevel="0" collapsed="false">
      <c r="A8" s="388"/>
      <c r="B8" s="353" t="n">
        <f aca="false">Assumptions!G46</f>
        <v>36617</v>
      </c>
      <c r="C8" s="353" t="n">
        <f aca="false">BS!D8</f>
        <v>37255.5</v>
      </c>
      <c r="D8" s="353" t="n">
        <f aca="false">BS!E8</f>
        <v>37620.75</v>
      </c>
      <c r="E8" s="353" t="n">
        <f aca="false">BS!F8</f>
        <v>37986</v>
      </c>
      <c r="F8" s="353" t="n">
        <f aca="false">BS!G8</f>
        <v>38351.25</v>
      </c>
      <c r="G8" s="353" t="n">
        <f aca="false">BS!H8</f>
        <v>38716.5</v>
      </c>
      <c r="H8" s="353" t="n">
        <f aca="false">BS!I8</f>
        <v>39081.75</v>
      </c>
      <c r="I8" s="353" t="n">
        <f aca="false">BS!J8</f>
        <v>39447</v>
      </c>
      <c r="J8" s="353" t="n">
        <f aca="false">BS!K8</f>
        <v>39812.25</v>
      </c>
      <c r="K8" s="353" t="n">
        <f aca="false">BS!L8</f>
        <v>40177.5</v>
      </c>
      <c r="L8" s="353" t="n">
        <f aca="false">BS!M8</f>
        <v>40542.75</v>
      </c>
      <c r="M8" s="353" t="n">
        <f aca="false">BS!N8</f>
        <v>40908</v>
      </c>
      <c r="N8" s="353" t="n">
        <f aca="false">BS!O8</f>
        <v>41273.25</v>
      </c>
      <c r="O8" s="353" t="n">
        <f aca="false">BS!P8</f>
        <v>41638.5</v>
      </c>
      <c r="P8" s="353" t="n">
        <f aca="false">BS!Q8</f>
        <v>42003.75</v>
      </c>
      <c r="Q8" s="353" t="n">
        <f aca="false">BS!R8</f>
        <v>42369</v>
      </c>
      <c r="R8" s="353" t="n">
        <f aca="false">BS!S8</f>
        <v>42734.25</v>
      </c>
      <c r="S8" s="353" t="n">
        <f aca="false">BS!T8</f>
        <v>43099.5</v>
      </c>
      <c r="T8" s="353" t="n">
        <f aca="false">BS!U8</f>
        <v>43464.75</v>
      </c>
      <c r="U8" s="353" t="n">
        <f aca="false">BS!V8</f>
        <v>43830</v>
      </c>
      <c r="V8" s="353" t="n">
        <f aca="false">BS!W8</f>
        <v>44195.25</v>
      </c>
      <c r="W8" s="353" t="n">
        <f aca="false">BS!X8</f>
        <v>44560.5</v>
      </c>
      <c r="X8" s="353" t="n">
        <f aca="false">BS!Y8</f>
        <v>44925.75</v>
      </c>
      <c r="Y8" s="353" t="n">
        <f aca="false">BS!Z8</f>
        <v>45291</v>
      </c>
      <c r="Z8" s="353" t="n">
        <f aca="false">BS!AA8</f>
        <v>45656.25</v>
      </c>
      <c r="AA8" s="353" t="n">
        <f aca="false">BS!AB8</f>
        <v>46021.5</v>
      </c>
      <c r="AB8" s="353" t="n">
        <f aca="false">BS!AC8</f>
        <v>46386.75</v>
      </c>
      <c r="AC8" s="353" t="n">
        <f aca="false">BS!AD8</f>
        <v>46752</v>
      </c>
      <c r="AD8" s="353" t="n">
        <f aca="false">BS!AE8</f>
        <v>47117.25</v>
      </c>
      <c r="AE8" s="353" t="n">
        <f aca="false">BS!AF8</f>
        <v>47482.5</v>
      </c>
      <c r="AF8" s="353" t="n">
        <f aca="false">BS!AG8</f>
        <v>47847.75</v>
      </c>
      <c r="AG8" s="353" t="n">
        <f aca="false">BS!AH8</f>
        <v>48213</v>
      </c>
    </row>
    <row r="9" customFormat="false" ht="12.75" hidden="false" customHeight="false" outlineLevel="0" collapsed="false">
      <c r="A9" s="388"/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</row>
    <row r="10" customFormat="false" ht="13.5" hidden="false" customHeight="true" outlineLevel="1" collapsed="false">
      <c r="A10" s="13"/>
      <c r="B10" s="352"/>
      <c r="C10" s="389"/>
      <c r="D10" s="389"/>
      <c r="E10" s="389"/>
      <c r="F10" s="389"/>
      <c r="G10" s="389"/>
      <c r="H10" s="389"/>
      <c r="I10" s="390"/>
      <c r="J10" s="390"/>
      <c r="K10" s="391"/>
      <c r="L10" s="391"/>
      <c r="M10" s="390"/>
      <c r="N10" s="390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</row>
    <row r="11" customFormat="false" ht="12.75" hidden="false" customHeight="false" outlineLevel="0" collapsed="false">
      <c r="A11" s="392" t="s">
        <v>321</v>
      </c>
      <c r="B11" s="180" t="n">
        <v>0</v>
      </c>
      <c r="C11" s="180" t="n">
        <f aca="false">IS!C30</f>
        <v>14975.7911455633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92" t="s">
        <v>359</v>
      </c>
      <c r="B12" s="385" t="n">
        <v>0</v>
      </c>
      <c r="C12" s="385" t="n">
        <f aca="false">-(Debt!B36)</f>
        <v>-2243.08028930939</v>
      </c>
      <c r="D12" s="385" t="n">
        <f aca="false">-(Debt!B44+Debt!C27+Debt!C36)</f>
        <v>-4848.57774797582</v>
      </c>
      <c r="E12" s="385" t="n">
        <f aca="false">-(Debt!C44+Debt!D27+Debt!D36)</f>
        <v>-4175.49595304932</v>
      </c>
      <c r="F12" s="385" t="n">
        <f aca="false">-(Debt!D44+Debt!E27+Debt!E36)</f>
        <v>-3457.52845044813</v>
      </c>
      <c r="G12" s="385" t="n">
        <f aca="false">-(Debt!E44+Debt!F27+Debt!F36)</f>
        <v>-2639.21155635157</v>
      </c>
      <c r="H12" s="385" t="n">
        <f aca="false">-(Debt!F44+Debt!G27+Debt!G36)</f>
        <v>-1758.58423906764</v>
      </c>
      <c r="I12" s="385" t="n">
        <f aca="false">-(Debt!G44+Debt!H27+Debt!H36)</f>
        <v>-813.135262442693</v>
      </c>
      <c r="J12" s="385" t="n">
        <f aca="false">-(Debt!H44+Debt!I27+Debt!I36)</f>
        <v>-36.1171386370811</v>
      </c>
      <c r="K12" s="385" t="n">
        <f aca="false">-(Debt!I44+Debt!J27+Debt!J36)</f>
        <v>-0</v>
      </c>
      <c r="L12" s="385" t="n">
        <f aca="false">-(Debt!J44+Debt!K27+Debt!K36)</f>
        <v>-0</v>
      </c>
      <c r="M12" s="385" t="n">
        <f aca="false">-(Debt!K44+Debt!L27+Debt!L36)</f>
        <v>-0</v>
      </c>
      <c r="N12" s="385" t="n">
        <f aca="false">-(Debt!L44+Debt!M27+Debt!M36)</f>
        <v>-28.8445169155385</v>
      </c>
      <c r="O12" s="385" t="n">
        <f aca="false">-(Debt!M44+Debt!N27+Debt!N36)</f>
        <v>-149.751819017188</v>
      </c>
      <c r="P12" s="385" t="n">
        <f aca="false">-(Debt!N44+Debt!O27+Debt!O36)</f>
        <v>-283.678399460013</v>
      </c>
      <c r="Q12" s="385" t="n">
        <f aca="false">-(Debt!O44+Debt!P27+Debt!P36)</f>
        <v>-431.828710813085</v>
      </c>
      <c r="R12" s="385" t="n">
        <f aca="false">-(Debt!P44+Debt!Q27+Debt!Q36)</f>
        <v>-595.874072242828</v>
      </c>
      <c r="S12" s="385" t="n">
        <f aca="false">-(Debt!Q44+Debt!R27+Debt!R36)</f>
        <v>-775.848253814674</v>
      </c>
      <c r="T12" s="385" t="n">
        <f aca="false">-(Debt!R44+Debt!S27+Debt!S36)</f>
        <v>-975.561910860799</v>
      </c>
      <c r="U12" s="385" t="n">
        <f aca="false">-(Debt!S44+Debt!T27+Debt!T36)</f>
        <v>-1195.14074227605</v>
      </c>
      <c r="V12" s="385" t="n">
        <f aca="false">-(Debt!T44+Debt!U27+Debt!U36)</f>
        <v>-1437.76149256323</v>
      </c>
      <c r="W12" s="385" t="n">
        <f aca="false">-(Debt!U44+Debt!V27+Debt!V36)</f>
        <v>-1701.72265365399</v>
      </c>
      <c r="X12" s="385" t="n">
        <f aca="false">-(Debt!V44+Debt!W27+Debt!W36)</f>
        <v>-1994.95813670364</v>
      </c>
      <c r="Y12" s="385" t="n">
        <f aca="false">-(Debt!W44+Debt!X27+Debt!X36)</f>
        <v>-2315.94993177812</v>
      </c>
      <c r="Z12" s="385" t="n">
        <f aca="false">-(Debt!X44+Debt!Y27+Debt!Y36)</f>
        <v>-2670.05505750484</v>
      </c>
      <c r="AA12" s="385" t="n">
        <f aca="false">-(Debt!Y44+Debt!Z27+Debt!Z36)</f>
        <v>-3052.98449155289</v>
      </c>
      <c r="AB12" s="385" t="n">
        <f aca="false">-(Debt!Z44+Debt!AA27+Debt!AA36)</f>
        <v>-3478.66507837515</v>
      </c>
      <c r="AC12" s="385" t="n">
        <f aca="false">-(Debt!AA44+Debt!AB27+Debt!AB36)</f>
        <v>-3943.11888182741</v>
      </c>
      <c r="AD12" s="385" t="n">
        <f aca="false">-(Debt!AB44+Debt!AC27+Debt!AC36)</f>
        <v>-4454.83269435718</v>
      </c>
      <c r="AE12" s="385" t="n">
        <f aca="false">-(Debt!AC44+Debt!AD27+Debt!AD36)</f>
        <v>-5005.72043517421</v>
      </c>
      <c r="AF12" s="385" t="n">
        <f aca="false">-(Debt!AD44+Debt!AE27+Debt!AE36)</f>
        <v>-5618.35588022961</v>
      </c>
      <c r="AG12" s="385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92" t="s">
        <v>360</v>
      </c>
      <c r="B13" s="180" t="n">
        <f aca="false">SUM(B11:B12)</f>
        <v>0</v>
      </c>
      <c r="C13" s="180" t="n">
        <f aca="false">SUM(C11:C12)</f>
        <v>12732.7108562539</v>
      </c>
      <c r="D13" s="180" t="n">
        <f aca="false">SUM(D11:D12)</f>
        <v>13067.7245310708</v>
      </c>
      <c r="E13" s="180" t="n">
        <f aca="false">SUM(E11:E12)</f>
        <v>14602.856162799</v>
      </c>
      <c r="F13" s="180" t="n">
        <f aca="false">SUM(F11:F12)</f>
        <v>15906.3554085019</v>
      </c>
      <c r="G13" s="180" t="n">
        <f aca="false">SUM(G11:G12)</f>
        <v>16581.0061033002</v>
      </c>
      <c r="H13" s="180" t="n">
        <f aca="false">SUM(H11:H12)</f>
        <v>17318.7562129391</v>
      </c>
      <c r="I13" s="180" t="n">
        <f aca="false">SUM(I11:I12)</f>
        <v>17563.5397292111</v>
      </c>
      <c r="J13" s="180" t="n">
        <f aca="false">SUM(J11:J12)</f>
        <v>18323.5968242684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92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92" t="s">
        <v>361</v>
      </c>
      <c r="B15" s="180" t="n">
        <v>0</v>
      </c>
      <c r="C15" s="180" t="n">
        <f aca="false">-Taxes!B24-Taxes!B41</f>
        <v>-2343.32543505073</v>
      </c>
      <c r="D15" s="180" t="n">
        <f aca="false">-Taxes!C24-Taxes!C41</f>
        <v>-1144.26195686142</v>
      </c>
      <c r="E15" s="180" t="n">
        <f aca="false">-Taxes!D24-Taxes!D41</f>
        <v>-2130.8140498854</v>
      </c>
      <c r="F15" s="180" t="n">
        <f aca="false">-Taxes!E24-Taxes!E41</f>
        <v>-2993.34090426226</v>
      </c>
      <c r="G15" s="180" t="n">
        <f aca="false">-Taxes!F24-Taxes!F41</f>
        <v>-3570.35931870926</v>
      </c>
      <c r="H15" s="180" t="n">
        <f aca="false">-Taxes!G24-Taxes!G41</f>
        <v>-4352.67273039427</v>
      </c>
      <c r="I15" s="180" t="n">
        <f aca="false">-Taxes!H24-Taxes!H41</f>
        <v>-4687.90831433615</v>
      </c>
      <c r="J15" s="180" t="n">
        <f aca="false">-Taxes!I24-Taxes!I41</f>
        <v>-4894.82347212789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92" t="s">
        <v>362</v>
      </c>
      <c r="B16" s="180" t="n">
        <v>0</v>
      </c>
      <c r="C16" s="180" t="n">
        <f aca="false">-Debt!B48</f>
        <v>-4017.29141908183</v>
      </c>
      <c r="D16" s="180" t="n">
        <f aca="false">-Debt!C48</f>
        <v>-7841.24340680993</v>
      </c>
      <c r="E16" s="180" t="n">
        <f aca="false">-Debt!D48</f>
        <v>-8200.12411477842</v>
      </c>
      <c r="F16" s="180" t="n">
        <f aca="false">-Debt!E48</f>
        <v>-9363.199837161</v>
      </c>
      <c r="G16" s="180" t="n">
        <f aca="false">-Debt!F48</f>
        <v>-10189.3520095617</v>
      </c>
      <c r="H16" s="180" t="n">
        <f aca="false">-Debt!G48</f>
        <v>-10983.3903561436</v>
      </c>
      <c r="I16" s="180" t="n">
        <f aca="false">-Debt!H48</f>
        <v>-11554.439036819</v>
      </c>
      <c r="J16" s="180" t="n">
        <f aca="false">-Debt!I48</f>
        <v>-848.658833120386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92" t="s">
        <v>363</v>
      </c>
      <c r="B17" s="393" t="n">
        <v>0</v>
      </c>
      <c r="C17" s="393" t="n">
        <v>0</v>
      </c>
      <c r="D17" s="393" t="n">
        <v>0</v>
      </c>
      <c r="E17" s="393" t="n">
        <v>0</v>
      </c>
      <c r="F17" s="393" t="n">
        <v>0</v>
      </c>
      <c r="G17" s="393" t="n">
        <v>0</v>
      </c>
      <c r="H17" s="393" t="n">
        <v>0</v>
      </c>
      <c r="I17" s="393" t="n">
        <v>0</v>
      </c>
      <c r="J17" s="393" t="n">
        <v>0</v>
      </c>
      <c r="K17" s="393" t="n">
        <v>0</v>
      </c>
      <c r="L17" s="393" t="n">
        <v>0</v>
      </c>
      <c r="M17" s="393" t="n">
        <v>0</v>
      </c>
      <c r="N17" s="393" t="n">
        <v>0</v>
      </c>
      <c r="O17" s="393" t="n">
        <v>0</v>
      </c>
      <c r="P17" s="393" t="n">
        <v>0</v>
      </c>
      <c r="Q17" s="393" t="n">
        <v>0</v>
      </c>
      <c r="R17" s="393" t="n">
        <v>0</v>
      </c>
      <c r="S17" s="393" t="n">
        <v>0</v>
      </c>
      <c r="T17" s="393" t="n">
        <v>0</v>
      </c>
      <c r="U17" s="393" t="n">
        <v>0</v>
      </c>
      <c r="V17" s="393" t="n">
        <v>0</v>
      </c>
      <c r="W17" s="393" t="n">
        <v>0</v>
      </c>
      <c r="X17" s="393" t="n">
        <v>0</v>
      </c>
      <c r="Y17" s="393" t="n">
        <v>0</v>
      </c>
      <c r="Z17" s="393" t="n">
        <v>0</v>
      </c>
      <c r="AA17" s="393" t="n">
        <v>0</v>
      </c>
      <c r="AB17" s="393" t="n">
        <v>0</v>
      </c>
      <c r="AC17" s="393" t="n">
        <v>0</v>
      </c>
      <c r="AD17" s="393" t="n">
        <v>0</v>
      </c>
      <c r="AE17" s="393" t="n">
        <v>0</v>
      </c>
      <c r="AF17" s="393" t="n">
        <v>0</v>
      </c>
      <c r="AG17" s="393" t="n">
        <v>0</v>
      </c>
    </row>
    <row r="18" customFormat="false" ht="12.75" hidden="false" customHeight="false" outlineLevel="0" collapsed="false">
      <c r="A18" s="392" t="s">
        <v>364</v>
      </c>
      <c r="B18" s="180" t="n">
        <f aca="false">B13+B17+B16+B15</f>
        <v>0</v>
      </c>
      <c r="C18" s="180" t="n">
        <f aca="false">C13+C17+C16+C15</f>
        <v>6372.09400212137</v>
      </c>
      <c r="D18" s="180" t="n">
        <f aca="false">D13+D17+D16+D15</f>
        <v>4082.21916739948</v>
      </c>
      <c r="E18" s="180" t="n">
        <f aca="false">E13+E17+E16+E15</f>
        <v>4271.91799813519</v>
      </c>
      <c r="F18" s="180" t="n">
        <f aca="false">F13+F17+F16+F15</f>
        <v>3549.81466707864</v>
      </c>
      <c r="G18" s="180" t="n">
        <f aca="false">G13+G17+G16+G15</f>
        <v>2821.29477502915</v>
      </c>
      <c r="H18" s="180" t="n">
        <f aca="false">H13+H17+H16+H15</f>
        <v>1982.69312640123</v>
      </c>
      <c r="I18" s="180" t="n">
        <f aca="false">I13+I17+I16+I15</f>
        <v>1321.192378056</v>
      </c>
      <c r="J18" s="180" t="n">
        <f aca="false">J13+J17+J16+J15</f>
        <v>12580.1145190202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4"/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</row>
    <row r="20" customFormat="false" ht="12.75" hidden="false" customHeight="false" outlineLevel="0" collapsed="false">
      <c r="A20" s="396" t="s">
        <v>365</v>
      </c>
      <c r="B20" s="397" t="n">
        <v>1</v>
      </c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6372.09400212137</v>
      </c>
      <c r="D21" s="180" t="n">
        <f aca="false">$B$20*D18</f>
        <v>4082.21916739948</v>
      </c>
      <c r="E21" s="180" t="n">
        <f aca="false">$B$20*E18</f>
        <v>4271.91799813519</v>
      </c>
      <c r="F21" s="180" t="n">
        <f aca="false">$B$20*F18</f>
        <v>3549.81466707864</v>
      </c>
      <c r="G21" s="180" t="n">
        <f aca="false">$B$20*G18</f>
        <v>2821.29477502915</v>
      </c>
      <c r="H21" s="180" t="n">
        <f aca="false">$B$20*H18</f>
        <v>1982.69312640123</v>
      </c>
      <c r="I21" s="180" t="n">
        <f aca="false">$B$20*I18</f>
        <v>1321.192378056</v>
      </c>
      <c r="J21" s="180" t="n">
        <f aca="false">$B$20*J18</f>
        <v>12580.1145190202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</row>
    <row r="23" customFormat="false" ht="12.75" hidden="false" customHeight="false" outlineLevel="0" collapsed="false">
      <c r="A23" s="395"/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</row>
    <row r="24" customFormat="false" ht="12.75" hidden="false" customHeight="false" outlineLevel="0" collapsed="false">
      <c r="A24" s="398" t="s">
        <v>366</v>
      </c>
      <c r="B24" s="399" t="n">
        <v>0.14</v>
      </c>
      <c r="AA24" s="395"/>
      <c r="AB24" s="395"/>
      <c r="AC24" s="395"/>
      <c r="AD24" s="395"/>
    </row>
    <row r="25" customFormat="false" ht="12.75" hidden="false" customHeight="false" outlineLevel="0" collapsed="false">
      <c r="A25" s="392" t="s">
        <v>367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-41506.1572481203</v>
      </c>
      <c r="E25" s="180" t="n">
        <f aca="false">+D29</f>
        <v>-41506.1572481203</v>
      </c>
      <c r="F25" s="180" t="n">
        <f aca="false">+E29</f>
        <v>-41506.1572481203</v>
      </c>
      <c r="G25" s="180" t="n">
        <f aca="false">+F29</f>
        <v>-41506.1572481203</v>
      </c>
      <c r="H25" s="180" t="n">
        <f aca="false">+G29</f>
        <v>-41506.1572481203</v>
      </c>
      <c r="I25" s="180" t="n">
        <f aca="false">+H29</f>
        <v>-41506.1572481203</v>
      </c>
      <c r="J25" s="180" t="n">
        <f aca="false">+I29</f>
        <v>-41506.1572481203</v>
      </c>
      <c r="K25" s="180" t="n">
        <f aca="false">+J29</f>
        <v>-34736.904743837</v>
      </c>
      <c r="L25" s="180" t="n">
        <f aca="false">+K29</f>
        <v>-26361.6683416543</v>
      </c>
      <c r="M25" s="180" t="n">
        <f aca="false">+L29</f>
        <v>-19782.9933731405</v>
      </c>
      <c r="N25" s="180" t="n">
        <f aca="false">+M29</f>
        <v>-19782.9933731405</v>
      </c>
      <c r="O25" s="180" t="n">
        <f aca="false">+N29</f>
        <v>-19782.9933731405</v>
      </c>
      <c r="P25" s="180" t="n">
        <f aca="false">+O29</f>
        <v>-19782.9933731405</v>
      </c>
      <c r="Q25" s="180" t="n">
        <f aca="false">+P29</f>
        <v>-19782.9933731405</v>
      </c>
      <c r="R25" s="180" t="n">
        <f aca="false">+Q29</f>
        <v>-19782.9933731405</v>
      </c>
      <c r="S25" s="180" t="n">
        <f aca="false">+R29</f>
        <v>-19782.9933731405</v>
      </c>
      <c r="T25" s="180" t="n">
        <f aca="false">+S29</f>
        <v>-19782.9933731405</v>
      </c>
      <c r="U25" s="180" t="n">
        <f aca="false">+T29</f>
        <v>-19782.9933731405</v>
      </c>
      <c r="V25" s="180" t="n">
        <f aca="false">+U29</f>
        <v>-19782.9933731405</v>
      </c>
      <c r="W25" s="180" t="n">
        <f aca="false">+V29</f>
        <v>-19782.9933731405</v>
      </c>
      <c r="X25" s="180" t="n">
        <f aca="false">+W29</f>
        <v>-19782.9933731405</v>
      </c>
      <c r="Y25" s="180" t="n">
        <f aca="false">+X29</f>
        <v>-19782.9933731405</v>
      </c>
      <c r="Z25" s="180" t="n">
        <f aca="false">+Y29</f>
        <v>-19782.9933731405</v>
      </c>
      <c r="AA25" s="180" t="n">
        <f aca="false">+Z29</f>
        <v>-19782.9933731405</v>
      </c>
      <c r="AB25" s="180" t="n">
        <f aca="false">+AA29</f>
        <v>-19782.9933731405</v>
      </c>
      <c r="AC25" s="180" t="n">
        <f aca="false">+AB29</f>
        <v>-19782.9933731405</v>
      </c>
      <c r="AD25" s="180" t="n">
        <f aca="false">+AC29</f>
        <v>-19782.9933731405</v>
      </c>
      <c r="AE25" s="180" t="n">
        <f aca="false">+AD29</f>
        <v>-19782.9933731405</v>
      </c>
      <c r="AF25" s="180" t="n">
        <f aca="false">+AE29</f>
        <v>-19782.9933731405</v>
      </c>
      <c r="AG25" s="180" t="n">
        <f aca="false">+AF29</f>
        <v>-19782.9933731405</v>
      </c>
    </row>
    <row r="26" customFormat="false" ht="12.75" hidden="false" customHeight="false" outlineLevel="0" collapsed="false">
      <c r="A26" s="392" t="s">
        <v>368</v>
      </c>
      <c r="B26" s="180" t="n">
        <v>0</v>
      </c>
      <c r="C26" s="180" t="n">
        <f aca="false">+-B25*$B$24</f>
        <v>5879.78524125775</v>
      </c>
      <c r="D26" s="180" t="n">
        <f aca="false">+-D25*$B$24</f>
        <v>5810.86201473684</v>
      </c>
      <c r="E26" s="180" t="n">
        <f aca="false">+-E25*$B$24</f>
        <v>5810.86201473684</v>
      </c>
      <c r="F26" s="180" t="n">
        <f aca="false">+-F25*$B$24</f>
        <v>5810.86201473684</v>
      </c>
      <c r="G26" s="180" t="n">
        <f aca="false">+-G25*$B$24</f>
        <v>5810.86201473684</v>
      </c>
      <c r="H26" s="180" t="n">
        <f aca="false">+-H25*$B$24</f>
        <v>5810.86201473684</v>
      </c>
      <c r="I26" s="180" t="n">
        <f aca="false">+-I25*$B$24</f>
        <v>5810.86201473684</v>
      </c>
      <c r="J26" s="180" t="n">
        <f aca="false">+-J25*$B$24</f>
        <v>5810.86201473684</v>
      </c>
      <c r="K26" s="180" t="n">
        <f aca="false">+-K25*$B$24</f>
        <v>4863.16666413718</v>
      </c>
      <c r="L26" s="180" t="n">
        <f aca="false">+-L25*$B$24</f>
        <v>3690.63356783161</v>
      </c>
      <c r="M26" s="180" t="n">
        <f aca="false">+-M25*$B$24</f>
        <v>2769.61907223967</v>
      </c>
      <c r="N26" s="180" t="n">
        <f aca="false">+-N25*$B$24</f>
        <v>2769.61907223967</v>
      </c>
      <c r="O26" s="180" t="n">
        <f aca="false">+-O25*$B$24</f>
        <v>2769.61907223967</v>
      </c>
      <c r="P26" s="180" t="n">
        <f aca="false">+-P25*$B$24</f>
        <v>2769.61907223967</v>
      </c>
      <c r="Q26" s="180" t="n">
        <f aca="false">+-Q25*$B$24</f>
        <v>2769.61907223967</v>
      </c>
      <c r="R26" s="180" t="n">
        <f aca="false">+-R25*$B$24</f>
        <v>2769.61907223967</v>
      </c>
      <c r="S26" s="180" t="n">
        <f aca="false">+-S25*$B$24</f>
        <v>2769.61907223967</v>
      </c>
      <c r="T26" s="180" t="n">
        <f aca="false">+-T25*$B$24</f>
        <v>2769.61907223967</v>
      </c>
      <c r="U26" s="180" t="n">
        <f aca="false">+-U25*$B$24</f>
        <v>2769.61907223967</v>
      </c>
      <c r="V26" s="180" t="n">
        <f aca="false">+-V25*$B$24</f>
        <v>2769.61907223967</v>
      </c>
      <c r="W26" s="180" t="n">
        <f aca="false">+-W25*$B$24</f>
        <v>2769.61907223967</v>
      </c>
      <c r="X26" s="180" t="n">
        <f aca="false">+-X25*$B$24</f>
        <v>2769.61907223967</v>
      </c>
      <c r="Y26" s="180" t="n">
        <f aca="false">+-Y25*$B$24</f>
        <v>2769.61907223967</v>
      </c>
      <c r="Z26" s="180" t="n">
        <f aca="false">+-Z25*$B$24</f>
        <v>2769.61907223967</v>
      </c>
      <c r="AA26" s="180" t="n">
        <f aca="false">+-AA25*$B$24</f>
        <v>2769.61907223967</v>
      </c>
      <c r="AB26" s="180" t="n">
        <f aca="false">+-AB25*$B$24</f>
        <v>2769.61907223967</v>
      </c>
      <c r="AC26" s="180" t="n">
        <f aca="false">+-AC25*$B$24</f>
        <v>2769.61907223967</v>
      </c>
      <c r="AD26" s="180" t="n">
        <f aca="false">+-AD25*$B$24</f>
        <v>2769.61907223967</v>
      </c>
      <c r="AE26" s="180" t="n">
        <f aca="false">+-AE25*$B$24</f>
        <v>2769.61907223967</v>
      </c>
      <c r="AF26" s="180" t="n">
        <f aca="false">+-AF25*$B$24</f>
        <v>2769.61907223967</v>
      </c>
      <c r="AG26" s="180" t="n">
        <f aca="false">+-AG25*$B$24</f>
        <v>2769.61907223967</v>
      </c>
    </row>
    <row r="27" customFormat="false" ht="12.75" hidden="false" customHeight="false" outlineLevel="0" collapsed="false">
      <c r="A27" s="392" t="s">
        <v>369</v>
      </c>
      <c r="B27" s="180" t="n">
        <f aca="false">B21</f>
        <v>0</v>
      </c>
      <c r="C27" s="180" t="n">
        <f aca="false">C21</f>
        <v>6372.09400212137</v>
      </c>
      <c r="D27" s="180" t="n">
        <f aca="false">D21</f>
        <v>4082.21916739948</v>
      </c>
      <c r="E27" s="180" t="n">
        <f aca="false">E21</f>
        <v>4271.91799813519</v>
      </c>
      <c r="F27" s="180" t="n">
        <f aca="false">F21</f>
        <v>3549.81466707864</v>
      </c>
      <c r="G27" s="180" t="n">
        <f aca="false">G21</f>
        <v>2821.29477502915</v>
      </c>
      <c r="H27" s="180" t="n">
        <f aca="false">H21</f>
        <v>1982.69312640123</v>
      </c>
      <c r="I27" s="180" t="n">
        <f aca="false">I21</f>
        <v>1321.192378056</v>
      </c>
      <c r="J27" s="180" t="n">
        <f aca="false">J21</f>
        <v>12580.1145190202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92" t="s">
        <v>370</v>
      </c>
      <c r="B28" s="385" t="n">
        <v>0</v>
      </c>
      <c r="C28" s="385" t="n">
        <f aca="false">+IF(C27&gt;C26,C27-C26,0)</f>
        <v>492.308760863622</v>
      </c>
      <c r="D28" s="385" t="n">
        <f aca="false">+IF(D27&gt;D26,D27-D26,0)</f>
        <v>0</v>
      </c>
      <c r="E28" s="385" t="n">
        <f aca="false">+IF(E27&gt;E26,E27-E26,0)</f>
        <v>0</v>
      </c>
      <c r="F28" s="385" t="n">
        <f aca="false">+IF(F27&gt;F26,F27-F26,0)</f>
        <v>0</v>
      </c>
      <c r="G28" s="385" t="n">
        <f aca="false">+IF(G27&gt;G26,G27-G26,0)</f>
        <v>0</v>
      </c>
      <c r="H28" s="385" t="n">
        <f aca="false">+IF(H27&gt;H26,H27-H26,0)</f>
        <v>0</v>
      </c>
      <c r="I28" s="385" t="n">
        <f aca="false">+IF(I27&gt;I26,I27-I26,0)</f>
        <v>0</v>
      </c>
      <c r="J28" s="385" t="n">
        <f aca="false">+IF(J27&gt;J26,J27-J26,0)</f>
        <v>6769.25250428332</v>
      </c>
      <c r="K28" s="385" t="n">
        <f aca="false">+IF(K27&gt;K26,K27-K26,0)</f>
        <v>8375.23640218264</v>
      </c>
      <c r="L28" s="385" t="n">
        <f aca="false">+IF(L27&gt;L26,L27-L26,0)</f>
        <v>6578.67496851387</v>
      </c>
      <c r="M28" s="385" t="n">
        <f aca="false">+IF(M27&gt;M26,M27-M26,0)</f>
        <v>0</v>
      </c>
      <c r="N28" s="385" t="n">
        <f aca="false">+IF(N27&gt;N26,N27-N26,0)</f>
        <v>0</v>
      </c>
      <c r="O28" s="385" t="n">
        <f aca="false">+IF(O27&gt;O26,O27-O26,0)</f>
        <v>0</v>
      </c>
      <c r="P28" s="385" t="n">
        <f aca="false">+IF(P27&gt;P26,P27-P26,0)</f>
        <v>0</v>
      </c>
      <c r="Q28" s="385" t="n">
        <f aca="false">+IF(Q27&gt;Q26,Q27-Q26,0)</f>
        <v>0</v>
      </c>
      <c r="R28" s="385" t="n">
        <f aca="false">+IF(R27&gt;R26,R27-R26,0)</f>
        <v>0</v>
      </c>
      <c r="S28" s="385" t="n">
        <f aca="false">+IF(S27&gt;S26,S27-S26,0)</f>
        <v>0</v>
      </c>
      <c r="T28" s="385" t="n">
        <f aca="false">+IF(T27&gt;T26,T27-T26,0)</f>
        <v>0</v>
      </c>
      <c r="U28" s="385" t="n">
        <f aca="false">+IF(U27&gt;U26,U27-U26,0)</f>
        <v>0</v>
      </c>
      <c r="V28" s="385" t="n">
        <f aca="false">+IF(V27&gt;V26,V27-V26,0)</f>
        <v>0</v>
      </c>
      <c r="W28" s="385" t="n">
        <f aca="false">+IF(W27&gt;W26,W27-W26,0)</f>
        <v>0</v>
      </c>
      <c r="X28" s="385" t="n">
        <f aca="false">+IF(X27&gt;X26,X27-X26,0)</f>
        <v>0</v>
      </c>
      <c r="Y28" s="385" t="n">
        <f aca="false">+IF(Y27&gt;Y26,Y27-Y26,0)</f>
        <v>0</v>
      </c>
      <c r="Z28" s="385" t="n">
        <f aca="false">+IF(Z27&gt;Z26,Z27-Z26,0)</f>
        <v>0</v>
      </c>
      <c r="AA28" s="385" t="n">
        <f aca="false">+IF(AA27&gt;AA26,AA27-AA26,0)</f>
        <v>0</v>
      </c>
      <c r="AB28" s="385" t="n">
        <f aca="false">+IF(AB27&gt;AB26,AB27-AB26,0)</f>
        <v>0</v>
      </c>
      <c r="AC28" s="385" t="n">
        <f aca="false">+IF(AC27&gt;AC26,AC27-AC26,0)</f>
        <v>0</v>
      </c>
      <c r="AD28" s="385" t="n">
        <f aca="false">+IF(AD27&gt;AD26,AD27-AD26,0)</f>
        <v>0</v>
      </c>
      <c r="AE28" s="385" t="n">
        <f aca="false">+IF(AE27&gt;AE26,AE27-AE26,0)</f>
        <v>0</v>
      </c>
      <c r="AF28" s="385" t="n">
        <f aca="false">+IF(AF27&gt;AF26,AF27-AF26,0)</f>
        <v>0</v>
      </c>
      <c r="AG28" s="385" t="n">
        <f aca="false">+IF(AG27&gt;AG26,AG27-AG26,0)</f>
        <v>0</v>
      </c>
    </row>
    <row r="29" customFormat="false" ht="12.75" hidden="false" customHeight="false" outlineLevel="0" collapsed="false">
      <c r="A29" s="392" t="s">
        <v>371</v>
      </c>
      <c r="B29" s="180" t="n">
        <f aca="false">+B25+B28</f>
        <v>-41998.4660089839</v>
      </c>
      <c r="C29" s="180" t="n">
        <f aca="false">+C25+C28</f>
        <v>-41506.1572481203</v>
      </c>
      <c r="D29" s="180" t="n">
        <f aca="false">+D25+D28</f>
        <v>-41506.1572481203</v>
      </c>
      <c r="E29" s="180" t="n">
        <f aca="false">+E25+E28</f>
        <v>-41506.1572481203</v>
      </c>
      <c r="F29" s="180" t="n">
        <f aca="false">+F25+F28</f>
        <v>-41506.1572481203</v>
      </c>
      <c r="G29" s="180" t="n">
        <f aca="false">+G25+G28</f>
        <v>-41506.1572481203</v>
      </c>
      <c r="H29" s="180" t="n">
        <f aca="false">+H25+H28</f>
        <v>-41506.1572481203</v>
      </c>
      <c r="I29" s="180" t="n">
        <f aca="false">+I25+I28</f>
        <v>-41506.1572481203</v>
      </c>
      <c r="J29" s="180" t="n">
        <f aca="false">+J25+J28</f>
        <v>-34736.904743837</v>
      </c>
      <c r="K29" s="180" t="n">
        <f aca="false">+K25+K28</f>
        <v>-26361.6683416543</v>
      </c>
      <c r="L29" s="180" t="n">
        <f aca="false">+L25+L28</f>
        <v>-19782.9933731405</v>
      </c>
      <c r="M29" s="180" t="n">
        <f aca="false">+M25+M28</f>
        <v>-19782.9933731405</v>
      </c>
      <c r="N29" s="180" t="n">
        <f aca="false">+N25+N28</f>
        <v>-19782.9933731405</v>
      </c>
      <c r="O29" s="180" t="n">
        <f aca="false">+O25+O28</f>
        <v>-19782.9933731405</v>
      </c>
      <c r="P29" s="180" t="n">
        <f aca="false">+P25+P28</f>
        <v>-19782.9933731405</v>
      </c>
      <c r="Q29" s="180" t="n">
        <f aca="false">+Q25+Q28</f>
        <v>-19782.9933731405</v>
      </c>
      <c r="R29" s="180" t="n">
        <f aca="false">+R25+R28</f>
        <v>-19782.9933731405</v>
      </c>
      <c r="S29" s="180" t="n">
        <f aca="false">+S25+S28</f>
        <v>-19782.9933731405</v>
      </c>
      <c r="T29" s="180" t="n">
        <f aca="false">+T25+T28</f>
        <v>-19782.9933731405</v>
      </c>
      <c r="U29" s="180" t="n">
        <f aca="false">+U25+U28</f>
        <v>-19782.9933731405</v>
      </c>
      <c r="V29" s="180" t="n">
        <f aca="false">+V25+V28</f>
        <v>-19782.9933731405</v>
      </c>
      <c r="W29" s="180" t="n">
        <f aca="false">+W25+W28</f>
        <v>-19782.9933731405</v>
      </c>
      <c r="X29" s="180" t="n">
        <f aca="false">+X25+X28</f>
        <v>-19782.9933731405</v>
      </c>
      <c r="Y29" s="180" t="n">
        <f aca="false">+Y25+Y28</f>
        <v>-19782.9933731405</v>
      </c>
      <c r="Z29" s="180" t="n">
        <f aca="false">+Z25+Z28</f>
        <v>-19782.9933731405</v>
      </c>
      <c r="AA29" s="180" t="n">
        <f aca="false">+AA25+AA28</f>
        <v>-19782.9933731405</v>
      </c>
      <c r="AB29" s="180" t="n">
        <f aca="false">+AB25+AB28</f>
        <v>-19782.9933731405</v>
      </c>
      <c r="AC29" s="180" t="n">
        <f aca="false">+AC25+AC28</f>
        <v>-19782.9933731405</v>
      </c>
      <c r="AD29" s="180" t="n">
        <f aca="false">+AD25+AD28</f>
        <v>-19782.9933731405</v>
      </c>
      <c r="AE29" s="180" t="n">
        <f aca="false">+AE25+AE28</f>
        <v>-19782.9933731405</v>
      </c>
      <c r="AF29" s="180" t="n">
        <f aca="false">+AF25+AF28</f>
        <v>-19782.9933731405</v>
      </c>
      <c r="AG29" s="180" t="n">
        <f aca="false">+AG25+AG28</f>
        <v>-19782.9933731405</v>
      </c>
    </row>
    <row r="30" customFormat="false" ht="12.75" hidden="false" customHeight="false" outlineLevel="0" collapsed="false">
      <c r="A30" s="392"/>
    </row>
    <row r="31" customFormat="false" ht="12.75" hidden="false" customHeight="false" outlineLevel="0" collapsed="false">
      <c r="A31" s="392"/>
    </row>
    <row r="32" customFormat="false" ht="12.75" hidden="false" customHeight="false" outlineLevel="0" collapsed="false">
      <c r="A32" s="392"/>
    </row>
    <row r="33" customFormat="false" ht="12.75" hidden="false" customHeight="false" outlineLevel="0" collapsed="false">
      <c r="A33" s="398" t="s">
        <v>372</v>
      </c>
    </row>
    <row r="34" customFormat="false" ht="12.75" hidden="false" customHeight="false" outlineLevel="0" collapsed="false">
      <c r="A34" s="398"/>
    </row>
    <row r="35" customFormat="false" ht="12.75" hidden="false" customHeight="false" outlineLevel="0" collapsed="false">
      <c r="A35" s="396" t="s">
        <v>373</v>
      </c>
    </row>
    <row r="36" customFormat="false" ht="12.75" hidden="false" customHeight="false" outlineLevel="0" collapsed="false">
      <c r="A36" s="392" t="s">
        <v>374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92" t="s">
        <v>369</v>
      </c>
      <c r="B37" s="400" t="n">
        <f aca="false">B21*Assumptions!$G$48</f>
        <v>0</v>
      </c>
      <c r="C37" s="385" t="n">
        <f aca="false">C21*Assumptions!$G$48</f>
        <v>6372.09400212137</v>
      </c>
      <c r="D37" s="385" t="n">
        <f aca="false">D21*Assumptions!$G$48</f>
        <v>4082.21916739948</v>
      </c>
      <c r="E37" s="385" t="n">
        <f aca="false">E21*Assumptions!$G$48</f>
        <v>4271.91799813519</v>
      </c>
      <c r="F37" s="385" t="n">
        <f aca="false">F21*Assumptions!$G$48</f>
        <v>3549.81466707864</v>
      </c>
      <c r="G37" s="385" t="n">
        <f aca="false">G21*Assumptions!$G$48</f>
        <v>2821.29477502915</v>
      </c>
      <c r="H37" s="385" t="n">
        <f aca="false">H21*Assumptions!$G$48</f>
        <v>1982.69312640123</v>
      </c>
      <c r="I37" s="385" t="n">
        <f aca="false">I21*Assumptions!$G$48</f>
        <v>1321.192378056</v>
      </c>
      <c r="J37" s="385" t="n">
        <f aca="false">J21*Assumptions!$G$48</f>
        <v>12580.1145190202</v>
      </c>
      <c r="K37" s="385" t="n">
        <f aca="false">K21*Assumptions!$G$48</f>
        <v>13238.4030663198</v>
      </c>
      <c r="L37" s="385" t="n">
        <f aca="false">L21*Assumptions!$G$48</f>
        <v>10269.3085363455</v>
      </c>
      <c r="M37" s="385" t="n">
        <f aca="false">M21*Assumptions!$G$48</f>
        <v>-2002.83296404687</v>
      </c>
      <c r="N37" s="385" t="n">
        <f aca="false">N21*Assumptions!$G$48</f>
        <v>-687.881666966014</v>
      </c>
      <c r="O37" s="385" t="n">
        <f aca="false">O21*Assumptions!$G$48</f>
        <v>-704.586839365967</v>
      </c>
      <c r="P37" s="385" t="n">
        <f aca="false">P21*Assumptions!$G$48</f>
        <v>-718.993844003431</v>
      </c>
      <c r="Q37" s="385" t="n">
        <f aca="false">Q21*Assumptions!$G$48</f>
        <v>-734.831899980079</v>
      </c>
      <c r="R37" s="385" t="n">
        <f aca="false">R21*Assumptions!$G$48</f>
        <v>-750.174119174815</v>
      </c>
      <c r="S37" s="385" t="n">
        <f aca="false">S21*Assumptions!$G$48</f>
        <v>-769.085152232056</v>
      </c>
      <c r="T37" s="385" t="n">
        <f aca="false">T21*Assumptions!$G$48</f>
        <v>-785.505458543866</v>
      </c>
      <c r="U37" s="385" t="n">
        <f aca="false">U21*Assumptions!$G$48</f>
        <v>-803.500561638623</v>
      </c>
      <c r="V37" s="385" t="n">
        <f aca="false">V21*Assumptions!$G$48</f>
        <v>-820.966579056141</v>
      </c>
      <c r="W37" s="385" t="n">
        <f aca="false">W21*Assumptions!$G$48</f>
        <v>-842.39194347838</v>
      </c>
      <c r="X37" s="385" t="n">
        <f aca="false">X21*Assumptions!$G$48</f>
        <v>-861.113766234947</v>
      </c>
      <c r="Y37" s="385" t="n">
        <f aca="false">Y21*Assumptions!$G$48</f>
        <v>-881.565942517773</v>
      </c>
      <c r="Z37" s="385" t="n">
        <f aca="false">Z21*Assumptions!$G$48</f>
        <v>-901.450283860216</v>
      </c>
      <c r="AA37" s="385" t="n">
        <f aca="false">AA21*Assumptions!$G$48</f>
        <v>-925.648026258687</v>
      </c>
      <c r="AB37" s="385" t="n">
        <f aca="false">AB21*Assumptions!$G$48</f>
        <v>-946.884403757134</v>
      </c>
      <c r="AC37" s="385" t="n">
        <f aca="false">AC21*Assumptions!$G$48</f>
        <v>-970.041752741406</v>
      </c>
      <c r="AD37" s="385" t="n">
        <f aca="false">AD21*Assumptions!$G$48</f>
        <v>-992.586593320826</v>
      </c>
      <c r="AE37" s="385" t="n">
        <f aca="false">AE21*Assumptions!$G$48</f>
        <v>-1019.8922853204</v>
      </c>
      <c r="AF37" s="385" t="n">
        <f aca="false">AF21*Assumptions!$G$48</f>
        <v>-1043.95160978999</v>
      </c>
      <c r="AG37" s="385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92" t="s">
        <v>375</v>
      </c>
      <c r="B38" s="180" t="n">
        <f aca="false">SUM(B36:B37)</f>
        <v>-41998.4660089839</v>
      </c>
      <c r="C38" s="180" t="n">
        <f aca="false">SUM(C36:C37)</f>
        <v>6372.09400212137</v>
      </c>
      <c r="D38" s="180" t="n">
        <f aca="false">SUM(D36:D37)</f>
        <v>4082.21916739948</v>
      </c>
      <c r="E38" s="180" t="n">
        <f aca="false">SUM(E36:E37)</f>
        <v>4271.91799813519</v>
      </c>
      <c r="F38" s="180" t="n">
        <f aca="false">SUM(F36:F37)</f>
        <v>3549.81466707864</v>
      </c>
      <c r="G38" s="180" t="n">
        <f aca="false">SUM(G36:G37)</f>
        <v>2821.29477502915</v>
      </c>
      <c r="H38" s="180" t="n">
        <f aca="false">SUM(H36:H37)</f>
        <v>1982.69312640123</v>
      </c>
      <c r="I38" s="180" t="n">
        <f aca="false">SUM(I36:I37)</f>
        <v>1321.192378056</v>
      </c>
      <c r="J38" s="180" t="n">
        <f aca="false">SUM(J36:J37)</f>
        <v>12580.1145190202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6" t="s">
        <v>304</v>
      </c>
      <c r="C39" s="401" t="n">
        <f aca="false">XIRR(B38:L38,B8:L8)</f>
        <v>0.0527860018896766</v>
      </c>
    </row>
    <row r="40" customFormat="false" ht="12.75" hidden="false" customHeight="false" outlineLevel="0" collapsed="false">
      <c r="A40" s="392"/>
      <c r="B40" s="402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403" t="s">
        <v>374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403" t="s">
        <v>369</v>
      </c>
      <c r="B43" s="404" t="n">
        <f aca="false">B21*Assumptions!$G$48</f>
        <v>0</v>
      </c>
      <c r="C43" s="180" t="n">
        <f aca="false">C21*Assumptions!$G$48</f>
        <v>6372.09400212137</v>
      </c>
      <c r="D43" s="180" t="n">
        <f aca="false">D21*Assumptions!$G$48</f>
        <v>4082.21916739948</v>
      </c>
      <c r="E43" s="180" t="n">
        <f aca="false">E21*Assumptions!$G$48</f>
        <v>4271.91799813519</v>
      </c>
      <c r="F43" s="180" t="n">
        <f aca="false">F21*Assumptions!$G$48</f>
        <v>3549.81466707864</v>
      </c>
      <c r="G43" s="180" t="n">
        <f aca="false">G21*Assumptions!$G$48</f>
        <v>2821.29477502915</v>
      </c>
      <c r="H43" s="180" t="n">
        <f aca="false">H21*Assumptions!$G$48</f>
        <v>1982.69312640123</v>
      </c>
      <c r="I43" s="180" t="n">
        <f aca="false">I21*Assumptions!$G$48</f>
        <v>1321.192378056</v>
      </c>
      <c r="J43" s="180" t="n">
        <f aca="false">J21*Assumptions!$G$48</f>
        <v>12580.1145190202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403" t="s">
        <v>77</v>
      </c>
      <c r="B44" s="385" t="n">
        <v>0</v>
      </c>
      <c r="C44" s="385" t="n">
        <v>0</v>
      </c>
      <c r="D44" s="385" t="n">
        <v>0</v>
      </c>
      <c r="E44" s="385" t="n">
        <v>0</v>
      </c>
      <c r="F44" s="385" t="n">
        <v>0</v>
      </c>
      <c r="G44" s="385" t="n">
        <v>0</v>
      </c>
      <c r="H44" s="385" t="n">
        <v>0</v>
      </c>
      <c r="I44" s="385" t="n">
        <v>0</v>
      </c>
      <c r="J44" s="385" t="n">
        <v>0</v>
      </c>
      <c r="K44" s="385" t="n">
        <v>0</v>
      </c>
      <c r="L44" s="385" t="n">
        <f aca="false">Assumptions!$H$23*IS!L30*Assumptions!$G$48</f>
        <v>52341.0194100612</v>
      </c>
      <c r="M44" s="385" t="n">
        <v>0</v>
      </c>
      <c r="N44" s="385" t="n">
        <v>0</v>
      </c>
      <c r="O44" s="385" t="n">
        <v>0</v>
      </c>
      <c r="P44" s="385" t="n">
        <v>0</v>
      </c>
      <c r="Q44" s="385" t="n">
        <v>0</v>
      </c>
      <c r="R44" s="385" t="n">
        <v>0</v>
      </c>
      <c r="S44" s="385" t="n">
        <v>0</v>
      </c>
      <c r="T44" s="385" t="n">
        <v>0</v>
      </c>
      <c r="U44" s="385" t="n">
        <v>0</v>
      </c>
      <c r="V44" s="385" t="n">
        <v>0</v>
      </c>
      <c r="W44" s="385" t="n">
        <f aca="false">Assumptions!H23*IS!W30*Assumptions!G48</f>
        <v>-9982.30087232837</v>
      </c>
      <c r="X44" s="385" t="n">
        <v>0</v>
      </c>
      <c r="Y44" s="385" t="n">
        <v>0</v>
      </c>
      <c r="Z44" s="385" t="n">
        <v>0</v>
      </c>
      <c r="AA44" s="385" t="n">
        <v>0</v>
      </c>
      <c r="AB44" s="385" t="n">
        <v>0</v>
      </c>
      <c r="AC44" s="385" t="n">
        <v>0</v>
      </c>
      <c r="AD44" s="385" t="n">
        <v>0</v>
      </c>
      <c r="AE44" s="385" t="n">
        <v>0</v>
      </c>
      <c r="AF44" s="385" t="n">
        <v>0</v>
      </c>
      <c r="AG44" s="385" t="n">
        <f aca="false">Assumptions!H23*IS!AF30*Assumptions!G48</f>
        <v>-12377.7119785381</v>
      </c>
    </row>
    <row r="45" customFormat="false" ht="12.75" hidden="false" customHeight="false" outlineLevel="0" collapsed="false">
      <c r="A45" s="403" t="s">
        <v>375</v>
      </c>
      <c r="B45" s="180" t="n">
        <f aca="false">SUM(B42:B44)</f>
        <v>-41998.4660089839</v>
      </c>
      <c r="C45" s="180" t="n">
        <f aca="false">SUM(C42:C44)</f>
        <v>6372.09400212137</v>
      </c>
      <c r="D45" s="180" t="n">
        <f aca="false">SUM(D42:D44)</f>
        <v>4082.21916739948</v>
      </c>
      <c r="E45" s="180" t="n">
        <f aca="false">SUM(E42:E44)</f>
        <v>4271.91799813519</v>
      </c>
      <c r="F45" s="180" t="n">
        <f aca="false">SUM(F42:F44)</f>
        <v>3549.81466707864</v>
      </c>
      <c r="G45" s="180" t="n">
        <f aca="false">SUM(G42:G44)</f>
        <v>2821.29477502915</v>
      </c>
      <c r="H45" s="180" t="n">
        <f aca="false">SUM(H42:H44)</f>
        <v>1982.69312640123</v>
      </c>
      <c r="I45" s="180" t="n">
        <f aca="false">SUM(I42:I44)</f>
        <v>1321.192378056</v>
      </c>
      <c r="J45" s="180" t="n">
        <f aca="false">SUM(J42:J44)</f>
        <v>12580.1145190202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6" t="s">
        <v>304</v>
      </c>
      <c r="C46" s="401" t="n">
        <f aca="false">XIRR(B45:L45,B8:L8)</f>
        <v>0.12535254626036</v>
      </c>
    </row>
    <row r="47" customFormat="false" ht="12.75" hidden="false" customHeight="false" outlineLevel="0" collapsed="false">
      <c r="A47" s="403"/>
      <c r="B47" s="402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403" t="s">
        <v>374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403" t="s">
        <v>369</v>
      </c>
      <c r="B50" s="180" t="n">
        <f aca="false">+B21*Assumptions!$G$48</f>
        <v>0</v>
      </c>
      <c r="C50" s="180" t="n">
        <f aca="false">+C21*Assumptions!$G$48</f>
        <v>6372.09400212137</v>
      </c>
      <c r="D50" s="180" t="n">
        <f aca="false">+D21*Assumptions!$G$48</f>
        <v>4082.21916739948</v>
      </c>
      <c r="E50" s="180" t="n">
        <f aca="false">+E21*Assumptions!$G$48</f>
        <v>4271.91799813519</v>
      </c>
      <c r="F50" s="180" t="n">
        <f aca="false">+F21*Assumptions!$G$48</f>
        <v>3549.81466707864</v>
      </c>
      <c r="G50" s="180" t="n">
        <f aca="false">+G21*Assumptions!$G$48</f>
        <v>2821.29477502915</v>
      </c>
      <c r="H50" s="180" t="n">
        <f aca="false">+H21*Assumptions!$G$48</f>
        <v>1982.69312640123</v>
      </c>
      <c r="I50" s="180" t="n">
        <f aca="false">+I21*Assumptions!$G$48</f>
        <v>1321.192378056</v>
      </c>
      <c r="J50" s="180" t="n">
        <f aca="false">+J21*Assumptions!$G$48</f>
        <v>12580.1145190202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403" t="s">
        <v>77</v>
      </c>
      <c r="B51" s="385" t="n">
        <v>0</v>
      </c>
      <c r="C51" s="385" t="n">
        <v>0</v>
      </c>
      <c r="D51" s="385" t="n">
        <v>0</v>
      </c>
      <c r="E51" s="385" t="n">
        <v>0</v>
      </c>
      <c r="F51" s="385" t="n">
        <v>0</v>
      </c>
      <c r="G51" s="385" t="n">
        <v>0</v>
      </c>
      <c r="H51" s="385" t="n">
        <v>0</v>
      </c>
      <c r="I51" s="385" t="n">
        <v>0</v>
      </c>
      <c r="J51" s="385" t="n">
        <v>0</v>
      </c>
      <c r="K51" s="385" t="n">
        <v>0</v>
      </c>
      <c r="L51" s="385" t="n">
        <f aca="false">AG51</f>
        <v>46985.7838475508</v>
      </c>
      <c r="M51" s="385" t="n">
        <v>0</v>
      </c>
      <c r="N51" s="385" t="n">
        <v>0</v>
      </c>
      <c r="O51" s="385" t="n">
        <v>0</v>
      </c>
      <c r="P51" s="385" t="n">
        <v>0</v>
      </c>
      <c r="Q51" s="385" t="n">
        <v>0</v>
      </c>
      <c r="R51" s="385" t="n">
        <v>0</v>
      </c>
      <c r="S51" s="385" t="n">
        <v>0</v>
      </c>
      <c r="T51" s="385" t="n">
        <v>0</v>
      </c>
      <c r="U51" s="385" t="n">
        <v>0</v>
      </c>
      <c r="V51" s="385" t="n">
        <v>0</v>
      </c>
      <c r="W51" s="385" t="n">
        <v>0</v>
      </c>
      <c r="X51" s="385" t="n">
        <v>0</v>
      </c>
      <c r="Y51" s="385" t="n">
        <v>0</v>
      </c>
      <c r="Z51" s="385" t="n">
        <v>0</v>
      </c>
      <c r="AA51" s="385" t="n">
        <v>0</v>
      </c>
      <c r="AB51" s="385" t="n">
        <v>0</v>
      </c>
      <c r="AC51" s="385" t="n">
        <v>0</v>
      </c>
      <c r="AD51" s="385" t="n">
        <v>0</v>
      </c>
      <c r="AE51" s="385" t="n">
        <v>0</v>
      </c>
      <c r="AF51" s="385" t="n">
        <v>0</v>
      </c>
      <c r="AG51" s="385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403" t="s">
        <v>375</v>
      </c>
      <c r="B52" s="180" t="n">
        <f aca="false">SUM(B49:B51)</f>
        <v>-41998.4660089839</v>
      </c>
      <c r="C52" s="180" t="n">
        <f aca="false">SUM(C49:C51)</f>
        <v>6372.09400212137</v>
      </c>
      <c r="D52" s="180" t="n">
        <f aca="false">SUM(D49:D51)</f>
        <v>4082.21916739948</v>
      </c>
      <c r="E52" s="180" t="n">
        <f aca="false">SUM(E49:E51)</f>
        <v>4271.91799813519</v>
      </c>
      <c r="F52" s="180" t="n">
        <f aca="false">SUM(F49:F51)</f>
        <v>3549.81466707864</v>
      </c>
      <c r="G52" s="180" t="n">
        <f aca="false">SUM(G49:G51)</f>
        <v>2821.29477502915</v>
      </c>
      <c r="H52" s="180" t="n">
        <f aca="false">SUM(H49:H51)</f>
        <v>1982.69312640123</v>
      </c>
      <c r="I52" s="180" t="n">
        <f aca="false">SUM(I49:I51)</f>
        <v>1321.192378056</v>
      </c>
      <c r="J52" s="180" t="n">
        <f aca="false">SUM(J49:J51)</f>
        <v>12580.1145190202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6" t="s">
        <v>304</v>
      </c>
      <c r="C53" s="401" t="n">
        <f aca="false">XIRR(B52:L52,B8:L8)</f>
        <v>0.11999591130988</v>
      </c>
    </row>
    <row r="54" customFormat="false" ht="12.75" hidden="false" customHeight="false" outlineLevel="0" collapsed="false">
      <c r="A54" s="403"/>
      <c r="B54" s="402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403" t="s">
        <v>374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403" t="s">
        <v>369</v>
      </c>
      <c r="B57" s="404" t="n">
        <f aca="false">B21*Assumptions!$G$48</f>
        <v>0</v>
      </c>
      <c r="C57" s="180" t="n">
        <f aca="false">C21*Assumptions!$G$48</f>
        <v>6372.09400212137</v>
      </c>
      <c r="D57" s="180" t="n">
        <f aca="false">D21*Assumptions!$G$48</f>
        <v>4082.21916739948</v>
      </c>
      <c r="E57" s="180" t="n">
        <f aca="false">E21*Assumptions!$G$48</f>
        <v>4271.91799813519</v>
      </c>
      <c r="F57" s="180" t="n">
        <f aca="false">F21*Assumptions!$G$48</f>
        <v>3549.81466707864</v>
      </c>
      <c r="G57" s="180" t="n">
        <f aca="false">G21*Assumptions!$G$48</f>
        <v>2821.29477502915</v>
      </c>
      <c r="H57" s="180" t="n">
        <f aca="false">H21*Assumptions!$G$48</f>
        <v>1982.69312640123</v>
      </c>
      <c r="I57" s="180" t="n">
        <f aca="false">I21*Assumptions!$G$48</f>
        <v>1321.192378056</v>
      </c>
      <c r="J57" s="180" t="n">
        <f aca="false">J21*Assumptions!$G$48</f>
        <v>12580.1145190202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403" t="s">
        <v>77</v>
      </c>
      <c r="B58" s="385" t="n">
        <v>0</v>
      </c>
      <c r="C58" s="385" t="n">
        <v>0</v>
      </c>
      <c r="D58" s="385" t="n">
        <v>0</v>
      </c>
      <c r="E58" s="385" t="n">
        <v>0</v>
      </c>
      <c r="F58" s="385" t="n">
        <v>0</v>
      </c>
      <c r="G58" s="385" t="n">
        <v>0</v>
      </c>
      <c r="H58" s="385" t="n">
        <v>0</v>
      </c>
      <c r="I58" s="385" t="n">
        <v>0</v>
      </c>
      <c r="J58" s="385" t="n">
        <v>0</v>
      </c>
      <c r="K58" s="385" t="n">
        <v>0</v>
      </c>
      <c r="L58" s="385" t="n">
        <f aca="false">AG58</f>
        <v>47000</v>
      </c>
      <c r="M58" s="385" t="n">
        <v>0</v>
      </c>
      <c r="N58" s="385" t="n">
        <v>0</v>
      </c>
      <c r="O58" s="385" t="n">
        <v>0</v>
      </c>
      <c r="P58" s="385" t="n">
        <v>0</v>
      </c>
      <c r="Q58" s="385" t="n">
        <v>0</v>
      </c>
      <c r="R58" s="385" t="n">
        <v>0</v>
      </c>
      <c r="S58" s="385" t="n">
        <v>0</v>
      </c>
      <c r="T58" s="385" t="n">
        <v>0</v>
      </c>
      <c r="U58" s="385" t="n">
        <v>0</v>
      </c>
      <c r="V58" s="385" t="n">
        <v>0</v>
      </c>
      <c r="W58" s="385" t="n">
        <v>0</v>
      </c>
      <c r="X58" s="385" t="n">
        <v>0</v>
      </c>
      <c r="Y58" s="385" t="n">
        <v>0</v>
      </c>
      <c r="Z58" s="385" t="n">
        <v>0</v>
      </c>
      <c r="AA58" s="385" t="n">
        <v>0</v>
      </c>
      <c r="AB58" s="385" t="n">
        <v>0</v>
      </c>
      <c r="AC58" s="385" t="n">
        <v>0</v>
      </c>
      <c r="AD58" s="385" t="n">
        <v>0</v>
      </c>
      <c r="AE58" s="385" t="n">
        <v>0</v>
      </c>
      <c r="AF58" s="385" t="n">
        <v>0</v>
      </c>
      <c r="AG58" s="385" t="n">
        <f aca="false">Assumptions!H25*Assumptions!H69*Assumptions!G48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403" t="s">
        <v>375</v>
      </c>
      <c r="B59" s="180" t="n">
        <f aca="false">SUM(B56:B58)</f>
        <v>-41998.4660089839</v>
      </c>
      <c r="C59" s="180" t="n">
        <f aca="false">SUM(C56:C58)</f>
        <v>6372.09400212137</v>
      </c>
      <c r="D59" s="180" t="n">
        <f aca="false">SUM(D56:D58)</f>
        <v>4082.21916739948</v>
      </c>
      <c r="E59" s="180" t="n">
        <f aca="false">SUM(E56:E58)</f>
        <v>4271.91799813519</v>
      </c>
      <c r="F59" s="180" t="n">
        <f aca="false">SUM(F56:F58)</f>
        <v>3549.81466707864</v>
      </c>
      <c r="G59" s="180" t="n">
        <f aca="false">SUM(G56:G58)</f>
        <v>2821.29477502915</v>
      </c>
      <c r="H59" s="180" t="n">
        <f aca="false">SUM(H56:H58)</f>
        <v>1982.69312640123</v>
      </c>
      <c r="I59" s="180" t="n">
        <f aca="false">SUM(I56:I58)</f>
        <v>1321.192378056</v>
      </c>
      <c r="J59" s="180" t="n">
        <f aca="false">SUM(J56:J58)</f>
        <v>12580.1145190202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6" t="s">
        <v>304</v>
      </c>
      <c r="C60" s="401" t="n">
        <f aca="false">XIRR(B59:L59,B8:L8)</f>
        <v>0.120010518712824</v>
      </c>
    </row>
    <row r="61" customFormat="false" ht="12.75" hidden="false" customHeight="false" outlineLevel="0" collapsed="false">
      <c r="A61" s="403"/>
      <c r="B61" s="402"/>
    </row>
    <row r="62" customFormat="false" ht="12.75" hidden="false" customHeight="false" outlineLevel="0" collapsed="false">
      <c r="A62" s="3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Jinsung Myung</cp:lastModifiedBy>
  <cp:lastPrinted>2000-03-10T12:20:49Z</cp:lastPrinted>
  <cp:revision>0</cp:revision>
  <dc:subject/>
  <dc:title/>
</cp:coreProperties>
</file>