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s" sheetId="1" state="visible" r:id="rId3"/>
    <sheet name="NPV @ Rate&amp;Term" sheetId="2" state="visible" r:id="rId4"/>
    <sheet name="NPV " sheetId="3" state="visible" r:id="rId5"/>
  </sheets>
  <definedNames>
    <definedName function="false" hidden="false" localSheetId="2" name="_xlnm.Print_Area" vbProcedure="false">'NPV '!$12:$39</definedName>
    <definedName function="false" hidden="false" localSheetId="2" name="_xlnm.Print_Titles" vbProcedure="false">'NPV '!$A:$A</definedName>
    <definedName function="false" hidden="false" localSheetId="1" name="_xlnm.Print_Area" vbProcedure="false">'NPV @ Rate&amp;Term'!$12:$39</definedName>
    <definedName function="false" hidden="false" localSheetId="1" name="_xlnm.Print_Titles" vbProcedure="false">'NPV @ Rate&amp;Term'!$A:$A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<sst xmlns="http://schemas.openxmlformats.org/spreadsheetml/2006/main" count="196" uniqueCount="48">
  <si>
    <t xml:space="preserve">Transwestern Pipeline Company</t>
  </si>
  <si>
    <t xml:space="preserve">Red Rock Expanion</t>
  </si>
  <si>
    <t xml:space="preserve">Contracts </t>
  </si>
  <si>
    <t xml:space="preserve">Shipper</t>
  </si>
  <si>
    <t xml:space="preserve">Rate -1Yr</t>
  </si>
  <si>
    <t xml:space="preserve">Rate -2Yr</t>
  </si>
  <si>
    <t xml:space="preserve">Rate -3Yr</t>
  </si>
  <si>
    <t xml:space="preserve">Rate -4Yr</t>
  </si>
  <si>
    <t xml:space="preserve">Rate -5Yr</t>
  </si>
  <si>
    <t xml:space="preserve">Terms (Yrs)</t>
  </si>
  <si>
    <t xml:space="preserve">Term (months)</t>
  </si>
  <si>
    <t xml:space="preserve">Receipt</t>
  </si>
  <si>
    <t xml:space="preserve">Delivery</t>
  </si>
  <si>
    <t xml:space="preserve">Volume</t>
  </si>
  <si>
    <t xml:space="preserve">PPL</t>
  </si>
  <si>
    <t xml:space="preserve">30Yrs, 1 Month</t>
  </si>
  <si>
    <t xml:space="preserve">EOT</t>
  </si>
  <si>
    <t xml:space="preserve">Citizens/Griffith</t>
  </si>
  <si>
    <t xml:space="preserve">SoCal Needles</t>
  </si>
  <si>
    <t xml:space="preserve">Western</t>
  </si>
  <si>
    <t xml:space="preserve">Dyergy</t>
  </si>
  <si>
    <t xml:space="preserve">Aquila</t>
  </si>
  <si>
    <t xml:space="preserve">AEP</t>
  </si>
  <si>
    <t xml:space="preserve">PG&amp;E Topock</t>
  </si>
  <si>
    <t xml:space="preserve">Oneok</t>
  </si>
  <si>
    <t xml:space="preserve">1Yr, 10 Months</t>
  </si>
  <si>
    <t xml:space="preserve">Calpine</t>
  </si>
  <si>
    <t xml:space="preserve">US Gypsum</t>
  </si>
  <si>
    <t xml:space="preserve">12 Yrs, 3Months</t>
  </si>
  <si>
    <t xml:space="preserve">Conoco</t>
  </si>
  <si>
    <t xml:space="preserve">Conoco Canada</t>
  </si>
  <si>
    <t xml:space="preserve">Conoco Lobo</t>
  </si>
  <si>
    <t xml:space="preserve">Conoco Raptor</t>
  </si>
  <si>
    <t xml:space="preserve">BP Energy</t>
  </si>
  <si>
    <t xml:space="preserve">Frito Lay</t>
  </si>
  <si>
    <t xml:space="preserve">Newark Group</t>
  </si>
  <si>
    <t xml:space="preserve">BP Energy #1</t>
  </si>
  <si>
    <t xml:space="preserve">BP Energy #2</t>
  </si>
  <si>
    <t xml:space="preserve">Annual Contracts</t>
  </si>
  <si>
    <t xml:space="preserve">Discount Rate</t>
  </si>
  <si>
    <t xml:space="preserve">NPV @ 9.02%</t>
  </si>
  <si>
    <t xml:space="preserve">Gross Value</t>
  </si>
  <si>
    <t xml:space="preserve">Term (Yrs)</t>
  </si>
  <si>
    <t xml:space="preserve">Term (Months)</t>
  </si>
  <si>
    <t xml:space="preserve">Term (Days)</t>
  </si>
  <si>
    <t xml:space="preserve">Total</t>
  </si>
  <si>
    <t xml:space="preserve">Hurdle Rate</t>
  </si>
  <si>
    <t xml:space="preserve">Actual Rate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</si>
</sst>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0%"/>
    <numFmt numFmtId="170" formatCode="0.00%"/>
    <numFmt numFmtId="171" formatCode="[$-409]m/d/yyyy"/>
    <numFmt numFmtId="172" formatCode="_(\$* #,##0.0000_);_(\$* \(#,##0.0000\);_(\$* \-??_);_(@_)"/>
    <numFmt numFmtId="173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6" min="2" style="1" width="8.85"/>
    <col collapsed="false" customWidth="true" hidden="false" outlineLevel="0" max="7" min="7" style="0" width="14.7"/>
    <col collapsed="false" customWidth="true" hidden="false" outlineLevel="0" max="8" min="8" style="0" width="12.99"/>
    <col collapsed="false" customWidth="true" hidden="false" outlineLevel="0" max="9" min="9" style="0" width="7.28"/>
    <col collapsed="false" customWidth="true" hidden="false" outlineLevel="0" max="10" min="10" style="0" width="13.56"/>
    <col collapsed="false" customWidth="true" hidden="false" outlineLevel="0" max="11" min="11" style="2" width="10.28"/>
    <col collapsed="false" customWidth="true" hidden="false" outlineLevel="0" max="12" min="12" style="3" width="14.85"/>
    <col collapsed="false" customWidth="true" hidden="false" outlineLevel="0" max="13" min="13" style="0" width="7.56"/>
  </cols>
  <sheetData>
    <row r="1" customFormat="false" ht="15.75" hidden="false" customHeight="false" outlineLevel="0" collapsed="false">
      <c r="A1" s="4" t="s">
        <v>0</v>
      </c>
    </row>
    <row r="2" customFormat="false" ht="15.75" hidden="false" customHeight="false" outlineLevel="0" collapsed="false">
      <c r="A2" s="4" t="s">
        <v>1</v>
      </c>
    </row>
    <row r="3" customFormat="false" ht="15.75" hidden="false" customHeight="false" outlineLevel="0" collapsed="false">
      <c r="A3" s="4" t="s">
        <v>2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7" t="s">
        <v>13</v>
      </c>
    </row>
    <row r="6" customFormat="false" ht="12.75" hidden="false" customHeight="false" outlineLevel="0" collapsed="false">
      <c r="A6" s="0" t="s">
        <v>14</v>
      </c>
      <c r="B6" s="1" t="n">
        <v>0.35</v>
      </c>
      <c r="G6" s="0" t="s">
        <v>15</v>
      </c>
      <c r="H6" s="0" t="n">
        <v>361</v>
      </c>
      <c r="I6" s="0" t="s">
        <v>16</v>
      </c>
      <c r="J6" s="0" t="s">
        <v>17</v>
      </c>
      <c r="K6" s="2" t="n">
        <v>8000</v>
      </c>
    </row>
    <row r="7" customFormat="false" ht="12.75" hidden="false" customHeight="false" outlineLevel="0" collapsed="false">
      <c r="A7" s="0" t="s">
        <v>14</v>
      </c>
      <c r="B7" s="1" t="n">
        <v>0.4</v>
      </c>
      <c r="G7" s="0" t="s">
        <v>15</v>
      </c>
      <c r="H7" s="0" t="n">
        <v>361</v>
      </c>
      <c r="I7" s="0" t="s">
        <v>16</v>
      </c>
      <c r="J7" s="0" t="s">
        <v>18</v>
      </c>
      <c r="K7" s="2" t="n">
        <v>12000</v>
      </c>
    </row>
    <row r="8" customFormat="false" ht="12.75" hidden="false" customHeight="false" outlineLevel="0" collapsed="false">
      <c r="A8" s="0" t="s">
        <v>19</v>
      </c>
      <c r="B8" s="1" t="n">
        <v>0.38</v>
      </c>
      <c r="G8" s="0" t="n">
        <v>15</v>
      </c>
      <c r="H8" s="0" t="n">
        <f aca="false">+G8*12</f>
        <v>180</v>
      </c>
      <c r="I8" s="0" t="s">
        <v>16</v>
      </c>
      <c r="J8" s="0" t="s">
        <v>18</v>
      </c>
      <c r="K8" s="2" t="n">
        <v>5000</v>
      </c>
    </row>
    <row r="9" customFormat="false" ht="12.75" hidden="false" customHeight="false" outlineLevel="0" collapsed="false">
      <c r="A9" s="0" t="s">
        <v>19</v>
      </c>
      <c r="B9" s="1" t="n">
        <v>0.39</v>
      </c>
      <c r="G9" s="0" t="n">
        <v>15</v>
      </c>
      <c r="H9" s="0" t="n">
        <f aca="false">+G9*12</f>
        <v>180</v>
      </c>
      <c r="I9" s="0" t="s">
        <v>16</v>
      </c>
      <c r="J9" s="0" t="s">
        <v>18</v>
      </c>
      <c r="K9" s="2" t="n">
        <v>5000</v>
      </c>
    </row>
    <row r="10" customFormat="false" ht="12.75" hidden="false" customHeight="false" outlineLevel="0" collapsed="false">
      <c r="A10" s="0" t="s">
        <v>20</v>
      </c>
      <c r="B10" s="1" t="n">
        <v>0.55</v>
      </c>
      <c r="G10" s="0" t="n">
        <v>5</v>
      </c>
      <c r="H10" s="0" t="n">
        <f aca="false">+G10*12</f>
        <v>60</v>
      </c>
      <c r="I10" s="0" t="s">
        <v>16</v>
      </c>
      <c r="J10" s="0" t="s">
        <v>18</v>
      </c>
      <c r="K10" s="2" t="n">
        <v>30000</v>
      </c>
    </row>
    <row r="11" customFormat="false" ht="12.75" hidden="false" customHeight="false" outlineLevel="0" collapsed="false">
      <c r="A11" s="0" t="s">
        <v>21</v>
      </c>
      <c r="B11" s="1" t="n">
        <v>0.63</v>
      </c>
      <c r="G11" s="0" t="n">
        <v>5</v>
      </c>
      <c r="H11" s="0" t="n">
        <f aca="false">+G11*12</f>
        <v>60</v>
      </c>
      <c r="I11" s="0" t="s">
        <v>16</v>
      </c>
      <c r="J11" s="0" t="s">
        <v>18</v>
      </c>
      <c r="K11" s="2" t="n">
        <v>50000</v>
      </c>
    </row>
    <row r="12" customFormat="false" ht="12.75" hidden="false" customHeight="false" outlineLevel="0" collapsed="false">
      <c r="A12" s="0" t="s">
        <v>22</v>
      </c>
      <c r="B12" s="1" t="n">
        <v>0.63</v>
      </c>
      <c r="G12" s="0" t="n">
        <v>2</v>
      </c>
      <c r="H12" s="0" t="n">
        <f aca="false">+G12*12</f>
        <v>24</v>
      </c>
      <c r="I12" s="0" t="s">
        <v>16</v>
      </c>
      <c r="J12" s="0" t="s">
        <v>18</v>
      </c>
      <c r="K12" s="2" t="n">
        <v>20000</v>
      </c>
    </row>
    <row r="13" customFormat="false" ht="12.75" hidden="false" customHeight="false" outlineLevel="0" collapsed="false">
      <c r="A13" s="0" t="s">
        <v>22</v>
      </c>
      <c r="B13" s="1" t="n">
        <v>0.63</v>
      </c>
      <c r="G13" s="0" t="n">
        <v>1</v>
      </c>
      <c r="H13" s="0" t="n">
        <f aca="false">+G13*12</f>
        <v>12</v>
      </c>
      <c r="I13" s="0" t="s">
        <v>16</v>
      </c>
      <c r="J13" s="0" t="s">
        <v>23</v>
      </c>
      <c r="K13" s="2" t="n">
        <v>10000</v>
      </c>
    </row>
    <row r="14" customFormat="false" ht="12.75" hidden="false" customHeight="false" outlineLevel="0" collapsed="false">
      <c r="A14" s="0" t="s">
        <v>24</v>
      </c>
      <c r="B14" s="1" t="n">
        <v>1.75</v>
      </c>
      <c r="C14" s="1" t="n">
        <v>0.75</v>
      </c>
      <c r="G14" s="8" t="s">
        <v>25</v>
      </c>
      <c r="H14" s="0" t="n">
        <v>22</v>
      </c>
      <c r="I14" s="0" t="s">
        <v>16</v>
      </c>
      <c r="J14" s="0" t="s">
        <v>18</v>
      </c>
      <c r="K14" s="2" t="n">
        <v>50000</v>
      </c>
    </row>
    <row r="15" customFormat="false" ht="12.75" hidden="false" customHeight="false" outlineLevel="0" collapsed="false">
      <c r="A15" s="0" t="s">
        <v>26</v>
      </c>
      <c r="B15" s="1" t="n">
        <v>0.38</v>
      </c>
      <c r="G15" s="0" t="n">
        <v>15</v>
      </c>
      <c r="H15" s="0" t="n">
        <f aca="false">+G15*12</f>
        <v>180</v>
      </c>
      <c r="I15" s="0" t="s">
        <v>16</v>
      </c>
      <c r="J15" s="0" t="s">
        <v>23</v>
      </c>
      <c r="K15" s="2" t="n">
        <v>40000</v>
      </c>
    </row>
    <row r="16" customFormat="false" ht="12.75" hidden="false" customHeight="false" outlineLevel="0" collapsed="false">
      <c r="A16" s="0" t="s">
        <v>27</v>
      </c>
      <c r="B16" s="1" t="n">
        <v>0.42</v>
      </c>
      <c r="G16" s="0" t="s">
        <v>28</v>
      </c>
      <c r="H16" s="0" t="n">
        <v>147</v>
      </c>
      <c r="I16" s="0" t="s">
        <v>16</v>
      </c>
      <c r="J16" s="0" t="s">
        <v>18</v>
      </c>
      <c r="K16" s="2" t="n">
        <v>4500</v>
      </c>
    </row>
    <row r="17" customFormat="false" ht="12.75" hidden="false" customHeight="false" outlineLevel="0" collapsed="false">
      <c r="A17" s="0" t="s">
        <v>29</v>
      </c>
      <c r="B17" s="1" t="n">
        <v>0.84</v>
      </c>
      <c r="G17" s="0" t="n">
        <v>2</v>
      </c>
      <c r="H17" s="0" t="n">
        <f aca="false">+G17*12</f>
        <v>24</v>
      </c>
      <c r="I17" s="0" t="s">
        <v>16</v>
      </c>
      <c r="J17" s="0" t="s">
        <v>18</v>
      </c>
      <c r="K17" s="2" t="n">
        <v>50000</v>
      </c>
    </row>
    <row r="18" customFormat="false" ht="12.75" hidden="false" customHeight="false" outlineLevel="0" collapsed="false">
      <c r="A18" s="0" t="s">
        <v>30</v>
      </c>
      <c r="B18" s="1" t="n">
        <v>0.84</v>
      </c>
      <c r="G18" s="0" t="n">
        <v>2</v>
      </c>
      <c r="H18" s="0" t="n">
        <f aca="false">+G18*12</f>
        <v>24</v>
      </c>
      <c r="I18" s="0" t="s">
        <v>16</v>
      </c>
      <c r="J18" s="0" t="s">
        <v>18</v>
      </c>
      <c r="K18" s="2" t="n">
        <v>50000</v>
      </c>
    </row>
    <row r="19" customFormat="false" ht="12.75" hidden="false" customHeight="false" outlineLevel="0" collapsed="false">
      <c r="A19" s="0" t="s">
        <v>31</v>
      </c>
      <c r="B19" s="1" t="n">
        <v>0.84</v>
      </c>
      <c r="G19" s="0" t="n">
        <v>2</v>
      </c>
      <c r="H19" s="0" t="n">
        <f aca="false">+G19*12</f>
        <v>24</v>
      </c>
      <c r="I19" s="0" t="s">
        <v>16</v>
      </c>
      <c r="J19" s="0" t="s">
        <v>18</v>
      </c>
      <c r="K19" s="2" t="n">
        <v>50000</v>
      </c>
    </row>
    <row r="20" customFormat="false" ht="12.75" hidden="false" customHeight="false" outlineLevel="0" collapsed="false">
      <c r="A20" s="0" t="s">
        <v>31</v>
      </c>
      <c r="B20" s="1" t="n">
        <v>0.81</v>
      </c>
      <c r="G20" s="0" t="n">
        <v>2</v>
      </c>
      <c r="H20" s="0" t="n">
        <f aca="false">+G20*12</f>
        <v>24</v>
      </c>
      <c r="I20" s="0" t="s">
        <v>16</v>
      </c>
      <c r="J20" s="0" t="s">
        <v>18</v>
      </c>
      <c r="K20" s="2" t="n">
        <v>50000</v>
      </c>
    </row>
    <row r="21" customFormat="false" ht="12.75" hidden="false" customHeight="false" outlineLevel="0" collapsed="false">
      <c r="A21" s="0" t="s">
        <v>32</v>
      </c>
      <c r="B21" s="1" t="n">
        <v>0.81</v>
      </c>
      <c r="G21" s="0" t="n">
        <v>2</v>
      </c>
      <c r="H21" s="0" t="n">
        <f aca="false">+G21*12</f>
        <v>24</v>
      </c>
      <c r="I21" s="0" t="s">
        <v>16</v>
      </c>
      <c r="J21" s="0" t="s">
        <v>18</v>
      </c>
      <c r="K21" s="2" t="n">
        <v>50000</v>
      </c>
    </row>
    <row r="22" customFormat="false" ht="12.75" hidden="false" customHeight="false" outlineLevel="0" collapsed="false">
      <c r="A22" s="0" t="s">
        <v>32</v>
      </c>
      <c r="B22" s="1" t="n">
        <v>0.84</v>
      </c>
      <c r="G22" s="0" t="n">
        <v>2</v>
      </c>
      <c r="H22" s="0" t="n">
        <f aca="false">+G22*12</f>
        <v>24</v>
      </c>
      <c r="I22" s="0" t="s">
        <v>16</v>
      </c>
      <c r="J22" s="0" t="s">
        <v>18</v>
      </c>
      <c r="K22" s="2" t="n">
        <v>50000</v>
      </c>
    </row>
    <row r="23" customFormat="false" ht="12.75" hidden="false" customHeight="false" outlineLevel="0" collapsed="false">
      <c r="A23" s="0" t="s">
        <v>33</v>
      </c>
      <c r="B23" s="1" t="n">
        <v>1.12</v>
      </c>
      <c r="C23" s="1" t="n">
        <v>0.76</v>
      </c>
      <c r="D23" s="1" t="n">
        <v>0.43</v>
      </c>
      <c r="E23" s="1" t="n">
        <v>0.38</v>
      </c>
      <c r="F23" s="1" t="n">
        <v>0.38</v>
      </c>
      <c r="G23" s="0" t="n">
        <v>5</v>
      </c>
      <c r="H23" s="0" t="n">
        <f aca="false">+G23*12</f>
        <v>60</v>
      </c>
      <c r="I23" s="0" t="s">
        <v>16</v>
      </c>
      <c r="J23" s="0" t="s">
        <v>18</v>
      </c>
      <c r="K23" s="2" t="n">
        <v>15000</v>
      </c>
    </row>
    <row r="24" customFormat="false" ht="12.75" hidden="false" customHeight="false" outlineLevel="0" collapsed="false">
      <c r="A24" s="0" t="s">
        <v>33</v>
      </c>
      <c r="B24" s="1" t="n">
        <v>1.723</v>
      </c>
      <c r="C24" s="1" t="n">
        <v>0.364</v>
      </c>
      <c r="D24" s="1" t="n">
        <v>0.2045</v>
      </c>
      <c r="E24" s="1" t="n">
        <v>0.2009</v>
      </c>
      <c r="F24" s="1" t="n">
        <v>0.2012</v>
      </c>
      <c r="G24" s="0" t="n">
        <v>5</v>
      </c>
      <c r="H24" s="0" t="n">
        <f aca="false">+G24*12</f>
        <v>60</v>
      </c>
      <c r="I24" s="0" t="s">
        <v>16</v>
      </c>
      <c r="J24" s="0" t="s">
        <v>18</v>
      </c>
      <c r="K24" s="2" t="n">
        <v>15000</v>
      </c>
    </row>
    <row r="25" customFormat="false" ht="12.75" hidden="false" customHeight="false" outlineLevel="0" collapsed="false">
      <c r="A25" s="0" t="s">
        <v>34</v>
      </c>
      <c r="B25" s="1" t="n">
        <v>0.38</v>
      </c>
      <c r="G25" s="0" t="n">
        <v>15</v>
      </c>
      <c r="H25" s="0" t="n">
        <f aca="false">+G25*12</f>
        <v>180</v>
      </c>
      <c r="I25" s="0" t="s">
        <v>16</v>
      </c>
      <c r="J25" s="0" t="s">
        <v>18</v>
      </c>
      <c r="K25" s="2" t="n">
        <v>2700</v>
      </c>
    </row>
    <row r="26" customFormat="false" ht="12.75" hidden="false" customHeight="false" outlineLevel="0" collapsed="false">
      <c r="A26" s="0" t="s">
        <v>34</v>
      </c>
      <c r="B26" s="1" t="n">
        <v>2.2</v>
      </c>
      <c r="G26" s="0" t="n">
        <v>1</v>
      </c>
      <c r="H26" s="0" t="n">
        <f aca="false">+G26*12</f>
        <v>12</v>
      </c>
      <c r="I26" s="0" t="s">
        <v>16</v>
      </c>
      <c r="J26" s="0" t="s">
        <v>18</v>
      </c>
      <c r="K26" s="2" t="n">
        <v>3300</v>
      </c>
    </row>
    <row r="27" customFormat="false" ht="12.75" hidden="false" customHeight="false" outlineLevel="0" collapsed="false">
      <c r="A27" s="0" t="s">
        <v>34</v>
      </c>
      <c r="B27" s="1" t="n">
        <v>2.2</v>
      </c>
      <c r="G27" s="0" t="n">
        <v>1</v>
      </c>
      <c r="H27" s="0" t="n">
        <f aca="false">+G27*12</f>
        <v>12</v>
      </c>
      <c r="I27" s="0" t="s">
        <v>16</v>
      </c>
      <c r="J27" s="0" t="s">
        <v>18</v>
      </c>
      <c r="K27" s="2" t="n">
        <v>2000</v>
      </c>
    </row>
    <row r="28" customFormat="false" ht="12.75" hidden="false" customHeight="false" outlineLevel="0" collapsed="false">
      <c r="A28" s="0" t="s">
        <v>35</v>
      </c>
      <c r="B28" s="1" t="n">
        <v>0.65</v>
      </c>
      <c r="G28" s="0" t="n">
        <v>5</v>
      </c>
      <c r="H28" s="0" t="n">
        <f aca="false">+G28*12</f>
        <v>60</v>
      </c>
      <c r="I28" s="0" t="s">
        <v>16</v>
      </c>
      <c r="J28" s="0" t="s">
        <v>18</v>
      </c>
      <c r="K28" s="2" t="n">
        <v>800</v>
      </c>
    </row>
    <row r="29" customFormat="false" ht="12.75" hidden="false" customHeight="false" outlineLevel="0" collapsed="false">
      <c r="A29" s="0" t="s">
        <v>35</v>
      </c>
      <c r="B29" s="1" t="n">
        <v>0.15</v>
      </c>
      <c r="G29" s="0" t="n">
        <v>5</v>
      </c>
      <c r="H29" s="0" t="n">
        <f aca="false">+G29*12</f>
        <v>60</v>
      </c>
      <c r="I29" s="0" t="s">
        <v>16</v>
      </c>
      <c r="J29" s="0" t="s">
        <v>23</v>
      </c>
      <c r="K29" s="2" t="n">
        <v>1500</v>
      </c>
    </row>
  </sheetData>
  <printOptions headings="false" gridLines="false" gridLinesSet="true" horizontalCentered="false" verticalCentered="false"/>
  <pageMargins left="0.747916666666667" right="0.747916666666667" top="0.5" bottom="0.4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5" min="2" style="3" width="13.28"/>
    <col collapsed="false" customWidth="true" hidden="false" outlineLevel="0" max="6" min="6" style="0" width="14.7"/>
    <col collapsed="false" customWidth="true" hidden="false" outlineLevel="0" max="7" min="7" style="0" width="12.99"/>
    <col collapsed="false" customWidth="true" hidden="false" outlineLevel="0" max="8" min="8" style="0" width="11.13"/>
    <col collapsed="false" customWidth="true" hidden="false" outlineLevel="0" max="9" min="9" style="0" width="8.7"/>
    <col collapsed="false" customWidth="true" hidden="false" outlineLevel="0" max="14" min="10" style="0" width="8.85"/>
    <col collapsed="false" customWidth="true" hidden="false" outlineLevel="0" max="19" min="15" style="0" width="12.28"/>
    <col collapsed="false" customWidth="true" hidden="false" outlineLevel="0" max="44" min="20" style="0" width="11.28"/>
    <col collapsed="false" customWidth="true" hidden="false" outlineLevel="0" max="45" min="45" style="0" width="9.7"/>
  </cols>
  <sheetData>
    <row r="1" customFormat="false" ht="15.75" hidden="false" customHeight="false" outlineLevel="0" collapsed="false">
      <c r="A1" s="4" t="s">
        <v>0</v>
      </c>
    </row>
    <row r="2" customFormat="false" ht="15.75" hidden="false" customHeight="false" outlineLevel="0" collapsed="false">
      <c r="A2" s="4" t="s">
        <v>1</v>
      </c>
    </row>
    <row r="3" customFormat="false" ht="15.75" hidden="false" customHeight="false" outlineLevel="0" collapsed="false">
      <c r="A3" s="4" t="s">
        <v>2</v>
      </c>
    </row>
    <row r="4" customFormat="false" ht="12.75" hidden="false" customHeight="false" outlineLevel="0" collapsed="false">
      <c r="O4" s="9" t="n">
        <v>1</v>
      </c>
      <c r="P4" s="9" t="n">
        <v>2</v>
      </c>
      <c r="Q4" s="9" t="n">
        <v>3</v>
      </c>
      <c r="R4" s="9" t="n">
        <v>4</v>
      </c>
      <c r="S4" s="9" t="n">
        <v>5</v>
      </c>
      <c r="T4" s="9" t="n">
        <v>6</v>
      </c>
      <c r="U4" s="9" t="n">
        <v>7</v>
      </c>
      <c r="V4" s="9" t="n">
        <v>8</v>
      </c>
      <c r="W4" s="9" t="n">
        <v>9</v>
      </c>
      <c r="X4" s="9" t="n">
        <v>10</v>
      </c>
      <c r="Y4" s="9" t="n">
        <v>11</v>
      </c>
      <c r="Z4" s="9" t="n">
        <v>12</v>
      </c>
      <c r="AA4" s="9" t="n">
        <v>13</v>
      </c>
      <c r="AB4" s="9" t="n">
        <v>14</v>
      </c>
      <c r="AC4" s="9" t="n">
        <v>15</v>
      </c>
      <c r="AD4" s="9" t="n">
        <v>16</v>
      </c>
      <c r="AE4" s="9" t="n">
        <v>17</v>
      </c>
      <c r="AF4" s="9" t="n">
        <v>18</v>
      </c>
      <c r="AG4" s="9" t="n">
        <v>19</v>
      </c>
      <c r="AH4" s="9" t="n">
        <v>20</v>
      </c>
      <c r="AI4" s="9" t="n">
        <v>21</v>
      </c>
      <c r="AJ4" s="9" t="n">
        <v>22</v>
      </c>
      <c r="AK4" s="9" t="n">
        <v>23</v>
      </c>
      <c r="AL4" s="9" t="n">
        <v>24</v>
      </c>
      <c r="AM4" s="9" t="n">
        <v>25</v>
      </c>
      <c r="AN4" s="9" t="n">
        <v>26</v>
      </c>
      <c r="AO4" s="9" t="n">
        <v>27</v>
      </c>
      <c r="AP4" s="9" t="n">
        <v>28</v>
      </c>
      <c r="AQ4" s="9" t="n">
        <v>29</v>
      </c>
      <c r="AR4" s="9" t="n">
        <v>30</v>
      </c>
      <c r="AS4" s="9" t="n">
        <v>31</v>
      </c>
    </row>
    <row r="5" customFormat="false" ht="12.75" hidden="false" customHeight="false" outlineLevel="0" collapsed="false">
      <c r="A5" s="0" t="s">
        <v>36</v>
      </c>
      <c r="O5" s="0" t="n">
        <f aca="false">"1/1/03"-"6/01/2002"</f>
        <v>214</v>
      </c>
      <c r="P5" s="0" t="n">
        <f aca="false">"1/1/04"-"6/01/2003"</f>
        <v>214</v>
      </c>
      <c r="Q5" s="0" t="n">
        <f aca="false">"1/1/05"-"6/01/2004"</f>
        <v>214</v>
      </c>
      <c r="R5" s="0" t="n">
        <f aca="false">"1/1/06"-"6/01/2005"</f>
        <v>214</v>
      </c>
      <c r="S5" s="0" t="n">
        <f aca="false">"1/1/07"-"6/01/2006"</f>
        <v>214</v>
      </c>
    </row>
    <row r="6" customFormat="false" ht="12.75" hidden="false" customHeight="false" outlineLevel="0" collapsed="false">
      <c r="A6" s="0" t="s">
        <v>36</v>
      </c>
      <c r="O6" s="0" t="n">
        <f aca="false">"6/01/03"-"1/01/03"</f>
        <v>151</v>
      </c>
      <c r="P6" s="0" t="n">
        <f aca="false">"6/01/04"-"1/01/04"</f>
        <v>152</v>
      </c>
      <c r="Q6" s="0" t="n">
        <f aca="false">"6/01/05"-"1/01/05"</f>
        <v>151</v>
      </c>
      <c r="R6" s="0" t="n">
        <f aca="false">"6/01/06"-"1/01/06"</f>
        <v>151</v>
      </c>
      <c r="S6" s="0" t="n">
        <f aca="false">"6/01/07"-"1/01/07"</f>
        <v>151</v>
      </c>
    </row>
    <row r="7" customFormat="false" ht="12.75" hidden="false" customHeight="false" outlineLevel="0" collapsed="false">
      <c r="A7" s="0" t="s">
        <v>37</v>
      </c>
      <c r="O7" s="0" t="n">
        <f aca="false">"6/1/03"-"6/1/02"</f>
        <v>365</v>
      </c>
      <c r="P7" s="0" t="n">
        <f aca="false">"12/31/04"-"12/31/03"</f>
        <v>366</v>
      </c>
      <c r="Q7" s="0" t="n">
        <f aca="false">"12/31/05"-"12/31/04"</f>
        <v>365</v>
      </c>
      <c r="R7" s="0" t="n">
        <f aca="false">"12/31/06"-"12/31/05"</f>
        <v>365</v>
      </c>
      <c r="S7" s="0" t="n">
        <f aca="false">"12/31/07"-"12/31/06"</f>
        <v>365</v>
      </c>
    </row>
    <row r="8" customFormat="false" ht="12.75" hidden="false" customHeight="false" outlineLevel="0" collapsed="false">
      <c r="A8" s="0" t="s">
        <v>27</v>
      </c>
      <c r="O8" s="0" t="n">
        <f aca="false">"6/1/03"-"6/1/02"</f>
        <v>365</v>
      </c>
      <c r="P8" s="0" t="n">
        <f aca="false">"6/1/04"-"6/1/03"</f>
        <v>366</v>
      </c>
      <c r="Q8" s="0" t="n">
        <f aca="false">"6/1/05"-"6/1/04"</f>
        <v>365</v>
      </c>
      <c r="R8" s="0" t="n">
        <f aca="false">"6/1/06"-"6/1/05"</f>
        <v>365</v>
      </c>
      <c r="S8" s="0" t="n">
        <f aca="false">"6/1/07"-"6/1/06"</f>
        <v>365</v>
      </c>
      <c r="T8" s="0" t="n">
        <f aca="false">"6/1/08"-"6/1/07"</f>
        <v>366</v>
      </c>
      <c r="U8" s="0" t="n">
        <f aca="false">"6/1/09"-"6/1/08"</f>
        <v>365</v>
      </c>
      <c r="V8" s="0" t="n">
        <f aca="false">"6/1/2010"-"6/1/09"</f>
        <v>365</v>
      </c>
      <c r="W8" s="0" t="n">
        <f aca="false">"6/1/2011"-"6/1/2010"</f>
        <v>365</v>
      </c>
      <c r="X8" s="0" t="n">
        <f aca="false">"6/1/2012"-"6/1/2011"</f>
        <v>366</v>
      </c>
      <c r="Y8" s="0" t="n">
        <f aca="false">"6/1/2013"-"6/1/2012"</f>
        <v>365</v>
      </c>
      <c r="Z8" s="0" t="n">
        <f aca="false">"6/1/2014"-"6/1/2013"</f>
        <v>365</v>
      </c>
      <c r="AA8" s="0" t="n">
        <f aca="false">"9/1/2014"-"6/1/2014"</f>
        <v>92</v>
      </c>
    </row>
    <row r="9" customFormat="false" ht="12.75" hidden="false" customHeight="false" outlineLevel="0" collapsed="false">
      <c r="A9" s="0" t="s">
        <v>24</v>
      </c>
      <c r="O9" s="0" t="n">
        <f aca="false">"4/1/03"-"6/1/02"</f>
        <v>304</v>
      </c>
    </row>
    <row r="10" customFormat="false" ht="12.75" hidden="false" customHeight="false" outlineLevel="0" collapsed="false">
      <c r="A10" s="0" t="s">
        <v>24</v>
      </c>
      <c r="O10" s="0" t="n">
        <f aca="false">"6/1/03"-"4/1/03"</f>
        <v>61</v>
      </c>
      <c r="P10" s="0" t="n">
        <f aca="false">"4/1/2004"-"6/1/03"</f>
        <v>305</v>
      </c>
    </row>
    <row r="11" customFormat="false" ht="13.5" hidden="false" customHeight="false" outlineLevel="0" collapsed="false">
      <c r="A11" s="0" t="s">
        <v>38</v>
      </c>
      <c r="E11" s="10"/>
      <c r="O11" s="0" t="n">
        <f aca="false">"6/1/03"-"6/1/02"</f>
        <v>365</v>
      </c>
      <c r="P11" s="0" t="n">
        <f aca="false">"6/1/04"-"6/1/03"</f>
        <v>366</v>
      </c>
      <c r="Q11" s="0" t="n">
        <f aca="false">"6/1/05"-"6/1/04"</f>
        <v>365</v>
      </c>
      <c r="R11" s="0" t="n">
        <f aca="false">"6/1/06"-"6/1/05"</f>
        <v>365</v>
      </c>
      <c r="S11" s="0" t="n">
        <f aca="false">"6/1/07"-"6/1/06"</f>
        <v>365</v>
      </c>
      <c r="T11" s="0" t="n">
        <f aca="false">"6/1/08"-"6/1/07"</f>
        <v>366</v>
      </c>
      <c r="U11" s="0" t="n">
        <f aca="false">"6/1/09"-"6/1/08"</f>
        <v>365</v>
      </c>
      <c r="V11" s="0" t="n">
        <f aca="false">"6/1/2010"-"6/1/09"</f>
        <v>365</v>
      </c>
      <c r="W11" s="0" t="n">
        <f aca="false">"6/1/2011"-"6/1/2010"</f>
        <v>365</v>
      </c>
      <c r="X11" s="0" t="n">
        <f aca="false">"6/1/2012"-"6/1/2011"</f>
        <v>366</v>
      </c>
      <c r="Y11" s="0" t="n">
        <f aca="false">"6/1/2013"-"6/1/2012"</f>
        <v>365</v>
      </c>
      <c r="Z11" s="0" t="n">
        <f aca="false">"6/1/2014"-"6/1/2013"</f>
        <v>365</v>
      </c>
      <c r="AA11" s="0" t="n">
        <f aca="false">"6/1/2015"-"6/1/2014"</f>
        <v>365</v>
      </c>
      <c r="AB11" s="0" t="n">
        <f aca="false">"6/1/2016"-"6/1/2015"</f>
        <v>366</v>
      </c>
      <c r="AC11" s="0" t="n">
        <f aca="false">"6/1/2017"-"6/1/2016"</f>
        <v>365</v>
      </c>
      <c r="AD11" s="0" t="n">
        <f aca="false">"6/1/2018"-"6/1/2017"</f>
        <v>365</v>
      </c>
      <c r="AE11" s="0" t="n">
        <f aca="false">"6/1/2019"-"6/1/2018"</f>
        <v>365</v>
      </c>
      <c r="AF11" s="0" t="n">
        <f aca="false">"6/1/2020"-"6/1/2019"</f>
        <v>366</v>
      </c>
      <c r="AG11" s="0" t="n">
        <f aca="false">"6/1/2021"-"6/1/2020"</f>
        <v>365</v>
      </c>
      <c r="AH11" s="0" t="n">
        <f aca="false">"6/1/2022"-"6/1/2021"</f>
        <v>365</v>
      </c>
      <c r="AI11" s="0" t="n">
        <f aca="false">"6/1/2023"-"6/1/2022"</f>
        <v>365</v>
      </c>
      <c r="AJ11" s="0" t="n">
        <f aca="false">"6/1/2024"-"6/1/2023"</f>
        <v>366</v>
      </c>
      <c r="AK11" s="0" t="n">
        <f aca="false">"6/1/2025"-"6/1/2024"</f>
        <v>365</v>
      </c>
      <c r="AL11" s="0" t="n">
        <f aca="false">"6/1/2026"-"6/1/2025"</f>
        <v>365</v>
      </c>
      <c r="AM11" s="0" t="n">
        <f aca="false">"6/1/2027"-"6/1/2026"</f>
        <v>365</v>
      </c>
      <c r="AN11" s="0" t="n">
        <f aca="false">"6/1/2028"-"6/1/2027"</f>
        <v>366</v>
      </c>
      <c r="AO11" s="0" t="n">
        <f aca="false">"6/1/2029"-"6/1/2028"</f>
        <v>365</v>
      </c>
      <c r="AP11" s="0" t="n">
        <f aca="false">"6/1/2030"-"6/1/2029"</f>
        <v>365</v>
      </c>
      <c r="AQ11" s="0" t="n">
        <f aca="false">"6/1/2031"-"6/1/2030"</f>
        <v>365</v>
      </c>
      <c r="AR11" s="0" t="n">
        <f aca="false">"6/1/2032"-"6/1/2031"</f>
        <v>366</v>
      </c>
      <c r="AS11" s="0" t="n">
        <f aca="false">"7/1/2031"-"6/1/2031"</f>
        <v>30</v>
      </c>
    </row>
    <row r="12" customFormat="false" ht="13.5" hidden="false" customHeight="false" outlineLevel="0" collapsed="false">
      <c r="A12" s="0" t="s">
        <v>39</v>
      </c>
      <c r="B12" s="10" t="n">
        <v>0.0902</v>
      </c>
      <c r="C12" s="11" t="n">
        <f aca="false">+'NPV '!C12</f>
        <v>0.15</v>
      </c>
      <c r="D12" s="12" t="n">
        <f aca="false">+'NPV '!D12</f>
        <v>0.15</v>
      </c>
      <c r="E12" s="10"/>
    </row>
    <row r="13" customFormat="false" ht="13.5" hidden="false" customHeight="false" outlineLevel="0" collapsed="false">
      <c r="A13" s="5" t="s">
        <v>3</v>
      </c>
      <c r="B13" s="13" t="s">
        <v>40</v>
      </c>
      <c r="C13" s="14" t="str">
        <f aca="false">+'NPV '!C13</f>
        <v>Hurdle Rate</v>
      </c>
      <c r="D13" s="15" t="str">
        <f aca="false">+'NPV '!D13</f>
        <v>Actual Rate</v>
      </c>
      <c r="E13" s="13" t="s">
        <v>41</v>
      </c>
      <c r="F13" s="6" t="s">
        <v>42</v>
      </c>
      <c r="G13" s="6" t="s">
        <v>43</v>
      </c>
      <c r="H13" s="6" t="s">
        <v>44</v>
      </c>
      <c r="I13" s="6" t="s">
        <v>13</v>
      </c>
      <c r="J13" s="6" t="s">
        <v>4</v>
      </c>
      <c r="K13" s="6" t="s">
        <v>5</v>
      </c>
      <c r="L13" s="6" t="s">
        <v>6</v>
      </c>
      <c r="M13" s="6" t="s">
        <v>7</v>
      </c>
      <c r="N13" s="6" t="s">
        <v>8</v>
      </c>
      <c r="O13" s="16" t="n">
        <v>37408</v>
      </c>
      <c r="P13" s="16" t="n">
        <v>37773</v>
      </c>
      <c r="Q13" s="16" t="n">
        <v>38139</v>
      </c>
      <c r="R13" s="16" t="n">
        <v>38504</v>
      </c>
      <c r="S13" s="16" t="n">
        <v>38869</v>
      </c>
      <c r="T13" s="16" t="n">
        <v>39234</v>
      </c>
      <c r="U13" s="16" t="n">
        <v>39600</v>
      </c>
      <c r="V13" s="16" t="n">
        <v>39965</v>
      </c>
      <c r="W13" s="16" t="n">
        <v>40330</v>
      </c>
      <c r="X13" s="16" t="n">
        <v>40695</v>
      </c>
      <c r="Y13" s="16" t="n">
        <v>41061</v>
      </c>
      <c r="Z13" s="16" t="n">
        <v>41426</v>
      </c>
      <c r="AA13" s="16" t="n">
        <v>41791</v>
      </c>
      <c r="AB13" s="16" t="n">
        <v>42156</v>
      </c>
      <c r="AC13" s="16" t="n">
        <v>42522</v>
      </c>
      <c r="AD13" s="16" t="n">
        <v>42887</v>
      </c>
      <c r="AE13" s="16" t="n">
        <v>43252</v>
      </c>
      <c r="AF13" s="16" t="n">
        <v>43617</v>
      </c>
      <c r="AG13" s="16" t="n">
        <v>43983</v>
      </c>
      <c r="AH13" s="16" t="n">
        <v>44348</v>
      </c>
      <c r="AI13" s="16" t="n">
        <v>44713</v>
      </c>
      <c r="AJ13" s="16" t="n">
        <v>45078</v>
      </c>
      <c r="AK13" s="16" t="n">
        <v>45444</v>
      </c>
      <c r="AL13" s="16" t="n">
        <v>45809</v>
      </c>
      <c r="AM13" s="16" t="n">
        <v>46174</v>
      </c>
      <c r="AN13" s="16" t="n">
        <v>46539</v>
      </c>
      <c r="AO13" s="16" t="n">
        <v>46905</v>
      </c>
      <c r="AP13" s="16" t="n">
        <v>47270</v>
      </c>
      <c r="AQ13" s="16" t="n">
        <v>47635</v>
      </c>
      <c r="AR13" s="16" t="n">
        <v>48000</v>
      </c>
      <c r="AS13" s="17" t="n">
        <v>11505</v>
      </c>
    </row>
    <row r="14" customFormat="false" ht="12.75" hidden="false" customHeight="false" outlineLevel="0" collapsed="false">
      <c r="A14" s="0" t="s">
        <v>14</v>
      </c>
      <c r="B14" s="3" t="n">
        <f aca="false">NPV(B$12,O14:AS14)</f>
        <v>1311.80164906981</v>
      </c>
      <c r="C14" s="18" t="n">
        <f aca="false">+'NPV '!C14</f>
        <v>0.0673035007610347</v>
      </c>
      <c r="D14" s="18" t="n">
        <f aca="false">+'NPV '!D14</f>
        <v>0.0764063272749992</v>
      </c>
      <c r="E14" s="3" t="n">
        <f aca="false">SUM(O14:AS14)</f>
        <v>3845.8</v>
      </c>
      <c r="F14" s="0" t="s">
        <v>15</v>
      </c>
      <c r="G14" s="0" t="n">
        <v>361</v>
      </c>
      <c r="H14" s="0" t="n">
        <f aca="false">SUM($O$11:$AS$11)</f>
        <v>10988</v>
      </c>
      <c r="I14" s="2" t="n">
        <v>1</v>
      </c>
      <c r="J14" s="1" t="n">
        <v>0.35</v>
      </c>
      <c r="K14" s="1"/>
      <c r="L14" s="1"/>
      <c r="M14" s="1"/>
      <c r="N14" s="1"/>
      <c r="O14" s="3" t="n">
        <f aca="false">+$J14*$I14*O$11</f>
        <v>127.75</v>
      </c>
      <c r="P14" s="3" t="n">
        <f aca="false">+$J14*$I14*P$11</f>
        <v>128.1</v>
      </c>
      <c r="Q14" s="3" t="n">
        <f aca="false">+$J14*$I14*Q$11</f>
        <v>127.75</v>
      </c>
      <c r="R14" s="3" t="n">
        <f aca="false">+$J14*$I14*R$11</f>
        <v>127.75</v>
      </c>
      <c r="S14" s="3" t="n">
        <f aca="false">+$J14*$I14*S$11</f>
        <v>127.75</v>
      </c>
      <c r="T14" s="3" t="n">
        <f aca="false">+$J14*$I14*T$11</f>
        <v>128.1</v>
      </c>
      <c r="U14" s="3" t="n">
        <f aca="false">+$J14*$I14*U$11</f>
        <v>127.75</v>
      </c>
      <c r="V14" s="3" t="n">
        <f aca="false">+$J14*$I14*V$11</f>
        <v>127.75</v>
      </c>
      <c r="W14" s="3" t="n">
        <f aca="false">+$J14*$I14*W$11</f>
        <v>127.75</v>
      </c>
      <c r="X14" s="3" t="n">
        <f aca="false">+$J14*$I14*X$11</f>
        <v>128.1</v>
      </c>
      <c r="Y14" s="3" t="n">
        <f aca="false">+$J14*$I14*Y$11</f>
        <v>127.75</v>
      </c>
      <c r="Z14" s="3" t="n">
        <f aca="false">+$J14*$I14*Z$11</f>
        <v>127.75</v>
      </c>
      <c r="AA14" s="3" t="n">
        <f aca="false">+$J14*$I14*AA$11</f>
        <v>127.75</v>
      </c>
      <c r="AB14" s="3" t="n">
        <f aca="false">+$J14*$I14*AB$11</f>
        <v>128.1</v>
      </c>
      <c r="AC14" s="3" t="n">
        <f aca="false">+$J14*$I14*AC$11</f>
        <v>127.75</v>
      </c>
      <c r="AD14" s="3" t="n">
        <f aca="false">+$J14*$I14*AD$11</f>
        <v>127.75</v>
      </c>
      <c r="AE14" s="3" t="n">
        <f aca="false">+$J14*$I14*AE$11</f>
        <v>127.75</v>
      </c>
      <c r="AF14" s="3" t="n">
        <f aca="false">+$J14*$I14*AF$11</f>
        <v>128.1</v>
      </c>
      <c r="AG14" s="3" t="n">
        <f aca="false">+$J14*$I14*AG$11</f>
        <v>127.75</v>
      </c>
      <c r="AH14" s="3" t="n">
        <f aca="false">+$J14*$I14*AH$11</f>
        <v>127.75</v>
      </c>
      <c r="AI14" s="3" t="n">
        <f aca="false">+$J14*$I14*AI$11</f>
        <v>127.75</v>
      </c>
      <c r="AJ14" s="3" t="n">
        <f aca="false">+$J14*$I14*AJ$11</f>
        <v>128.1</v>
      </c>
      <c r="AK14" s="3" t="n">
        <f aca="false">+$J14*$I14*AK$11</f>
        <v>127.75</v>
      </c>
      <c r="AL14" s="3" t="n">
        <f aca="false">+$J14*$I14*AL$11</f>
        <v>127.75</v>
      </c>
      <c r="AM14" s="3" t="n">
        <f aca="false">+$J14*$I14*AM$11</f>
        <v>127.75</v>
      </c>
      <c r="AN14" s="3" t="n">
        <f aca="false">+$J14*$I14*AN$11</f>
        <v>128.1</v>
      </c>
      <c r="AO14" s="3" t="n">
        <f aca="false">+$J14*$I14*AO$11</f>
        <v>127.75</v>
      </c>
      <c r="AP14" s="3" t="n">
        <f aca="false">+$J14*$I14*AP$11</f>
        <v>127.75</v>
      </c>
      <c r="AQ14" s="3" t="n">
        <f aca="false">+$J14*$I14*AQ$11</f>
        <v>127.75</v>
      </c>
      <c r="AR14" s="3" t="n">
        <f aca="false">+$J14*$I14*AR$11</f>
        <v>128.1</v>
      </c>
      <c r="AS14" s="3" t="n">
        <f aca="false">+$J14*$I14*AS$11</f>
        <v>10.5</v>
      </c>
    </row>
    <row r="15" customFormat="false" ht="12.75" hidden="false" customHeight="false" outlineLevel="0" collapsed="false">
      <c r="A15" s="0" t="s">
        <v>14</v>
      </c>
      <c r="B15" s="3" t="n">
        <f aca="false">NPV($B$12,O15:AS15)</f>
        <v>1499.20188465121</v>
      </c>
      <c r="C15" s="18" t="n">
        <f aca="false">+'NPV '!C15</f>
        <v>0.0673035007610347</v>
      </c>
      <c r="D15" s="18" t="n">
        <f aca="false">+'NPV '!D15</f>
        <v>0.0873215168857134</v>
      </c>
      <c r="E15" s="3" t="n">
        <f aca="false">SUM(O15:AS15)</f>
        <v>4395.2</v>
      </c>
      <c r="F15" s="0" t="s">
        <v>15</v>
      </c>
      <c r="G15" s="0" t="n">
        <v>361</v>
      </c>
      <c r="H15" s="0" t="n">
        <f aca="false">SUM($O$11:$AS$11)</f>
        <v>10988</v>
      </c>
      <c r="I15" s="2" t="n">
        <v>1</v>
      </c>
      <c r="J15" s="1" t="n">
        <v>0.4</v>
      </c>
      <c r="K15" s="1"/>
      <c r="L15" s="1"/>
      <c r="M15" s="1"/>
      <c r="N15" s="1"/>
      <c r="O15" s="3" t="n">
        <f aca="false">+$J15*$I15*O$11</f>
        <v>146</v>
      </c>
      <c r="P15" s="3" t="n">
        <f aca="false">+$J15*$I15*P$11</f>
        <v>146.4</v>
      </c>
      <c r="Q15" s="3" t="n">
        <f aca="false">+$J15*$I15*Q$11</f>
        <v>146</v>
      </c>
      <c r="R15" s="3" t="n">
        <f aca="false">+$J15*$I15*R$11</f>
        <v>146</v>
      </c>
      <c r="S15" s="3" t="n">
        <f aca="false">+$J15*$I15*S$11</f>
        <v>146</v>
      </c>
      <c r="T15" s="3" t="n">
        <f aca="false">+$J15*$I15*T$11</f>
        <v>146.4</v>
      </c>
      <c r="U15" s="3" t="n">
        <f aca="false">+$J15*$I15*U$11</f>
        <v>146</v>
      </c>
      <c r="V15" s="3" t="n">
        <f aca="false">+$J15*$I15*V$11</f>
        <v>146</v>
      </c>
      <c r="W15" s="3" t="n">
        <f aca="false">+$J15*$I15*W$11</f>
        <v>146</v>
      </c>
      <c r="X15" s="3" t="n">
        <f aca="false">+$J15*$I15*X$11</f>
        <v>146.4</v>
      </c>
      <c r="Y15" s="3" t="n">
        <f aca="false">+$J15*$I15*Y$11</f>
        <v>146</v>
      </c>
      <c r="Z15" s="3" t="n">
        <f aca="false">+$J15*$I15*Z$11</f>
        <v>146</v>
      </c>
      <c r="AA15" s="3" t="n">
        <f aca="false">+$J15*$I15*AA$11</f>
        <v>146</v>
      </c>
      <c r="AB15" s="3" t="n">
        <f aca="false">+$J15*$I15*AB$11</f>
        <v>146.4</v>
      </c>
      <c r="AC15" s="3" t="n">
        <f aca="false">+$J15*$I15*AC$11</f>
        <v>146</v>
      </c>
      <c r="AD15" s="3" t="n">
        <f aca="false">+$J15*$I15*AD$11</f>
        <v>146</v>
      </c>
      <c r="AE15" s="3" t="n">
        <f aca="false">+$J15*$I15*AE$11</f>
        <v>146</v>
      </c>
      <c r="AF15" s="3" t="n">
        <f aca="false">+$J15*$I15*AF$11</f>
        <v>146.4</v>
      </c>
      <c r="AG15" s="3" t="n">
        <f aca="false">+$J15*$I15*AG$11</f>
        <v>146</v>
      </c>
      <c r="AH15" s="3" t="n">
        <f aca="false">+$J15*$I15*AH$11</f>
        <v>146</v>
      </c>
      <c r="AI15" s="3" t="n">
        <f aca="false">+$J15*$I15*AI$11</f>
        <v>146</v>
      </c>
      <c r="AJ15" s="3" t="n">
        <f aca="false">+$J15*$I15*AJ$11</f>
        <v>146.4</v>
      </c>
      <c r="AK15" s="3" t="n">
        <f aca="false">+$J15*$I15*AK$11</f>
        <v>146</v>
      </c>
      <c r="AL15" s="3" t="n">
        <f aca="false">+$J15*$I15*AL$11</f>
        <v>146</v>
      </c>
      <c r="AM15" s="3" t="n">
        <f aca="false">+$J15*$I15*AM$11</f>
        <v>146</v>
      </c>
      <c r="AN15" s="3" t="n">
        <f aca="false">+$J15*$I15*AN$11</f>
        <v>146.4</v>
      </c>
      <c r="AO15" s="3" t="n">
        <f aca="false">+$J15*$I15*AO$11</f>
        <v>146</v>
      </c>
      <c r="AP15" s="3" t="n">
        <f aca="false">+$J15*$I15*AP$11</f>
        <v>146</v>
      </c>
      <c r="AQ15" s="3" t="n">
        <f aca="false">+$J15*$I15*AQ$11</f>
        <v>146</v>
      </c>
      <c r="AR15" s="3" t="n">
        <f aca="false">+$J15*$I15*AR$11</f>
        <v>146.4</v>
      </c>
      <c r="AS15" s="3" t="n">
        <f aca="false">+$J15*$I15*AS$11</f>
        <v>12</v>
      </c>
    </row>
    <row r="16" customFormat="false" ht="12.75" hidden="false" customHeight="false" outlineLevel="0" collapsed="false">
      <c r="A16" s="0" t="s">
        <v>19</v>
      </c>
      <c r="B16" s="3" t="n">
        <f aca="false">NPV($B$12,O16:AS16)</f>
        <v>1117.51840005072</v>
      </c>
      <c r="C16" s="18" t="n">
        <f aca="false">+'NPV '!C16</f>
        <v>0.134607001522036</v>
      </c>
      <c r="D16" s="18" t="n">
        <f aca="false">+'NPV '!D16</f>
        <v>0.148134602452731</v>
      </c>
      <c r="E16" s="3" t="n">
        <f aca="false">SUM(O16:AS16)</f>
        <v>2082.02</v>
      </c>
      <c r="F16" s="0" t="n">
        <v>15</v>
      </c>
      <c r="G16" s="0" t="n">
        <f aca="false">+F16*12</f>
        <v>180</v>
      </c>
      <c r="H16" s="0" t="n">
        <f aca="false">SUM($O$11:$AC$11)</f>
        <v>5479</v>
      </c>
      <c r="I16" s="2" t="n">
        <v>1</v>
      </c>
      <c r="J16" s="1" t="n">
        <v>0.38</v>
      </c>
      <c r="K16" s="1"/>
      <c r="L16" s="1"/>
      <c r="M16" s="1"/>
      <c r="N16" s="1"/>
      <c r="O16" s="3" t="n">
        <f aca="false">+$J16*$I16*O$11</f>
        <v>138.7</v>
      </c>
      <c r="P16" s="3" t="n">
        <f aca="false">+$J16*$I16*P$11</f>
        <v>139.08</v>
      </c>
      <c r="Q16" s="3" t="n">
        <f aca="false">+$J16*$I16*Q$11</f>
        <v>138.7</v>
      </c>
      <c r="R16" s="3" t="n">
        <f aca="false">+$J16*$I16*R$11</f>
        <v>138.7</v>
      </c>
      <c r="S16" s="3" t="n">
        <f aca="false">+$J16*$I16*S$11</f>
        <v>138.7</v>
      </c>
      <c r="T16" s="3" t="n">
        <f aca="false">+$J16*$I16*T$11</f>
        <v>139.08</v>
      </c>
      <c r="U16" s="3" t="n">
        <f aca="false">+$J16*$I16*U$11</f>
        <v>138.7</v>
      </c>
      <c r="V16" s="3" t="n">
        <f aca="false">+$J16*$I16*V$11</f>
        <v>138.7</v>
      </c>
      <c r="W16" s="3" t="n">
        <f aca="false">+$J16*$I16*W$11</f>
        <v>138.7</v>
      </c>
      <c r="X16" s="3" t="n">
        <f aca="false">+$J16*$I16*X$11</f>
        <v>139.08</v>
      </c>
      <c r="Y16" s="3" t="n">
        <f aca="false">+$J16*$I16*Y$11</f>
        <v>138.7</v>
      </c>
      <c r="Z16" s="3" t="n">
        <f aca="false">+$J16*$I16*Z$11</f>
        <v>138.7</v>
      </c>
      <c r="AA16" s="3" t="n">
        <f aca="false">+$J16*$I16*AA$11</f>
        <v>138.7</v>
      </c>
      <c r="AB16" s="3" t="n">
        <f aca="false">+$J16*$I16*AB$11</f>
        <v>139.08</v>
      </c>
      <c r="AC16" s="3" t="n">
        <f aca="false">+$J16*$I16*AC$11</f>
        <v>138.7</v>
      </c>
    </row>
    <row r="17" customFormat="false" ht="12.75" hidden="false" customHeight="false" outlineLevel="0" collapsed="false">
      <c r="A17" s="0" t="s">
        <v>19</v>
      </c>
      <c r="B17" s="3" t="n">
        <f aca="false">NPV($B$12,O17:AS17)</f>
        <v>1146.92677899943</v>
      </c>
      <c r="C17" s="18" t="n">
        <f aca="false">+'NPV '!C17</f>
        <v>0.134607001522036</v>
      </c>
      <c r="D17" s="18" t="n">
        <f aca="false">+'NPV '!D17</f>
        <v>0.152032881464645</v>
      </c>
      <c r="E17" s="3" t="n">
        <f aca="false">SUM(O17:AS17)</f>
        <v>2136.81</v>
      </c>
      <c r="F17" s="0" t="n">
        <v>15</v>
      </c>
      <c r="G17" s="0" t="n">
        <f aca="false">+F17*12</f>
        <v>180</v>
      </c>
      <c r="H17" s="0" t="n">
        <f aca="false">SUM($O$11:$AC$11)</f>
        <v>5479</v>
      </c>
      <c r="I17" s="2" t="n">
        <v>1</v>
      </c>
      <c r="J17" s="1" t="n">
        <v>0.39</v>
      </c>
      <c r="K17" s="1"/>
      <c r="L17" s="1"/>
      <c r="M17" s="1"/>
      <c r="N17" s="1"/>
      <c r="O17" s="3" t="n">
        <f aca="false">+$J17*$I17*O$11</f>
        <v>142.35</v>
      </c>
      <c r="P17" s="3" t="n">
        <f aca="false">+$J17*$I17*P$11</f>
        <v>142.74</v>
      </c>
      <c r="Q17" s="3" t="n">
        <f aca="false">+$J17*$I17*Q$11</f>
        <v>142.35</v>
      </c>
      <c r="R17" s="3" t="n">
        <f aca="false">+$J17*$I17*R$11</f>
        <v>142.35</v>
      </c>
      <c r="S17" s="3" t="n">
        <f aca="false">+$J17*$I17*S$11</f>
        <v>142.35</v>
      </c>
      <c r="T17" s="3" t="n">
        <f aca="false">+$J17*$I17*T$11</f>
        <v>142.74</v>
      </c>
      <c r="U17" s="3" t="n">
        <f aca="false">+$J17*$I17*U$11</f>
        <v>142.35</v>
      </c>
      <c r="V17" s="3" t="n">
        <f aca="false">+$J17*$I17*V$11</f>
        <v>142.35</v>
      </c>
      <c r="W17" s="3" t="n">
        <f aca="false">+$J17*$I17*W$11</f>
        <v>142.35</v>
      </c>
      <c r="X17" s="3" t="n">
        <f aca="false">+$J17*$I17*X$11</f>
        <v>142.74</v>
      </c>
      <c r="Y17" s="3" t="n">
        <f aca="false">+$J17*$I17*Y$11</f>
        <v>142.35</v>
      </c>
      <c r="Z17" s="3" t="n">
        <f aca="false">+$J17*$I17*Z$11</f>
        <v>142.35</v>
      </c>
      <c r="AA17" s="3" t="n">
        <f aca="false">+$J17*$I17*AA$11</f>
        <v>142.35</v>
      </c>
      <c r="AB17" s="3" t="n">
        <f aca="false">+$J17*$I17*AB$11</f>
        <v>142.74</v>
      </c>
      <c r="AC17" s="3" t="n">
        <f aca="false">+$J17*$I17*AC$11</f>
        <v>142.35</v>
      </c>
    </row>
    <row r="18" customFormat="false" ht="12.75" hidden="false" customHeight="false" outlineLevel="0" collapsed="false">
      <c r="A18" s="0" t="s">
        <v>20</v>
      </c>
      <c r="B18" s="3" t="n">
        <f aca="false">NPV($B$12,O18:AS18)</f>
        <v>780.905204322353</v>
      </c>
      <c r="C18" s="18" t="n">
        <f aca="false">+'NPV '!C18</f>
        <v>0.403821004566109</v>
      </c>
      <c r="D18" s="18" t="n">
        <f aca="false">+'NPV '!D18</f>
        <v>0.368762877843813</v>
      </c>
      <c r="E18" s="3" t="n">
        <f aca="false">SUM(O18:AS18)</f>
        <v>1004.3</v>
      </c>
      <c r="F18" s="0" t="n">
        <v>5</v>
      </c>
      <c r="G18" s="0" t="n">
        <f aca="false">+F18*12</f>
        <v>60</v>
      </c>
      <c r="H18" s="0" t="n">
        <f aca="false">SUM($O$11:$S$11)</f>
        <v>1826</v>
      </c>
      <c r="I18" s="2" t="n">
        <v>1</v>
      </c>
      <c r="J18" s="1" t="n">
        <v>0.55</v>
      </c>
      <c r="K18" s="1"/>
      <c r="L18" s="1"/>
      <c r="M18" s="1"/>
      <c r="N18" s="1"/>
      <c r="O18" s="3" t="n">
        <f aca="false">+$J18*$I18*O$11</f>
        <v>200.75</v>
      </c>
      <c r="P18" s="3" t="n">
        <f aca="false">+$J18*$I18*P$11</f>
        <v>201.3</v>
      </c>
      <c r="Q18" s="3" t="n">
        <f aca="false">+$J18*$I18*Q$11</f>
        <v>200.75</v>
      </c>
      <c r="R18" s="3" t="n">
        <f aca="false">+$J18*$I18*R$11</f>
        <v>200.75</v>
      </c>
      <c r="S18" s="3" t="n">
        <f aca="false">+$J18*$I18*S$11</f>
        <v>200.75</v>
      </c>
    </row>
    <row r="19" customFormat="false" ht="12.75" hidden="false" customHeight="false" outlineLevel="0" collapsed="false">
      <c r="A19" s="0" t="s">
        <v>21</v>
      </c>
      <c r="B19" s="3" t="n">
        <f aca="false">NPV($B$12,O19:AS19)</f>
        <v>894.49141586015</v>
      </c>
      <c r="C19" s="18" t="n">
        <f aca="false">+'NPV '!C19</f>
        <v>0.403821004566109</v>
      </c>
      <c r="D19" s="18" t="n">
        <f aca="false">+'NPV '!D19</f>
        <v>0.422401114621095</v>
      </c>
      <c r="E19" s="3" t="n">
        <f aca="false">SUM(O19:AS19)</f>
        <v>1150.38</v>
      </c>
      <c r="F19" s="0" t="n">
        <v>5</v>
      </c>
      <c r="G19" s="0" t="n">
        <f aca="false">+F19*12</f>
        <v>60</v>
      </c>
      <c r="H19" s="0" t="n">
        <f aca="false">SUM($O$11:$S$11)</f>
        <v>1826</v>
      </c>
      <c r="I19" s="2" t="n">
        <v>1</v>
      </c>
      <c r="J19" s="1" t="n">
        <v>0.63</v>
      </c>
      <c r="K19" s="1"/>
      <c r="L19" s="1"/>
      <c r="M19" s="1"/>
      <c r="N19" s="1"/>
      <c r="O19" s="3" t="n">
        <f aca="false">+$J19*$I19*O$11</f>
        <v>229.95</v>
      </c>
      <c r="P19" s="3" t="n">
        <f aca="false">+$J19*$I19*P$11</f>
        <v>230.58</v>
      </c>
      <c r="Q19" s="3" t="n">
        <f aca="false">+$J19*$I19*Q$11</f>
        <v>229.95</v>
      </c>
      <c r="R19" s="3" t="n">
        <f aca="false">+$J19*$I19*R$11</f>
        <v>229.95</v>
      </c>
      <c r="S19" s="3" t="n">
        <f aca="false">+$J19*$I19*S$11</f>
        <v>229.95</v>
      </c>
    </row>
    <row r="20" customFormat="false" ht="12.75" hidden="false" customHeight="false" outlineLevel="0" collapsed="false">
      <c r="A20" s="0" t="s">
        <v>22</v>
      </c>
      <c r="B20" s="3" t="n">
        <f aca="false">NPV($B$12,O20:AS20)</f>
        <v>404.927973408362</v>
      </c>
      <c r="C20" s="18" t="n">
        <f aca="false">+'NPV '!C20</f>
        <v>1.00955251141527</v>
      </c>
      <c r="D20" s="18" t="n">
        <f aca="false">+'NPV '!D20</f>
        <v>0.512049423453384</v>
      </c>
      <c r="E20" s="3" t="n">
        <f aca="false">SUM(O20:AS20)</f>
        <v>460.53</v>
      </c>
      <c r="F20" s="0" t="n">
        <v>2</v>
      </c>
      <c r="G20" s="0" t="n">
        <f aca="false">+F20*12</f>
        <v>24</v>
      </c>
      <c r="H20" s="8" t="n">
        <f aca="false">+SUM($O$11:$P$11)</f>
        <v>731</v>
      </c>
      <c r="I20" s="2" t="n">
        <v>1</v>
      </c>
      <c r="J20" s="1" t="n">
        <v>0.63</v>
      </c>
      <c r="K20" s="1"/>
      <c r="L20" s="1"/>
      <c r="M20" s="1"/>
      <c r="N20" s="1"/>
      <c r="O20" s="3" t="n">
        <f aca="false">+$J20*$I20*O$11</f>
        <v>229.95</v>
      </c>
      <c r="P20" s="3" t="n">
        <f aca="false">+$J20*$I20*P$11</f>
        <v>230.58</v>
      </c>
    </row>
    <row r="21" customFormat="false" ht="12.75" hidden="false" customHeight="false" outlineLevel="0" collapsed="false">
      <c r="A21" s="0" t="s">
        <v>22</v>
      </c>
      <c r="B21" s="3" t="n">
        <f aca="false">NPV($B$12,O21:AS21)</f>
        <v>210.924600990644</v>
      </c>
      <c r="C21" s="18" t="n">
        <f aca="false">+'NPV '!C21</f>
        <v>2.01910502283054</v>
      </c>
      <c r="D21" s="18" t="n">
        <f aca="false">+'NPV '!D21</f>
        <v>0.547826086956522</v>
      </c>
      <c r="E21" s="3" t="n">
        <f aca="false">SUM(O21:AS21)</f>
        <v>229.95</v>
      </c>
      <c r="F21" s="0" t="n">
        <v>1</v>
      </c>
      <c r="G21" s="0" t="n">
        <f aca="false">+F21*12</f>
        <v>12</v>
      </c>
      <c r="H21" s="0" t="n">
        <f aca="false">SUM($O$11)</f>
        <v>365</v>
      </c>
      <c r="I21" s="2" t="n">
        <v>1</v>
      </c>
      <c r="J21" s="1" t="n">
        <v>0.63</v>
      </c>
      <c r="K21" s="1"/>
      <c r="L21" s="1"/>
      <c r="M21" s="1"/>
      <c r="N21" s="1"/>
      <c r="O21" s="3" t="n">
        <f aca="false">+$J21*$I21*O$11</f>
        <v>229.95</v>
      </c>
    </row>
    <row r="22" customFormat="false" ht="12.75" hidden="false" customHeight="false" outlineLevel="0" collapsed="false">
      <c r="A22" s="0" t="s">
        <v>24</v>
      </c>
      <c r="B22" s="3" t="n">
        <f aca="false">NPV($B$12,O22:AS22)</f>
        <v>722.412296391113</v>
      </c>
      <c r="C22" s="18" t="n">
        <f aca="false">+'NPV '!C22</f>
        <v>1.00955251141527</v>
      </c>
      <c r="D22" s="18" t="n">
        <f aca="false">+'NPV '!D22</f>
        <v>2.22157621132226</v>
      </c>
      <c r="E22" s="3" t="n">
        <f aca="false">SUM(O22:AS22)</f>
        <v>806.5</v>
      </c>
      <c r="F22" s="8" t="s">
        <v>25</v>
      </c>
      <c r="G22" s="0" t="n">
        <v>22</v>
      </c>
      <c r="H22" s="0" t="n">
        <f aca="false">SUM(O9:P9)</f>
        <v>304</v>
      </c>
      <c r="I22" s="2" t="n">
        <v>1</v>
      </c>
      <c r="J22" s="1" t="n">
        <v>1.75</v>
      </c>
      <c r="K22" s="1" t="n">
        <v>0.75</v>
      </c>
      <c r="L22" s="1"/>
      <c r="M22" s="1"/>
      <c r="N22" s="1"/>
      <c r="O22" s="3" t="n">
        <f aca="false">(+$J22*$I22*O$9)+(K22*I22*O10)</f>
        <v>577.75</v>
      </c>
      <c r="P22" s="3" t="n">
        <f aca="false">+$K22*$I22*P$10</f>
        <v>228.75</v>
      </c>
    </row>
    <row r="23" customFormat="false" ht="12.75" hidden="false" customHeight="false" outlineLevel="0" collapsed="false">
      <c r="A23" s="0" t="s">
        <v>26</v>
      </c>
      <c r="B23" s="3" t="n">
        <f aca="false">NPV($B$12,O23:AS23)</f>
        <v>1117.51840005072</v>
      </c>
      <c r="C23" s="18" t="n">
        <f aca="false">+'NPV '!C23</f>
        <v>0.134607001522036</v>
      </c>
      <c r="D23" s="18" t="n">
        <f aca="false">+'NPV '!D23</f>
        <v>0.148134602452731</v>
      </c>
      <c r="E23" s="3" t="n">
        <f aca="false">SUM(O23:AS23)</f>
        <v>2082.02</v>
      </c>
      <c r="F23" s="0" t="n">
        <v>15</v>
      </c>
      <c r="G23" s="0" t="n">
        <f aca="false">+F23*12</f>
        <v>180</v>
      </c>
      <c r="H23" s="0" t="n">
        <f aca="false">SUM($O$11:$AC$11)</f>
        <v>5479</v>
      </c>
      <c r="I23" s="2" t="n">
        <v>1</v>
      </c>
      <c r="J23" s="1" t="n">
        <v>0.38</v>
      </c>
      <c r="K23" s="1"/>
      <c r="L23" s="1"/>
      <c r="M23" s="1"/>
      <c r="N23" s="1"/>
      <c r="O23" s="3" t="n">
        <f aca="false">+$J23*$I23*O$11</f>
        <v>138.7</v>
      </c>
      <c r="P23" s="3" t="n">
        <f aca="false">+$J23*$I23*P$11</f>
        <v>139.08</v>
      </c>
      <c r="Q23" s="3" t="n">
        <f aca="false">+$J23*$I23*Q$11</f>
        <v>138.7</v>
      </c>
      <c r="R23" s="3" t="n">
        <f aca="false">+$J23*$I23*R$11</f>
        <v>138.7</v>
      </c>
      <c r="S23" s="3" t="n">
        <f aca="false">+$J23*$I23*S$11</f>
        <v>138.7</v>
      </c>
      <c r="T23" s="3" t="n">
        <f aca="false">+$J23*$I23*T$11</f>
        <v>139.08</v>
      </c>
      <c r="U23" s="3" t="n">
        <f aca="false">+$J23*$I23*U$11</f>
        <v>138.7</v>
      </c>
      <c r="V23" s="3" t="n">
        <f aca="false">+$J23*$I23*V$11</f>
        <v>138.7</v>
      </c>
      <c r="W23" s="3" t="n">
        <f aca="false">+$J23*$I23*W$11</f>
        <v>138.7</v>
      </c>
      <c r="X23" s="3" t="n">
        <f aca="false">+$J23*$I23*X$11</f>
        <v>139.08</v>
      </c>
      <c r="Y23" s="3" t="n">
        <f aca="false">+$J23*$I23*Y$11</f>
        <v>138.7</v>
      </c>
      <c r="Z23" s="3" t="n">
        <f aca="false">+$J23*$I23*Z$11</f>
        <v>138.7</v>
      </c>
      <c r="AA23" s="3" t="n">
        <f aca="false">+$J23*$I23*AA$11</f>
        <v>138.7</v>
      </c>
      <c r="AB23" s="3" t="n">
        <f aca="false">+$J23*$I23*AB$11</f>
        <v>139.08</v>
      </c>
      <c r="AC23" s="3" t="n">
        <f aca="false">+$J23*$I23*AC$11</f>
        <v>138.7</v>
      </c>
    </row>
    <row r="24" customFormat="false" ht="12.75" hidden="false" customHeight="false" outlineLevel="0" collapsed="false">
      <c r="A24" s="0" t="s">
        <v>27</v>
      </c>
      <c r="B24" s="3" t="n">
        <f aca="false">NPV($B$12,O24:AS24)</f>
        <v>1109.9881876973</v>
      </c>
      <c r="C24" s="18" t="n">
        <f aca="false">+'NPV '!C24</f>
        <v>0.168258751902545</v>
      </c>
      <c r="D24" s="18" t="n">
        <f aca="false">+'NPV '!D24</f>
        <v>0.187232167209524</v>
      </c>
      <c r="E24" s="3" t="n">
        <f aca="false">SUM(O24:AS24)</f>
        <v>1879.5</v>
      </c>
      <c r="F24" s="0" t="s">
        <v>28</v>
      </c>
      <c r="G24" s="0" t="n">
        <v>147</v>
      </c>
      <c r="H24" s="0" t="n">
        <f aca="false">SUM(O8:AA8)</f>
        <v>4475</v>
      </c>
      <c r="I24" s="2" t="n">
        <v>1</v>
      </c>
      <c r="J24" s="1" t="n">
        <v>0.42</v>
      </c>
      <c r="K24" s="1"/>
      <c r="L24" s="1"/>
      <c r="M24" s="1"/>
      <c r="N24" s="1"/>
      <c r="O24" s="3" t="n">
        <f aca="false">+$J24*$I24*O$8</f>
        <v>153.3</v>
      </c>
      <c r="P24" s="3" t="n">
        <f aca="false">+$J24*$I24*P$8</f>
        <v>153.72</v>
      </c>
      <c r="Q24" s="3" t="n">
        <f aca="false">+$J24*$I24*Q$8</f>
        <v>153.3</v>
      </c>
      <c r="R24" s="3" t="n">
        <f aca="false">+$J24*$I24*R$8</f>
        <v>153.3</v>
      </c>
      <c r="S24" s="3" t="n">
        <f aca="false">+$J24*$I24*S$8</f>
        <v>153.3</v>
      </c>
      <c r="T24" s="3" t="n">
        <f aca="false">+$J24*$I24*T$8</f>
        <v>153.72</v>
      </c>
      <c r="U24" s="3" t="n">
        <f aca="false">+$J24*$I24*U$8</f>
        <v>153.3</v>
      </c>
      <c r="V24" s="3" t="n">
        <f aca="false">+$J24*$I24*V$8</f>
        <v>153.3</v>
      </c>
      <c r="W24" s="3" t="n">
        <f aca="false">+$J24*$I24*W$8</f>
        <v>153.3</v>
      </c>
      <c r="X24" s="3" t="n">
        <f aca="false">+$J24*$I24*X$8</f>
        <v>153.72</v>
      </c>
      <c r="Y24" s="3" t="n">
        <f aca="false">+$J24*$I24*Y$8</f>
        <v>153.3</v>
      </c>
      <c r="Z24" s="3" t="n">
        <f aca="false">+$J24*$I24*Z$8</f>
        <v>153.3</v>
      </c>
      <c r="AA24" s="3" t="n">
        <f aca="false">+$J24*$I24*AA$8</f>
        <v>38.64</v>
      </c>
    </row>
    <row r="25" customFormat="false" ht="12.75" hidden="false" customHeight="false" outlineLevel="0" collapsed="false">
      <c r="A25" s="0" t="s">
        <v>29</v>
      </c>
      <c r="B25" s="3" t="n">
        <f aca="false">NPV($B$12,O25:AS25)</f>
        <v>539.903964544483</v>
      </c>
      <c r="C25" s="18" t="n">
        <f aca="false">+'NPV '!C25</f>
        <v>1.00955251141527</v>
      </c>
      <c r="D25" s="18" t="n">
        <f aca="false">+'NPV '!D25</f>
        <v>0.682732564604512</v>
      </c>
      <c r="E25" s="3" t="n">
        <f aca="false">SUM(O25:AS25)</f>
        <v>614.04</v>
      </c>
      <c r="F25" s="0" t="n">
        <v>2</v>
      </c>
      <c r="G25" s="0" t="n">
        <f aca="false">+F25*12</f>
        <v>24</v>
      </c>
      <c r="H25" s="8" t="n">
        <f aca="false">+SUM($O$11:$P$11)</f>
        <v>731</v>
      </c>
      <c r="I25" s="2" t="n">
        <v>1</v>
      </c>
      <c r="J25" s="1" t="n">
        <v>0.84</v>
      </c>
      <c r="K25" s="1"/>
      <c r="L25" s="1"/>
      <c r="M25" s="1"/>
      <c r="N25" s="1"/>
      <c r="O25" s="3" t="n">
        <f aca="false">+$J25*$I25*O$11</f>
        <v>306.6</v>
      </c>
      <c r="P25" s="3" t="n">
        <f aca="false">+$J25*$I25*P$11</f>
        <v>307.44</v>
      </c>
    </row>
    <row r="26" customFormat="false" ht="12.75" hidden="false" customHeight="false" outlineLevel="0" collapsed="false">
      <c r="A26" s="0" t="s">
        <v>30</v>
      </c>
      <c r="B26" s="3" t="n">
        <f aca="false">NPV($B$12,O26:AS26)</f>
        <v>539.903964544483</v>
      </c>
      <c r="C26" s="18" t="n">
        <f aca="false">+'NPV '!C26</f>
        <v>1.00955251141527</v>
      </c>
      <c r="D26" s="18" t="n">
        <f aca="false">+'NPV '!D26</f>
        <v>0.682732564604512</v>
      </c>
      <c r="E26" s="3" t="n">
        <f aca="false">SUM(O26:AS26)</f>
        <v>614.04</v>
      </c>
      <c r="F26" s="0" t="n">
        <v>2</v>
      </c>
      <c r="G26" s="0" t="n">
        <f aca="false">+F26*12</f>
        <v>24</v>
      </c>
      <c r="H26" s="8" t="n">
        <f aca="false">+SUM($O$11:$P$11)</f>
        <v>731</v>
      </c>
      <c r="I26" s="2" t="n">
        <v>1</v>
      </c>
      <c r="J26" s="1" t="n">
        <v>0.84</v>
      </c>
      <c r="K26" s="1"/>
      <c r="L26" s="1"/>
      <c r="M26" s="1"/>
      <c r="N26" s="1"/>
      <c r="O26" s="3" t="n">
        <f aca="false">+$J26*$I26*O$11</f>
        <v>306.6</v>
      </c>
      <c r="P26" s="3" t="n">
        <f aca="false">+$J26*$I26*P$11</f>
        <v>307.44</v>
      </c>
    </row>
    <row r="27" customFormat="false" ht="12.75" hidden="false" customHeight="false" outlineLevel="0" collapsed="false">
      <c r="A27" s="0" t="s">
        <v>31</v>
      </c>
      <c r="B27" s="3" t="n">
        <f aca="false">NPV($B$12,O27:AS27)</f>
        <v>539.903964544483</v>
      </c>
      <c r="C27" s="18" t="n">
        <f aca="false">+'NPV '!C27</f>
        <v>1.00955251141527</v>
      </c>
      <c r="D27" s="18" t="n">
        <f aca="false">+'NPV '!D27</f>
        <v>0.682732564604512</v>
      </c>
      <c r="E27" s="3" t="n">
        <f aca="false">SUM(O27:AS27)</f>
        <v>614.04</v>
      </c>
      <c r="F27" s="0" t="n">
        <v>2</v>
      </c>
      <c r="G27" s="0" t="n">
        <f aca="false">+F27*12</f>
        <v>24</v>
      </c>
      <c r="H27" s="8" t="n">
        <f aca="false">+SUM($O$11:$P$11)</f>
        <v>731</v>
      </c>
      <c r="I27" s="2" t="n">
        <v>1</v>
      </c>
      <c r="J27" s="1" t="n">
        <v>0.84</v>
      </c>
      <c r="K27" s="1"/>
      <c r="L27" s="1"/>
      <c r="M27" s="1"/>
      <c r="N27" s="1"/>
      <c r="O27" s="3" t="n">
        <f aca="false">+$J27*$I27*O$11</f>
        <v>306.6</v>
      </c>
      <c r="P27" s="3" t="n">
        <f aca="false">+$J27*$I27*P$11</f>
        <v>307.44</v>
      </c>
    </row>
    <row r="28" customFormat="false" ht="12.75" hidden="false" customHeight="false" outlineLevel="0" collapsed="false">
      <c r="A28" s="0" t="s">
        <v>31</v>
      </c>
      <c r="B28" s="3" t="n">
        <f aca="false">NPV($B$12,O28:AS28)</f>
        <v>520.621680096466</v>
      </c>
      <c r="C28" s="18" t="n">
        <f aca="false">+'NPV '!C28</f>
        <v>1.00955251141527</v>
      </c>
      <c r="D28" s="18" t="n">
        <f aca="false">+'NPV '!D28</f>
        <v>0.658349258725779</v>
      </c>
      <c r="E28" s="3" t="n">
        <f aca="false">SUM(O28:AS28)</f>
        <v>592.11</v>
      </c>
      <c r="F28" s="0" t="n">
        <v>2</v>
      </c>
      <c r="G28" s="0" t="n">
        <f aca="false">+F28*12</f>
        <v>24</v>
      </c>
      <c r="H28" s="8" t="n">
        <f aca="false">+SUM($O$11:$P$11)</f>
        <v>731</v>
      </c>
      <c r="I28" s="2" t="n">
        <v>1</v>
      </c>
      <c r="J28" s="1" t="n">
        <v>0.81</v>
      </c>
      <c r="K28" s="1"/>
      <c r="L28" s="1"/>
      <c r="M28" s="1"/>
      <c r="N28" s="1"/>
      <c r="O28" s="3" t="n">
        <f aca="false">+$J28*$I28*O$11</f>
        <v>295.65</v>
      </c>
      <c r="P28" s="3" t="n">
        <f aca="false">+$J28*$I28*P$11</f>
        <v>296.46</v>
      </c>
    </row>
    <row r="29" customFormat="false" ht="12.75" hidden="false" customHeight="false" outlineLevel="0" collapsed="false">
      <c r="A29" s="0" t="s">
        <v>32</v>
      </c>
      <c r="B29" s="3" t="n">
        <f aca="false">NPV($B$12,O29:AS29)</f>
        <v>520.621680096466</v>
      </c>
      <c r="C29" s="18" t="n">
        <f aca="false">+'NPV '!C29</f>
        <v>1.00955251141527</v>
      </c>
      <c r="D29" s="18" t="n">
        <f aca="false">+'NPV '!D29</f>
        <v>0.658349258725779</v>
      </c>
      <c r="E29" s="3" t="n">
        <f aca="false">SUM(O29:AS29)</f>
        <v>592.11</v>
      </c>
      <c r="F29" s="0" t="n">
        <v>2</v>
      </c>
      <c r="G29" s="0" t="n">
        <f aca="false">+F29*12</f>
        <v>24</v>
      </c>
      <c r="H29" s="8" t="n">
        <f aca="false">+SUM($O$11:$P$11)</f>
        <v>731</v>
      </c>
      <c r="I29" s="2" t="n">
        <v>1</v>
      </c>
      <c r="J29" s="1" t="n">
        <v>0.81</v>
      </c>
      <c r="K29" s="1"/>
      <c r="L29" s="1"/>
      <c r="M29" s="1"/>
      <c r="N29" s="1"/>
      <c r="O29" s="3" t="n">
        <f aca="false">+$J29*$I29*O$11</f>
        <v>295.65</v>
      </c>
      <c r="P29" s="3" t="n">
        <f aca="false">+$J29*$I29*P$11</f>
        <v>296.46</v>
      </c>
    </row>
    <row r="30" customFormat="false" ht="12.75" hidden="false" customHeight="false" outlineLevel="0" collapsed="false">
      <c r="A30" s="0" t="s">
        <v>32</v>
      </c>
      <c r="B30" s="3" t="n">
        <f aca="false">NPV($B$12,O30:AS30)</f>
        <v>539.903964544483</v>
      </c>
      <c r="C30" s="18" t="n">
        <f aca="false">+'NPV '!C30</f>
        <v>1.00955251141527</v>
      </c>
      <c r="D30" s="18" t="n">
        <f aca="false">+'NPV '!D30</f>
        <v>0.682732564604512</v>
      </c>
      <c r="E30" s="3" t="n">
        <f aca="false">SUM(O30:AS30)</f>
        <v>614.04</v>
      </c>
      <c r="F30" s="0" t="n">
        <v>2</v>
      </c>
      <c r="G30" s="0" t="n">
        <f aca="false">+F30*12</f>
        <v>24</v>
      </c>
      <c r="H30" s="8" t="n">
        <f aca="false">+SUM($O$11:$P$11)</f>
        <v>731</v>
      </c>
      <c r="I30" s="2" t="n">
        <v>1</v>
      </c>
      <c r="J30" s="1" t="n">
        <v>0.84</v>
      </c>
      <c r="K30" s="1"/>
      <c r="L30" s="1"/>
      <c r="M30" s="1"/>
      <c r="N30" s="1"/>
      <c r="O30" s="3" t="n">
        <f aca="false">+$J30*$I30*O$11</f>
        <v>306.6</v>
      </c>
      <c r="P30" s="3" t="n">
        <f aca="false">+$J30*$I30*P$11</f>
        <v>307.44</v>
      </c>
    </row>
    <row r="31" customFormat="false" ht="12.75" hidden="false" customHeight="false" outlineLevel="0" collapsed="false">
      <c r="A31" s="0" t="s">
        <v>33</v>
      </c>
      <c r="B31" s="3" t="n">
        <f aca="false">NPV($B$12,O31:AS31)</f>
        <v>820.497344515072</v>
      </c>
      <c r="C31" s="18" t="n">
        <f aca="false">+'NPV '!C31</f>
        <v>0.403821004566109</v>
      </c>
      <c r="D31" s="18" t="n">
        <f aca="false">+'NPV '!D31</f>
        <v>0.398194395000442</v>
      </c>
      <c r="E31" s="3" t="n">
        <f aca="false">SUM(O31:AS31)</f>
        <v>1009.24</v>
      </c>
      <c r="F31" s="0" t="n">
        <v>5</v>
      </c>
      <c r="G31" s="0" t="n">
        <f aca="false">+F31*12</f>
        <v>60</v>
      </c>
      <c r="H31" s="19" t="n">
        <f aca="false">SUM(O7:S7)</f>
        <v>1826</v>
      </c>
      <c r="I31" s="2" t="n">
        <v>1</v>
      </c>
      <c r="J31" s="1" t="n">
        <v>1.12</v>
      </c>
      <c r="K31" s="1" t="n">
        <v>0.76</v>
      </c>
      <c r="L31" s="1" t="n">
        <v>0.43</v>
      </c>
      <c r="M31" s="1" t="n">
        <v>0.38</v>
      </c>
      <c r="N31" s="1" t="n">
        <v>0.38</v>
      </c>
      <c r="O31" s="3" t="n">
        <f aca="false">(+J$31*$I31*O$5)+(K$31*$I31*O$6)</f>
        <v>354.44</v>
      </c>
      <c r="P31" s="3" t="n">
        <f aca="false">(+K$31*$I31*P$5)+(L$31*$I31*P$6)</f>
        <v>228</v>
      </c>
      <c r="Q31" s="3" t="n">
        <f aca="false">(+L$31*$I31*Q$5)+(M$31*$I31*Q$6)</f>
        <v>149.4</v>
      </c>
      <c r="R31" s="3" t="n">
        <f aca="false">(+M$31*$I31*R$5)+(N$31*$I31*R$6)</f>
        <v>138.7</v>
      </c>
      <c r="S31" s="3" t="n">
        <f aca="false">(+N$31*$I31*S$5)+(N$31*$I31*S$6)</f>
        <v>138.7</v>
      </c>
      <c r="T31" s="3"/>
      <c r="U31" s="3"/>
    </row>
    <row r="32" customFormat="false" ht="12.75" hidden="false" customHeight="false" outlineLevel="0" collapsed="false">
      <c r="A32" s="0" t="s">
        <v>33</v>
      </c>
      <c r="B32" s="3" t="n">
        <f aca="false">NPV($B$12,O32:AS32)</f>
        <v>846.154416269403</v>
      </c>
      <c r="C32" s="18" t="n">
        <f aca="false">+'NPV '!C32</f>
        <v>0.403821004566109</v>
      </c>
      <c r="D32" s="18" t="n">
        <f aca="false">+'NPV '!D32</f>
        <v>0.424489501456112</v>
      </c>
      <c r="E32" s="3" t="n">
        <f aca="false">SUM(O32:AS32)</f>
        <v>983.528</v>
      </c>
      <c r="F32" s="0" t="n">
        <v>5</v>
      </c>
      <c r="G32" s="0" t="n">
        <f aca="false">+F32*12</f>
        <v>60</v>
      </c>
      <c r="H32" s="0" t="n">
        <f aca="false">SUM($O$11)</f>
        <v>365</v>
      </c>
      <c r="I32" s="2" t="n">
        <v>1</v>
      </c>
      <c r="J32" s="1" t="n">
        <v>1.723</v>
      </c>
      <c r="K32" s="1" t="n">
        <v>0.364</v>
      </c>
      <c r="L32" s="1" t="n">
        <v>0.2045</v>
      </c>
      <c r="M32" s="1" t="n">
        <v>0.2009</v>
      </c>
      <c r="N32" s="1" t="n">
        <v>0.2012</v>
      </c>
      <c r="O32" s="3" t="n">
        <f aca="false">+J$32*$I32*O$7</f>
        <v>628.895</v>
      </c>
      <c r="P32" s="3" t="n">
        <f aca="false">+K$32*$I32*P$7</f>
        <v>133.224</v>
      </c>
      <c r="Q32" s="3" t="n">
        <f aca="false">+L$32*$I32*Q$7</f>
        <v>74.6425</v>
      </c>
      <c r="R32" s="3" t="n">
        <f aca="false">+M$32*$I32*R$7</f>
        <v>73.3285</v>
      </c>
      <c r="S32" s="3" t="n">
        <f aca="false">+N$32*$I32*S$7</f>
        <v>73.438</v>
      </c>
    </row>
    <row r="33" customFormat="false" ht="12.75" hidden="false" customHeight="false" outlineLevel="0" collapsed="false">
      <c r="A33" s="0" t="s">
        <v>34</v>
      </c>
      <c r="B33" s="3" t="n">
        <f aca="false">NPV($B$12,O33:AS33)</f>
        <v>1117.51840005072</v>
      </c>
      <c r="C33" s="18" t="n">
        <f aca="false">+'NPV '!C33</f>
        <v>0.134607001522036</v>
      </c>
      <c r="D33" s="18" t="n">
        <f aca="false">+'NPV '!D33</f>
        <v>0.148134602452731</v>
      </c>
      <c r="E33" s="3" t="n">
        <f aca="false">SUM(O33:AS33)</f>
        <v>2082.02</v>
      </c>
      <c r="F33" s="0" t="n">
        <v>15</v>
      </c>
      <c r="G33" s="0" t="n">
        <f aca="false">+F33*12</f>
        <v>180</v>
      </c>
      <c r="H33" s="0" t="n">
        <f aca="false">SUM($O$11:$AC$11)</f>
        <v>5479</v>
      </c>
      <c r="I33" s="2" t="n">
        <v>1</v>
      </c>
      <c r="J33" s="1" t="n">
        <v>0.38</v>
      </c>
      <c r="K33" s="1"/>
      <c r="L33" s="1"/>
      <c r="M33" s="1"/>
      <c r="N33" s="1"/>
      <c r="O33" s="3" t="n">
        <f aca="false">+$J33*$I33*O$11</f>
        <v>138.7</v>
      </c>
      <c r="P33" s="3" t="n">
        <f aca="false">+$J33*$I33*P$11</f>
        <v>139.08</v>
      </c>
      <c r="Q33" s="3" t="n">
        <f aca="false">+$J33*$I33*Q$11</f>
        <v>138.7</v>
      </c>
      <c r="R33" s="3" t="n">
        <f aca="false">+$J33*$I33*R$11</f>
        <v>138.7</v>
      </c>
      <c r="S33" s="3" t="n">
        <f aca="false">+$J33*$I33*S$11</f>
        <v>138.7</v>
      </c>
      <c r="T33" s="3" t="n">
        <f aca="false">+$J33*$I33*T$11</f>
        <v>139.08</v>
      </c>
      <c r="U33" s="3" t="n">
        <f aca="false">+$J33*$I33*U$11</f>
        <v>138.7</v>
      </c>
      <c r="V33" s="3" t="n">
        <f aca="false">+$J33*$I33*V$11</f>
        <v>138.7</v>
      </c>
      <c r="W33" s="3" t="n">
        <f aca="false">+$J33*$I33*W$11</f>
        <v>138.7</v>
      </c>
      <c r="X33" s="3" t="n">
        <f aca="false">+$J33*$I33*X$11</f>
        <v>139.08</v>
      </c>
      <c r="Y33" s="3" t="n">
        <f aca="false">+$J33*$I33*Y$11</f>
        <v>138.7</v>
      </c>
      <c r="Z33" s="3" t="n">
        <f aca="false">+$J33*$I33*Z$11</f>
        <v>138.7</v>
      </c>
      <c r="AA33" s="3" t="n">
        <f aca="false">+$J33*$I33*AA$11</f>
        <v>138.7</v>
      </c>
      <c r="AB33" s="3" t="n">
        <f aca="false">+$J33*$I33*AB$11</f>
        <v>139.08</v>
      </c>
      <c r="AC33" s="3" t="n">
        <f aca="false">+$J33*$I33*AC$11</f>
        <v>138.7</v>
      </c>
    </row>
    <row r="34" customFormat="false" ht="12.75" hidden="false" customHeight="false" outlineLevel="0" collapsed="false">
      <c r="A34" s="0" t="s">
        <v>34</v>
      </c>
      <c r="B34" s="3" t="n">
        <f aca="false">NPV($B$12,O34:AS34)</f>
        <v>736.562098697487</v>
      </c>
      <c r="C34" s="18" t="n">
        <f aca="false">+'NPV '!C34</f>
        <v>2.01910502283054</v>
      </c>
      <c r="D34" s="18" t="n">
        <f aca="false">+'NPV '!D34</f>
        <v>1.91304347826087</v>
      </c>
      <c r="E34" s="3" t="n">
        <f aca="false">SUM(O34:AS34)</f>
        <v>803</v>
      </c>
      <c r="F34" s="0" t="n">
        <v>1</v>
      </c>
      <c r="G34" s="0" t="n">
        <f aca="false">+F34*12</f>
        <v>12</v>
      </c>
      <c r="H34" s="0" t="n">
        <f aca="false">SUM($O$11)</f>
        <v>365</v>
      </c>
      <c r="I34" s="2" t="n">
        <v>1</v>
      </c>
      <c r="J34" s="1" t="n">
        <v>2.2</v>
      </c>
      <c r="K34" s="1"/>
      <c r="L34" s="1"/>
      <c r="M34" s="1"/>
      <c r="N34" s="1"/>
      <c r="O34" s="3" t="n">
        <f aca="false">+$J34*$I34*O$11</f>
        <v>803</v>
      </c>
    </row>
    <row r="35" customFormat="false" ht="12.75" hidden="false" customHeight="false" outlineLevel="0" collapsed="false">
      <c r="A35" s="0" t="s">
        <v>34</v>
      </c>
      <c r="B35" s="3" t="n">
        <f aca="false">NPV($B$12,O35:AS35)</f>
        <v>736.562098697487</v>
      </c>
      <c r="C35" s="18" t="n">
        <f aca="false">+'NPV '!C35</f>
        <v>2.01910502283054</v>
      </c>
      <c r="D35" s="18" t="n">
        <f aca="false">+'NPV '!D35</f>
        <v>1.91304347826087</v>
      </c>
      <c r="E35" s="3" t="n">
        <f aca="false">SUM(O35:AS35)</f>
        <v>803</v>
      </c>
      <c r="F35" s="0" t="n">
        <v>1</v>
      </c>
      <c r="G35" s="0" t="n">
        <f aca="false">+F35*12</f>
        <v>12</v>
      </c>
      <c r="H35" s="0" t="n">
        <f aca="false">SUM($O$11)</f>
        <v>365</v>
      </c>
      <c r="I35" s="2" t="n">
        <v>1</v>
      </c>
      <c r="J35" s="1" t="n">
        <v>2.2</v>
      </c>
      <c r="K35" s="1"/>
      <c r="L35" s="1"/>
      <c r="M35" s="1"/>
      <c r="N35" s="1"/>
      <c r="O35" s="3" t="n">
        <f aca="false">+$J35*$I35*O$11</f>
        <v>803</v>
      </c>
    </row>
    <row r="36" customFormat="false" ht="12.75" hidden="false" customHeight="false" outlineLevel="0" collapsed="false">
      <c r="A36" s="0" t="s">
        <v>35</v>
      </c>
      <c r="B36" s="3" t="n">
        <f aca="false">NPV($B$12,O36:AS36)</f>
        <v>922.887968744599</v>
      </c>
      <c r="C36" s="18" t="n">
        <f aca="false">+'NPV '!C36</f>
        <v>0.403821004566109</v>
      </c>
      <c r="D36" s="18" t="n">
        <f aca="false">+'NPV '!D36</f>
        <v>0.435810673815415</v>
      </c>
      <c r="E36" s="3" t="n">
        <f aca="false">SUM(O36:AS36)</f>
        <v>1186.9</v>
      </c>
      <c r="F36" s="0" t="n">
        <v>5</v>
      </c>
      <c r="G36" s="0" t="n">
        <f aca="false">+F36*12</f>
        <v>60</v>
      </c>
      <c r="H36" s="0" t="n">
        <f aca="false">SUM($O$11:$S$11)</f>
        <v>1826</v>
      </c>
      <c r="I36" s="2" t="n">
        <v>1</v>
      </c>
      <c r="J36" s="1" t="n">
        <v>0.65</v>
      </c>
      <c r="K36" s="1"/>
      <c r="L36" s="1"/>
      <c r="M36" s="1"/>
      <c r="N36" s="1"/>
      <c r="O36" s="3" t="n">
        <f aca="false">+$J36*$I36*O$11</f>
        <v>237.25</v>
      </c>
      <c r="P36" s="3" t="n">
        <f aca="false">+$J36*$I36*P$11</f>
        <v>237.9</v>
      </c>
      <c r="Q36" s="3" t="n">
        <f aca="false">+$J36*$I36*Q$11</f>
        <v>237.25</v>
      </c>
      <c r="R36" s="3" t="n">
        <f aca="false">+$J36*$I36*R$11</f>
        <v>237.25</v>
      </c>
      <c r="S36" s="3" t="n">
        <f aca="false">+$J36*$I36*S$11</f>
        <v>237.25</v>
      </c>
    </row>
    <row r="37" customFormat="false" ht="12.75" hidden="false" customHeight="false" outlineLevel="0" collapsed="false">
      <c r="A37" s="0" t="s">
        <v>35</v>
      </c>
      <c r="B37" s="3" t="n">
        <f aca="false">NPV($B$12,O37:AS37)</f>
        <v>212.974146633369</v>
      </c>
      <c r="C37" s="18" t="n">
        <f aca="false">+'NPV '!C37</f>
        <v>0.403821004566109</v>
      </c>
      <c r="D37" s="18" t="n">
        <f aca="false">+'NPV '!D37</f>
        <v>0.100571693957404</v>
      </c>
      <c r="E37" s="3" t="n">
        <f aca="false">SUM(O37:AS37)</f>
        <v>273.9</v>
      </c>
      <c r="F37" s="0" t="n">
        <v>5</v>
      </c>
      <c r="G37" s="0" t="n">
        <f aca="false">+F37*12</f>
        <v>60</v>
      </c>
      <c r="H37" s="0" t="n">
        <f aca="false">SUM($O$11:$S$11)</f>
        <v>1826</v>
      </c>
      <c r="I37" s="2" t="n">
        <v>1</v>
      </c>
      <c r="J37" s="1" t="n">
        <v>0.15</v>
      </c>
      <c r="K37" s="1"/>
      <c r="L37" s="1"/>
      <c r="M37" s="1"/>
      <c r="N37" s="1"/>
      <c r="O37" s="3" t="n">
        <f aca="false">+$J37*$I37*O$11</f>
        <v>54.75</v>
      </c>
      <c r="P37" s="3" t="n">
        <f aca="false">+$J37*$I37*P$11</f>
        <v>54.9</v>
      </c>
      <c r="Q37" s="3" t="n">
        <f aca="false">+$J37*$I37*Q$11</f>
        <v>54.75</v>
      </c>
      <c r="R37" s="3" t="n">
        <f aca="false">+$J37*$I37*R$11</f>
        <v>54.75</v>
      </c>
      <c r="S37" s="3" t="n">
        <f aca="false">+$J37*$I37*S$11</f>
        <v>54.75</v>
      </c>
    </row>
    <row r="39" customFormat="false" ht="12.75" hidden="false" customHeight="false" outlineLevel="0" collapsed="false">
      <c r="A39" s="0" t="s">
        <v>45</v>
      </c>
      <c r="B39" s="3" t="n">
        <f aca="false">SUM(B14:B38)</f>
        <v>18910.6324834708</v>
      </c>
      <c r="E39" s="3" t="n">
        <f aca="false">SUM(E14:E38)</f>
        <v>30854.978</v>
      </c>
      <c r="H39" s="20" t="n">
        <f aca="false">SUM(H14:H38)</f>
        <v>64378</v>
      </c>
      <c r="I39" s="20" t="n">
        <f aca="false">SUM(I14:I38)</f>
        <v>24</v>
      </c>
    </row>
    <row r="41" customFormat="false" ht="12.75" hidden="false" customHeight="false" outlineLevel="0" collapsed="false">
      <c r="B41" s="18"/>
      <c r="C41" s="18"/>
      <c r="D41" s="18"/>
      <c r="E41" s="18"/>
    </row>
    <row r="42" customFormat="false" ht="12.75" hidden="false" customHeight="false" outlineLevel="0" collapsed="false">
      <c r="B42" s="0"/>
      <c r="C42" s="0"/>
      <c r="D42" s="0"/>
      <c r="E42" s="0"/>
    </row>
    <row r="43" customFormat="false" ht="12.75" hidden="false" customHeight="false" outlineLevel="0" collapsed="false">
      <c r="B43" s="0"/>
      <c r="C43" s="0"/>
      <c r="D43" s="0"/>
      <c r="E43" s="0"/>
    </row>
    <row r="44" customFormat="false" ht="12.75" hidden="false" customHeight="false" outlineLevel="0" collapsed="false">
      <c r="B44" s="0"/>
      <c r="C44" s="0"/>
      <c r="D44" s="0"/>
      <c r="E44" s="0"/>
    </row>
    <row r="45" customFormat="false" ht="12.75" hidden="false" customHeight="false" outlineLevel="0" collapsed="false">
      <c r="B45" s="0"/>
      <c r="C45" s="0"/>
      <c r="D45" s="0"/>
      <c r="E45" s="0"/>
    </row>
    <row r="46" customFormat="false" ht="12.75" hidden="false" customHeight="false" outlineLevel="0" collapsed="false">
      <c r="B46" s="0"/>
      <c r="C46" s="0"/>
      <c r="D46" s="0"/>
      <c r="E46" s="0"/>
    </row>
    <row r="47" customFormat="false" ht="12.75" hidden="false" customHeight="false" outlineLevel="0" collapsed="false">
      <c r="B47" s="0"/>
      <c r="C47" s="0"/>
      <c r="D47" s="0"/>
      <c r="E47" s="0"/>
    </row>
    <row r="48" customFormat="false" ht="12.75" hidden="false" customHeight="false" outlineLevel="0" collapsed="false">
      <c r="B48" s="0"/>
      <c r="C48" s="0"/>
      <c r="D48" s="0"/>
      <c r="E48" s="0"/>
    </row>
    <row r="49" customFormat="false" ht="12.75" hidden="false" customHeight="false" outlineLevel="0" collapsed="false">
      <c r="B49" s="0"/>
      <c r="C49" s="0"/>
      <c r="D49" s="0"/>
      <c r="E49" s="0"/>
    </row>
    <row r="50" customFormat="false" ht="12.75" hidden="false" customHeight="false" outlineLevel="0" collapsed="false">
      <c r="B50" s="0"/>
      <c r="C50" s="0"/>
      <c r="D50" s="0"/>
      <c r="E50" s="0"/>
    </row>
    <row r="51" customFormat="false" ht="12.75" hidden="false" customHeight="false" outlineLevel="0" collapsed="false">
      <c r="B51" s="0"/>
      <c r="C51" s="0"/>
      <c r="D51" s="0"/>
      <c r="E51" s="0"/>
    </row>
  </sheetData>
  <printOptions headings="false" gridLines="false" gridLinesSet="true" horizontalCentered="false" verticalCentered="false"/>
  <pageMargins left="0.25" right="0.279861111111111" top="0.479861111111111" bottom="0.49027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3" width="13.28"/>
    <col collapsed="false" customWidth="true" hidden="false" outlineLevel="0" max="3" min="3" style="18" width="13.28"/>
    <col collapsed="false" customWidth="true" hidden="false" outlineLevel="0" max="5" min="4" style="3" width="13.28"/>
    <col collapsed="false" customWidth="true" hidden="false" outlineLevel="0" max="6" min="6" style="0" width="14.7"/>
    <col collapsed="false" customWidth="true" hidden="false" outlineLevel="0" max="7" min="7" style="0" width="12.99"/>
    <col collapsed="false" customWidth="true" hidden="false" outlineLevel="0" max="8" min="8" style="0" width="11.13"/>
    <col collapsed="false" customWidth="true" hidden="false" outlineLevel="0" max="9" min="9" style="0" width="8.7"/>
    <col collapsed="false" customWidth="true" hidden="false" outlineLevel="0" max="14" min="10" style="0" width="8.85"/>
    <col collapsed="false" customWidth="true" hidden="false" outlineLevel="0" max="19" min="15" style="0" width="12.28"/>
    <col collapsed="false" customWidth="true" hidden="false" outlineLevel="0" max="44" min="20" style="0" width="11.28"/>
    <col collapsed="false" customWidth="true" hidden="false" outlineLevel="0" max="45" min="45" style="0" width="9.7"/>
  </cols>
  <sheetData>
    <row r="1" customFormat="false" ht="15.75" hidden="false" customHeight="false" outlineLevel="0" collapsed="false">
      <c r="A1" s="4" t="s">
        <v>0</v>
      </c>
    </row>
    <row r="2" customFormat="false" ht="15.75" hidden="false" customHeight="false" outlineLevel="0" collapsed="false">
      <c r="A2" s="4" t="s">
        <v>1</v>
      </c>
    </row>
    <row r="3" customFormat="false" ht="15.75" hidden="false" customHeight="false" outlineLevel="0" collapsed="false">
      <c r="A3" s="4" t="s">
        <v>2</v>
      </c>
    </row>
    <row r="4" customFormat="false" ht="12.75" hidden="false" customHeight="false" outlineLevel="0" collapsed="false">
      <c r="O4" s="9" t="n">
        <v>1</v>
      </c>
      <c r="P4" s="9" t="n">
        <v>2</v>
      </c>
      <c r="Q4" s="9" t="n">
        <v>3</v>
      </c>
      <c r="R4" s="9" t="n">
        <v>4</v>
      </c>
      <c r="S4" s="9" t="n">
        <v>5</v>
      </c>
      <c r="T4" s="9" t="n">
        <v>6</v>
      </c>
      <c r="U4" s="9" t="n">
        <v>7</v>
      </c>
      <c r="V4" s="9" t="n">
        <v>8</v>
      </c>
      <c r="W4" s="9" t="n">
        <v>9</v>
      </c>
      <c r="X4" s="9" t="n">
        <v>10</v>
      </c>
      <c r="Y4" s="9" t="n">
        <v>11</v>
      </c>
      <c r="Z4" s="9" t="n">
        <v>12</v>
      </c>
      <c r="AA4" s="9" t="n">
        <v>13</v>
      </c>
      <c r="AB4" s="9" t="n">
        <v>14</v>
      </c>
      <c r="AC4" s="9" t="n">
        <v>15</v>
      </c>
      <c r="AD4" s="9" t="n">
        <v>16</v>
      </c>
      <c r="AE4" s="9" t="n">
        <v>17</v>
      </c>
      <c r="AF4" s="9" t="n">
        <v>18</v>
      </c>
      <c r="AG4" s="9" t="n">
        <v>19</v>
      </c>
      <c r="AH4" s="9" t="n">
        <v>20</v>
      </c>
      <c r="AI4" s="9" t="n">
        <v>21</v>
      </c>
      <c r="AJ4" s="9" t="n">
        <v>22</v>
      </c>
      <c r="AK4" s="9" t="n">
        <v>23</v>
      </c>
      <c r="AL4" s="9" t="n">
        <v>24</v>
      </c>
      <c r="AM4" s="9" t="n">
        <v>25</v>
      </c>
      <c r="AN4" s="9" t="n">
        <v>26</v>
      </c>
      <c r="AO4" s="9" t="n">
        <v>27</v>
      </c>
      <c r="AP4" s="9" t="n">
        <v>28</v>
      </c>
      <c r="AQ4" s="9" t="n">
        <v>29</v>
      </c>
      <c r="AR4" s="9" t="n">
        <v>30</v>
      </c>
      <c r="AS4" s="9" t="n">
        <v>31</v>
      </c>
    </row>
    <row r="5" customFormat="false" ht="12.75" hidden="false" customHeight="false" outlineLevel="0" collapsed="false">
      <c r="A5" s="0" t="s">
        <v>36</v>
      </c>
      <c r="O5" s="0" t="n">
        <f aca="false">"1/1/03"-"6/01/2002"</f>
        <v>214</v>
      </c>
      <c r="P5" s="0" t="n">
        <f aca="false">"1/1/04"-"6/01/2003"</f>
        <v>214</v>
      </c>
      <c r="Q5" s="0" t="n">
        <f aca="false">"1/1/05"-"6/01/2004"</f>
        <v>214</v>
      </c>
      <c r="R5" s="0" t="n">
        <f aca="false">"1/1/06"-"6/01/2005"</f>
        <v>214</v>
      </c>
      <c r="S5" s="0" t="n">
        <f aca="false">"1/1/07"-"6/01/2006"</f>
        <v>214</v>
      </c>
    </row>
    <row r="6" customFormat="false" ht="12.75" hidden="false" customHeight="false" outlineLevel="0" collapsed="false">
      <c r="A6" s="0" t="s">
        <v>36</v>
      </c>
      <c r="O6" s="0" t="n">
        <f aca="false">"6/01/03"-"1/01/03"</f>
        <v>151</v>
      </c>
      <c r="P6" s="0" t="n">
        <f aca="false">"6/01/04"-"1/01/04"</f>
        <v>152</v>
      </c>
      <c r="Q6" s="0" t="n">
        <f aca="false">"6/01/05"-"1/01/05"</f>
        <v>151</v>
      </c>
      <c r="R6" s="0" t="n">
        <f aca="false">"6/01/06"-"1/01/06"</f>
        <v>151</v>
      </c>
      <c r="S6" s="0" t="n">
        <f aca="false">"6/01/07"-"1/01/07"</f>
        <v>151</v>
      </c>
    </row>
    <row r="7" customFormat="false" ht="12.75" hidden="false" customHeight="false" outlineLevel="0" collapsed="false">
      <c r="A7" s="0" t="s">
        <v>37</v>
      </c>
      <c r="O7" s="0" t="n">
        <f aca="false">"6/1/03"-"6/1/02"</f>
        <v>365</v>
      </c>
      <c r="P7" s="0" t="n">
        <f aca="false">"12/31/04"-"12/31/03"</f>
        <v>366</v>
      </c>
      <c r="Q7" s="0" t="n">
        <f aca="false">"12/31/05"-"12/31/04"</f>
        <v>365</v>
      </c>
      <c r="R7" s="0" t="n">
        <f aca="false">"12/31/06"-"12/31/05"</f>
        <v>365</v>
      </c>
      <c r="S7" s="0" t="n">
        <f aca="false">"12/31/07"-"12/31/06"</f>
        <v>365</v>
      </c>
    </row>
    <row r="8" customFormat="false" ht="12.75" hidden="false" customHeight="false" outlineLevel="0" collapsed="false">
      <c r="A8" s="0" t="s">
        <v>27</v>
      </c>
      <c r="O8" s="0" t="n">
        <f aca="false">"6/1/03"-"6/1/02"</f>
        <v>365</v>
      </c>
      <c r="P8" s="0" t="n">
        <f aca="false">"6/1/04"-"6/1/03"</f>
        <v>366</v>
      </c>
      <c r="Q8" s="0" t="n">
        <f aca="false">"6/1/05"-"6/1/04"</f>
        <v>365</v>
      </c>
      <c r="R8" s="0" t="n">
        <f aca="false">"6/1/06"-"6/1/05"</f>
        <v>365</v>
      </c>
      <c r="S8" s="0" t="n">
        <f aca="false">"6/1/07"-"6/1/06"</f>
        <v>365</v>
      </c>
      <c r="T8" s="0" t="n">
        <f aca="false">"6/1/08"-"6/1/07"</f>
        <v>366</v>
      </c>
      <c r="U8" s="0" t="n">
        <f aca="false">"6/1/09"-"6/1/08"</f>
        <v>365</v>
      </c>
      <c r="V8" s="0" t="n">
        <f aca="false">"6/1/2010"-"6/1/09"</f>
        <v>365</v>
      </c>
      <c r="W8" s="0" t="n">
        <f aca="false">"6/1/2011"-"6/1/2010"</f>
        <v>365</v>
      </c>
      <c r="X8" s="0" t="n">
        <f aca="false">"6/1/2012"-"6/1/2011"</f>
        <v>366</v>
      </c>
      <c r="Y8" s="0" t="n">
        <f aca="false">"6/1/2013"-"6/1/2012"</f>
        <v>365</v>
      </c>
      <c r="Z8" s="0" t="n">
        <f aca="false">"6/1/2014"-"6/1/2013"</f>
        <v>365</v>
      </c>
      <c r="AA8" s="0" t="n">
        <f aca="false">"9/1/2014"-"6/1/2014"</f>
        <v>92</v>
      </c>
    </row>
    <row r="9" customFormat="false" ht="12.75" hidden="false" customHeight="false" outlineLevel="0" collapsed="false">
      <c r="A9" s="0" t="s">
        <v>24</v>
      </c>
      <c r="O9" s="0" t="n">
        <f aca="false">"4/1/03"-"6/1/02"</f>
        <v>304</v>
      </c>
    </row>
    <row r="10" customFormat="false" ht="12.75" hidden="false" customHeight="false" outlineLevel="0" collapsed="false">
      <c r="A10" s="0" t="s">
        <v>24</v>
      </c>
      <c r="O10" s="0" t="n">
        <f aca="false">"6/1/03"-"4/1/03"</f>
        <v>61</v>
      </c>
      <c r="P10" s="0" t="n">
        <f aca="false">"4/1/2004"-"6/1/03"</f>
        <v>305</v>
      </c>
    </row>
    <row r="11" customFormat="false" ht="13.5" hidden="false" customHeight="false" outlineLevel="0" collapsed="false">
      <c r="A11" s="0" t="s">
        <v>38</v>
      </c>
      <c r="E11" s="10"/>
      <c r="O11" s="0" t="n">
        <f aca="false">"6/1/03"-"6/1/02"</f>
        <v>365</v>
      </c>
      <c r="P11" s="0" t="n">
        <f aca="false">"6/1/04"-"6/1/03"</f>
        <v>366</v>
      </c>
      <c r="Q11" s="0" t="n">
        <f aca="false">"6/1/05"-"6/1/04"</f>
        <v>365</v>
      </c>
      <c r="R11" s="0" t="n">
        <f aca="false">"6/1/06"-"6/1/05"</f>
        <v>365</v>
      </c>
      <c r="S11" s="0" t="n">
        <f aca="false">"6/1/07"-"6/1/06"</f>
        <v>365</v>
      </c>
      <c r="T11" s="0" t="n">
        <f aca="false">"6/1/08"-"6/1/07"</f>
        <v>366</v>
      </c>
      <c r="U11" s="0" t="n">
        <f aca="false">"6/1/09"-"6/1/08"</f>
        <v>365</v>
      </c>
      <c r="V11" s="0" t="n">
        <f aca="false">"6/1/2010"-"6/1/09"</f>
        <v>365</v>
      </c>
      <c r="W11" s="0" t="n">
        <f aca="false">"6/1/2011"-"6/1/2010"</f>
        <v>365</v>
      </c>
      <c r="X11" s="0" t="n">
        <f aca="false">"6/1/2012"-"6/1/2011"</f>
        <v>366</v>
      </c>
      <c r="Y11" s="0" t="n">
        <f aca="false">"6/1/2013"-"6/1/2012"</f>
        <v>365</v>
      </c>
      <c r="Z11" s="0" t="n">
        <f aca="false">"6/1/2014"-"6/1/2013"</f>
        <v>365</v>
      </c>
      <c r="AA11" s="0" t="n">
        <f aca="false">"6/1/2015"-"6/1/2014"</f>
        <v>365</v>
      </c>
      <c r="AB11" s="0" t="n">
        <f aca="false">"6/1/2016"-"6/1/2015"</f>
        <v>366</v>
      </c>
      <c r="AC11" s="0" t="n">
        <f aca="false">"6/1/2017"-"6/1/2016"</f>
        <v>365</v>
      </c>
      <c r="AD11" s="0" t="n">
        <f aca="false">"6/1/2018"-"6/1/2017"</f>
        <v>365</v>
      </c>
      <c r="AE11" s="0" t="n">
        <f aca="false">"6/1/2019"-"6/1/2018"</f>
        <v>365</v>
      </c>
      <c r="AF11" s="0" t="n">
        <f aca="false">"6/1/2020"-"6/1/2019"</f>
        <v>366</v>
      </c>
      <c r="AG11" s="0" t="n">
        <f aca="false">"6/1/2021"-"6/1/2020"</f>
        <v>365</v>
      </c>
      <c r="AH11" s="0" t="n">
        <f aca="false">"6/1/2022"-"6/1/2021"</f>
        <v>365</v>
      </c>
      <c r="AI11" s="0" t="n">
        <f aca="false">"6/1/2023"-"6/1/2022"</f>
        <v>365</v>
      </c>
      <c r="AJ11" s="0" t="n">
        <f aca="false">"6/1/2024"-"6/1/2023"</f>
        <v>366</v>
      </c>
      <c r="AK11" s="0" t="n">
        <f aca="false">"6/1/2025"-"6/1/2024"</f>
        <v>365</v>
      </c>
      <c r="AL11" s="0" t="n">
        <f aca="false">"6/1/2026"-"6/1/2025"</f>
        <v>365</v>
      </c>
      <c r="AM11" s="0" t="n">
        <f aca="false">"6/1/2027"-"6/1/2026"</f>
        <v>365</v>
      </c>
      <c r="AN11" s="0" t="n">
        <f aca="false">"6/1/2028"-"6/1/2027"</f>
        <v>366</v>
      </c>
      <c r="AO11" s="0" t="n">
        <f aca="false">"6/1/2029"-"6/1/2028"</f>
        <v>365</v>
      </c>
      <c r="AP11" s="0" t="n">
        <f aca="false">"6/1/2030"-"6/1/2029"</f>
        <v>365</v>
      </c>
      <c r="AQ11" s="0" t="n">
        <f aca="false">"6/1/2031"-"6/1/2030"</f>
        <v>365</v>
      </c>
      <c r="AR11" s="0" t="n">
        <f aca="false">"6/1/2032"-"6/1/2031"</f>
        <v>366</v>
      </c>
      <c r="AS11" s="0" t="n">
        <f aca="false">"7/1/2031"-"6/1/2031"</f>
        <v>30</v>
      </c>
    </row>
    <row r="12" customFormat="false" ht="13.5" hidden="false" customHeight="false" outlineLevel="0" collapsed="false">
      <c r="A12" s="0" t="s">
        <v>39</v>
      </c>
      <c r="B12" s="10" t="n">
        <v>0.0902</v>
      </c>
      <c r="C12" s="21" t="n">
        <v>0.15</v>
      </c>
      <c r="D12" s="21" t="n">
        <v>0.15</v>
      </c>
      <c r="E12" s="10"/>
    </row>
    <row r="13" customFormat="false" ht="13.5" hidden="false" customHeight="false" outlineLevel="0" collapsed="false">
      <c r="A13" s="5" t="s">
        <v>3</v>
      </c>
      <c r="B13" s="13" t="s">
        <v>40</v>
      </c>
      <c r="C13" s="22" t="s">
        <v>46</v>
      </c>
      <c r="D13" s="13" t="s">
        <v>47</v>
      </c>
      <c r="E13" s="13" t="s">
        <v>41</v>
      </c>
      <c r="F13" s="6" t="s">
        <v>42</v>
      </c>
      <c r="G13" s="6" t="s">
        <v>43</v>
      </c>
      <c r="H13" s="6" t="s">
        <v>44</v>
      </c>
      <c r="I13" s="6" t="s">
        <v>13</v>
      </c>
      <c r="J13" s="6" t="s">
        <v>4</v>
      </c>
      <c r="K13" s="6" t="s">
        <v>5</v>
      </c>
      <c r="L13" s="6" t="s">
        <v>6</v>
      </c>
      <c r="M13" s="6" t="s">
        <v>7</v>
      </c>
      <c r="N13" s="6" t="s">
        <v>8</v>
      </c>
      <c r="O13" s="16" t="n">
        <v>37408</v>
      </c>
      <c r="P13" s="16" t="n">
        <v>37773</v>
      </c>
      <c r="Q13" s="16" t="n">
        <v>38139</v>
      </c>
      <c r="R13" s="16" t="n">
        <v>38504</v>
      </c>
      <c r="S13" s="16" t="n">
        <v>38869</v>
      </c>
      <c r="T13" s="16" t="n">
        <v>39234</v>
      </c>
      <c r="U13" s="16" t="n">
        <v>39600</v>
      </c>
      <c r="V13" s="16" t="n">
        <v>39965</v>
      </c>
      <c r="W13" s="16" t="n">
        <v>40330</v>
      </c>
      <c r="X13" s="16" t="n">
        <v>40695</v>
      </c>
      <c r="Y13" s="16" t="n">
        <v>41061</v>
      </c>
      <c r="Z13" s="16" t="n">
        <v>41426</v>
      </c>
      <c r="AA13" s="16" t="n">
        <v>41791</v>
      </c>
      <c r="AB13" s="16" t="n">
        <v>42156</v>
      </c>
      <c r="AC13" s="16" t="n">
        <v>42522</v>
      </c>
      <c r="AD13" s="16" t="n">
        <v>42887</v>
      </c>
      <c r="AE13" s="16" t="n">
        <v>43252</v>
      </c>
      <c r="AF13" s="16" t="n">
        <v>43617</v>
      </c>
      <c r="AG13" s="16" t="n">
        <v>43983</v>
      </c>
      <c r="AH13" s="16" t="n">
        <v>44348</v>
      </c>
      <c r="AI13" s="16" t="n">
        <v>44713</v>
      </c>
      <c r="AJ13" s="16" t="n">
        <v>45078</v>
      </c>
      <c r="AK13" s="16" t="n">
        <v>45444</v>
      </c>
      <c r="AL13" s="16" t="n">
        <v>45809</v>
      </c>
      <c r="AM13" s="16" t="n">
        <v>46174</v>
      </c>
      <c r="AN13" s="16" t="n">
        <v>46539</v>
      </c>
      <c r="AO13" s="16" t="n">
        <v>46905</v>
      </c>
      <c r="AP13" s="16" t="n">
        <v>47270</v>
      </c>
      <c r="AQ13" s="16" t="n">
        <v>47635</v>
      </c>
      <c r="AR13" s="16" t="n">
        <v>48000</v>
      </c>
      <c r="AS13" s="17" t="n">
        <v>11505</v>
      </c>
    </row>
    <row r="14" customFormat="false" ht="12.75" hidden="false" customHeight="false" outlineLevel="0" collapsed="false">
      <c r="A14" s="0" t="s">
        <v>14</v>
      </c>
      <c r="B14" s="3" t="n">
        <f aca="false">NPV(B$12,O14:AS14)</f>
        <v>10494413.1925585</v>
      </c>
      <c r="C14" s="18" t="n">
        <f aca="false">+C45</f>
        <v>0.0673035007610347</v>
      </c>
      <c r="D14" s="18" t="n">
        <f aca="false">NPV(D$12,O14:AS14)/(I14*H14)</f>
        <v>0.0764063272749992</v>
      </c>
      <c r="E14" s="3" t="n">
        <f aca="false">SUM(O14:AS14)</f>
        <v>30766400</v>
      </c>
      <c r="F14" s="0" t="s">
        <v>15</v>
      </c>
      <c r="G14" s="0" t="n">
        <v>361</v>
      </c>
      <c r="H14" s="0" t="n">
        <f aca="false">SUM($O$11:$AS$11)</f>
        <v>10988</v>
      </c>
      <c r="I14" s="2" t="n">
        <v>8000</v>
      </c>
      <c r="J14" s="1" t="n">
        <v>0.35</v>
      </c>
      <c r="K14" s="1"/>
      <c r="L14" s="1"/>
      <c r="M14" s="1"/>
      <c r="N14" s="1"/>
      <c r="O14" s="3" t="n">
        <f aca="false">+$J14*$I14*O$11</f>
        <v>1022000</v>
      </c>
      <c r="P14" s="3" t="n">
        <f aca="false">+$J14*$I14*P$11</f>
        <v>1024800</v>
      </c>
      <c r="Q14" s="3" t="n">
        <f aca="false">+$J14*$I14*Q$11</f>
        <v>1022000</v>
      </c>
      <c r="R14" s="3" t="n">
        <f aca="false">+$J14*$I14*R$11</f>
        <v>1022000</v>
      </c>
      <c r="S14" s="3" t="n">
        <f aca="false">+$J14*$I14*S$11</f>
        <v>1022000</v>
      </c>
      <c r="T14" s="3" t="n">
        <f aca="false">+$J14*$I14*T$11</f>
        <v>1024800</v>
      </c>
      <c r="U14" s="3" t="n">
        <f aca="false">+$J14*$I14*U$11</f>
        <v>1022000</v>
      </c>
      <c r="V14" s="3" t="n">
        <f aca="false">+$J14*$I14*V$11</f>
        <v>1022000</v>
      </c>
      <c r="W14" s="3" t="n">
        <f aca="false">+$J14*$I14*W$11</f>
        <v>1022000</v>
      </c>
      <c r="X14" s="3" t="n">
        <f aca="false">+$J14*$I14*X$11</f>
        <v>1024800</v>
      </c>
      <c r="Y14" s="3" t="n">
        <f aca="false">+$J14*$I14*Y$11</f>
        <v>1022000</v>
      </c>
      <c r="Z14" s="3" t="n">
        <f aca="false">+$J14*$I14*Z$11</f>
        <v>1022000</v>
      </c>
      <c r="AA14" s="3" t="n">
        <f aca="false">+$J14*$I14*AA$11</f>
        <v>1022000</v>
      </c>
      <c r="AB14" s="3" t="n">
        <f aca="false">+$J14*$I14*AB$11</f>
        <v>1024800</v>
      </c>
      <c r="AC14" s="3" t="n">
        <f aca="false">+$J14*$I14*AC$11</f>
        <v>1022000</v>
      </c>
      <c r="AD14" s="3" t="n">
        <f aca="false">+$J14*$I14*AD$11</f>
        <v>1022000</v>
      </c>
      <c r="AE14" s="3" t="n">
        <f aca="false">+$J14*$I14*AE$11</f>
        <v>1022000</v>
      </c>
      <c r="AF14" s="3" t="n">
        <f aca="false">+$J14*$I14*AF$11</f>
        <v>1024800</v>
      </c>
      <c r="AG14" s="3" t="n">
        <f aca="false">+$J14*$I14*AG$11</f>
        <v>1022000</v>
      </c>
      <c r="AH14" s="3" t="n">
        <f aca="false">+$J14*$I14*AH$11</f>
        <v>1022000</v>
      </c>
      <c r="AI14" s="3" t="n">
        <f aca="false">+$J14*$I14*AI$11</f>
        <v>1022000</v>
      </c>
      <c r="AJ14" s="3" t="n">
        <f aca="false">+$J14*$I14*AJ$11</f>
        <v>1024800</v>
      </c>
      <c r="AK14" s="3" t="n">
        <f aca="false">+$J14*$I14*AK$11</f>
        <v>1022000</v>
      </c>
      <c r="AL14" s="3" t="n">
        <f aca="false">+$J14*$I14*AL$11</f>
        <v>1022000</v>
      </c>
      <c r="AM14" s="3" t="n">
        <f aca="false">+$J14*$I14*AM$11</f>
        <v>1022000</v>
      </c>
      <c r="AN14" s="3" t="n">
        <f aca="false">+$J14*$I14*AN$11</f>
        <v>1024800</v>
      </c>
      <c r="AO14" s="3" t="n">
        <f aca="false">+$J14*$I14*AO$11</f>
        <v>1022000</v>
      </c>
      <c r="AP14" s="3" t="n">
        <f aca="false">+$J14*$I14*AP$11</f>
        <v>1022000</v>
      </c>
      <c r="AQ14" s="3" t="n">
        <f aca="false">+$J14*$I14*AQ$11</f>
        <v>1022000</v>
      </c>
      <c r="AR14" s="3" t="n">
        <f aca="false">+$J14*$I14*AR$11</f>
        <v>1024800</v>
      </c>
      <c r="AS14" s="3" t="n">
        <f aca="false">+$J14*$I14*AS$11</f>
        <v>84000</v>
      </c>
    </row>
    <row r="15" customFormat="false" ht="12.75" hidden="false" customHeight="false" outlineLevel="0" collapsed="false">
      <c r="A15" s="0" t="s">
        <v>14</v>
      </c>
      <c r="B15" s="3" t="n">
        <f aca="false">NPV($B$12,O15:AS15)</f>
        <v>17990422.6158145</v>
      </c>
      <c r="C15" s="18" t="n">
        <f aca="false">+C45</f>
        <v>0.0673035007610347</v>
      </c>
      <c r="D15" s="18" t="n">
        <f aca="false">NPV(D$12,O15:AS15)/(I15*H15)</f>
        <v>0.0873215168857134</v>
      </c>
      <c r="E15" s="3" t="n">
        <f aca="false">SUM(O15:AS15)</f>
        <v>52742400</v>
      </c>
      <c r="F15" s="0" t="s">
        <v>15</v>
      </c>
      <c r="G15" s="0" t="n">
        <v>361</v>
      </c>
      <c r="H15" s="0" t="n">
        <f aca="false">SUM($O$11:$AS$11)</f>
        <v>10988</v>
      </c>
      <c r="I15" s="2" t="n">
        <v>12000</v>
      </c>
      <c r="J15" s="1" t="n">
        <v>0.4</v>
      </c>
      <c r="K15" s="1"/>
      <c r="L15" s="1"/>
      <c r="M15" s="1"/>
      <c r="N15" s="1"/>
      <c r="O15" s="3" t="n">
        <f aca="false">+$J15*$I15*O$11</f>
        <v>1752000</v>
      </c>
      <c r="P15" s="3" t="n">
        <f aca="false">+$J15*$I15*P$11</f>
        <v>1756800</v>
      </c>
      <c r="Q15" s="3" t="n">
        <f aca="false">+$J15*$I15*Q$11</f>
        <v>1752000</v>
      </c>
      <c r="R15" s="3" t="n">
        <f aca="false">+$J15*$I15*R$11</f>
        <v>1752000</v>
      </c>
      <c r="S15" s="3" t="n">
        <f aca="false">+$J15*$I15*S$11</f>
        <v>1752000</v>
      </c>
      <c r="T15" s="3" t="n">
        <f aca="false">+$J15*$I15*T$11</f>
        <v>1756800</v>
      </c>
      <c r="U15" s="3" t="n">
        <f aca="false">+$J15*$I15*U$11</f>
        <v>1752000</v>
      </c>
      <c r="V15" s="3" t="n">
        <f aca="false">+$J15*$I15*V$11</f>
        <v>1752000</v>
      </c>
      <c r="W15" s="3" t="n">
        <f aca="false">+$J15*$I15*W$11</f>
        <v>1752000</v>
      </c>
      <c r="X15" s="3" t="n">
        <f aca="false">+$J15*$I15*X$11</f>
        <v>1756800</v>
      </c>
      <c r="Y15" s="3" t="n">
        <f aca="false">+$J15*$I15*Y$11</f>
        <v>1752000</v>
      </c>
      <c r="Z15" s="3" t="n">
        <f aca="false">+$J15*$I15*Z$11</f>
        <v>1752000</v>
      </c>
      <c r="AA15" s="3" t="n">
        <f aca="false">+$J15*$I15*AA$11</f>
        <v>1752000</v>
      </c>
      <c r="AB15" s="3" t="n">
        <f aca="false">+$J15*$I15*AB$11</f>
        <v>1756800</v>
      </c>
      <c r="AC15" s="3" t="n">
        <f aca="false">+$J15*$I15*AC$11</f>
        <v>1752000</v>
      </c>
      <c r="AD15" s="3" t="n">
        <f aca="false">+$J15*$I15*AD$11</f>
        <v>1752000</v>
      </c>
      <c r="AE15" s="3" t="n">
        <f aca="false">+$J15*$I15*AE$11</f>
        <v>1752000</v>
      </c>
      <c r="AF15" s="3" t="n">
        <f aca="false">+$J15*$I15*AF$11</f>
        <v>1756800</v>
      </c>
      <c r="AG15" s="3" t="n">
        <f aca="false">+$J15*$I15*AG$11</f>
        <v>1752000</v>
      </c>
      <c r="AH15" s="3" t="n">
        <f aca="false">+$J15*$I15*AH$11</f>
        <v>1752000</v>
      </c>
      <c r="AI15" s="3" t="n">
        <f aca="false">+$J15*$I15*AI$11</f>
        <v>1752000</v>
      </c>
      <c r="AJ15" s="3" t="n">
        <f aca="false">+$J15*$I15*AJ$11</f>
        <v>1756800</v>
      </c>
      <c r="AK15" s="3" t="n">
        <f aca="false">+$J15*$I15*AK$11</f>
        <v>1752000</v>
      </c>
      <c r="AL15" s="3" t="n">
        <f aca="false">+$J15*$I15*AL$11</f>
        <v>1752000</v>
      </c>
      <c r="AM15" s="3" t="n">
        <f aca="false">+$J15*$I15*AM$11</f>
        <v>1752000</v>
      </c>
      <c r="AN15" s="3" t="n">
        <f aca="false">+$J15*$I15*AN$11</f>
        <v>1756800</v>
      </c>
      <c r="AO15" s="3" t="n">
        <f aca="false">+$J15*$I15*AO$11</f>
        <v>1752000</v>
      </c>
      <c r="AP15" s="3" t="n">
        <f aca="false">+$J15*$I15*AP$11</f>
        <v>1752000</v>
      </c>
      <c r="AQ15" s="3" t="n">
        <f aca="false">+$J15*$I15*AQ$11</f>
        <v>1752000</v>
      </c>
      <c r="AR15" s="3" t="n">
        <f aca="false">+$J15*$I15*AR$11</f>
        <v>1756800</v>
      </c>
      <c r="AS15" s="3" t="n">
        <f aca="false">+$J15*$I15*AS$11</f>
        <v>144000</v>
      </c>
    </row>
    <row r="16" customFormat="false" ht="12.75" hidden="false" customHeight="false" outlineLevel="0" collapsed="false">
      <c r="A16" s="0" t="s">
        <v>19</v>
      </c>
      <c r="B16" s="3" t="n">
        <f aca="false">NPV($B$12,O16:AS16)</f>
        <v>5587592.00025361</v>
      </c>
      <c r="C16" s="18" t="n">
        <f aca="false">+$C$46</f>
        <v>0.134607001522036</v>
      </c>
      <c r="D16" s="18" t="n">
        <f aca="false">NPV(D$12,O16:AS16)/(I16*H16)</f>
        <v>0.148134602452731</v>
      </c>
      <c r="E16" s="3" t="n">
        <f aca="false">SUM(O16:AS16)</f>
        <v>10410100</v>
      </c>
      <c r="F16" s="0" t="n">
        <v>15</v>
      </c>
      <c r="G16" s="0" t="n">
        <f aca="false">+F16*12</f>
        <v>180</v>
      </c>
      <c r="H16" s="0" t="n">
        <f aca="false">SUM($O$11:$AC$11)</f>
        <v>5479</v>
      </c>
      <c r="I16" s="2" t="n">
        <v>5000</v>
      </c>
      <c r="J16" s="1" t="n">
        <v>0.38</v>
      </c>
      <c r="K16" s="1"/>
      <c r="L16" s="1"/>
      <c r="M16" s="1"/>
      <c r="N16" s="1"/>
      <c r="O16" s="3" t="n">
        <f aca="false">+$J16*$I16*O$11</f>
        <v>693500</v>
      </c>
      <c r="P16" s="3" t="n">
        <f aca="false">+$J16*$I16*P$11</f>
        <v>695400</v>
      </c>
      <c r="Q16" s="3" t="n">
        <f aca="false">+$J16*$I16*Q$11</f>
        <v>693500</v>
      </c>
      <c r="R16" s="3" t="n">
        <f aca="false">+$J16*$I16*R$11</f>
        <v>693500</v>
      </c>
      <c r="S16" s="3" t="n">
        <f aca="false">+$J16*$I16*S$11</f>
        <v>693500</v>
      </c>
      <c r="T16" s="3" t="n">
        <f aca="false">+$J16*$I16*T$11</f>
        <v>695400</v>
      </c>
      <c r="U16" s="3" t="n">
        <f aca="false">+$J16*$I16*U$11</f>
        <v>693500</v>
      </c>
      <c r="V16" s="3" t="n">
        <f aca="false">+$J16*$I16*V$11</f>
        <v>693500</v>
      </c>
      <c r="W16" s="3" t="n">
        <f aca="false">+$J16*$I16*W$11</f>
        <v>693500</v>
      </c>
      <c r="X16" s="3" t="n">
        <f aca="false">+$J16*$I16*X$11</f>
        <v>695400</v>
      </c>
      <c r="Y16" s="3" t="n">
        <f aca="false">+$J16*$I16*Y$11</f>
        <v>693500</v>
      </c>
      <c r="Z16" s="3" t="n">
        <f aca="false">+$J16*$I16*Z$11</f>
        <v>693500</v>
      </c>
      <c r="AA16" s="3" t="n">
        <f aca="false">+$J16*$I16*AA$11</f>
        <v>693500</v>
      </c>
      <c r="AB16" s="3" t="n">
        <f aca="false">+$J16*$I16*AB$11</f>
        <v>695400</v>
      </c>
      <c r="AC16" s="3" t="n">
        <f aca="false">+$J16*$I16*AC$11</f>
        <v>693500</v>
      </c>
    </row>
    <row r="17" customFormat="false" ht="12.75" hidden="false" customHeight="false" outlineLevel="0" collapsed="false">
      <c r="A17" s="0" t="s">
        <v>19</v>
      </c>
      <c r="B17" s="3" t="n">
        <f aca="false">NPV($B$12,O17:AS17)</f>
        <v>5734633.89499713</v>
      </c>
      <c r="C17" s="18" t="n">
        <f aca="false">+C46</f>
        <v>0.134607001522036</v>
      </c>
      <c r="D17" s="18" t="n">
        <f aca="false">NPV(D$12,O17:AS17)/(I17*H17)</f>
        <v>0.152032881464645</v>
      </c>
      <c r="E17" s="3" t="n">
        <f aca="false">SUM(O17:AS17)</f>
        <v>10684050</v>
      </c>
      <c r="F17" s="0" t="n">
        <v>15</v>
      </c>
      <c r="G17" s="0" t="n">
        <f aca="false">+F17*12</f>
        <v>180</v>
      </c>
      <c r="H17" s="0" t="n">
        <f aca="false">SUM($O$11:$AC$11)</f>
        <v>5479</v>
      </c>
      <c r="I17" s="2" t="n">
        <v>5000</v>
      </c>
      <c r="J17" s="1" t="n">
        <v>0.39</v>
      </c>
      <c r="K17" s="1"/>
      <c r="L17" s="1"/>
      <c r="M17" s="1"/>
      <c r="N17" s="1"/>
      <c r="O17" s="3" t="n">
        <f aca="false">+$J17*$I17*O$11</f>
        <v>711750</v>
      </c>
      <c r="P17" s="3" t="n">
        <f aca="false">+$J17*$I17*P$11</f>
        <v>713700</v>
      </c>
      <c r="Q17" s="3" t="n">
        <f aca="false">+$J17*$I17*Q$11</f>
        <v>711750</v>
      </c>
      <c r="R17" s="3" t="n">
        <f aca="false">+$J17*$I17*R$11</f>
        <v>711750</v>
      </c>
      <c r="S17" s="3" t="n">
        <f aca="false">+$J17*$I17*S$11</f>
        <v>711750</v>
      </c>
      <c r="T17" s="3" t="n">
        <f aca="false">+$J17*$I17*T$11</f>
        <v>713700</v>
      </c>
      <c r="U17" s="3" t="n">
        <f aca="false">+$J17*$I17*U$11</f>
        <v>711750</v>
      </c>
      <c r="V17" s="3" t="n">
        <f aca="false">+$J17*$I17*V$11</f>
        <v>711750</v>
      </c>
      <c r="W17" s="3" t="n">
        <f aca="false">+$J17*$I17*W$11</f>
        <v>711750</v>
      </c>
      <c r="X17" s="3" t="n">
        <f aca="false">+$J17*$I17*X$11</f>
        <v>713700</v>
      </c>
      <c r="Y17" s="3" t="n">
        <f aca="false">+$J17*$I17*Y$11</f>
        <v>711750</v>
      </c>
      <c r="Z17" s="3" t="n">
        <f aca="false">+$J17*$I17*Z$11</f>
        <v>711750</v>
      </c>
      <c r="AA17" s="3" t="n">
        <f aca="false">+$J17*$I17*AA$11</f>
        <v>711750</v>
      </c>
      <c r="AB17" s="3" t="n">
        <f aca="false">+$J17*$I17*AB$11</f>
        <v>713700</v>
      </c>
      <c r="AC17" s="3" t="n">
        <f aca="false">+$J17*$I17*AC$11</f>
        <v>711750</v>
      </c>
    </row>
    <row r="18" customFormat="false" ht="12.75" hidden="false" customHeight="false" outlineLevel="0" collapsed="false">
      <c r="A18" s="0" t="s">
        <v>20</v>
      </c>
      <c r="B18" s="3" t="n">
        <f aca="false">NPV($B$12,O18:AS18)</f>
        <v>23427156.1296706</v>
      </c>
      <c r="C18" s="18" t="n">
        <f aca="false">+$C$56</f>
        <v>0.403821004566109</v>
      </c>
      <c r="D18" s="18" t="n">
        <f aca="false">NPV(D$12,O18:AS18)/(I18*H18)</f>
        <v>0.368762877843813</v>
      </c>
      <c r="E18" s="3" t="n">
        <f aca="false">SUM(O18:AS18)</f>
        <v>30129000</v>
      </c>
      <c r="F18" s="0" t="n">
        <v>5</v>
      </c>
      <c r="G18" s="0" t="n">
        <f aca="false">+F18*12</f>
        <v>60</v>
      </c>
      <c r="H18" s="0" t="n">
        <f aca="false">SUM($O$11:$S$11)</f>
        <v>1826</v>
      </c>
      <c r="I18" s="2" t="n">
        <v>30000</v>
      </c>
      <c r="J18" s="1" t="n">
        <v>0.55</v>
      </c>
      <c r="K18" s="1"/>
      <c r="L18" s="1"/>
      <c r="M18" s="1"/>
      <c r="N18" s="1"/>
      <c r="O18" s="3" t="n">
        <f aca="false">+$J18*$I18*O$11</f>
        <v>6022500</v>
      </c>
      <c r="P18" s="3" t="n">
        <f aca="false">+$J18*$I18*P$11</f>
        <v>6039000</v>
      </c>
      <c r="Q18" s="3" t="n">
        <f aca="false">+$J18*$I18*Q$11</f>
        <v>6022500</v>
      </c>
      <c r="R18" s="3" t="n">
        <f aca="false">+$J18*$I18*R$11</f>
        <v>6022500</v>
      </c>
      <c r="S18" s="3" t="n">
        <f aca="false">+$J18*$I18*S$11</f>
        <v>6022500</v>
      </c>
    </row>
    <row r="19" customFormat="false" ht="12.75" hidden="false" customHeight="false" outlineLevel="0" collapsed="false">
      <c r="A19" s="0" t="s">
        <v>21</v>
      </c>
      <c r="B19" s="3" t="n">
        <f aca="false">NPV($B$12,O19:AS19)</f>
        <v>44724570.7930075</v>
      </c>
      <c r="C19" s="18" t="n">
        <f aca="false">+$C$56</f>
        <v>0.403821004566109</v>
      </c>
      <c r="D19" s="18" t="n">
        <f aca="false">NPV(D$12,O19:AS19)/(I19*H19)</f>
        <v>0.422401114621095</v>
      </c>
      <c r="E19" s="3" t="n">
        <f aca="false">SUM(O19:AS19)</f>
        <v>57519000</v>
      </c>
      <c r="F19" s="0" t="n">
        <v>5</v>
      </c>
      <c r="G19" s="0" t="n">
        <f aca="false">+F19*12</f>
        <v>60</v>
      </c>
      <c r="H19" s="0" t="n">
        <f aca="false">SUM($O$11:$S$11)</f>
        <v>1826</v>
      </c>
      <c r="I19" s="2" t="n">
        <v>50000</v>
      </c>
      <c r="J19" s="1" t="n">
        <v>0.63</v>
      </c>
      <c r="K19" s="1"/>
      <c r="L19" s="1"/>
      <c r="M19" s="1"/>
      <c r="N19" s="1"/>
      <c r="O19" s="3" t="n">
        <f aca="false">+$J19*$I19*O$11</f>
        <v>11497500</v>
      </c>
      <c r="P19" s="3" t="n">
        <f aca="false">+$J19*$I19*P$11</f>
        <v>11529000</v>
      </c>
      <c r="Q19" s="3" t="n">
        <f aca="false">+$J19*$I19*Q$11</f>
        <v>11497500</v>
      </c>
      <c r="R19" s="3" t="n">
        <f aca="false">+$J19*$I19*R$11</f>
        <v>11497500</v>
      </c>
      <c r="S19" s="3" t="n">
        <f aca="false">+$J19*$I19*S$11</f>
        <v>11497500</v>
      </c>
    </row>
    <row r="20" customFormat="false" ht="12.75" hidden="false" customHeight="false" outlineLevel="0" collapsed="false">
      <c r="A20" s="0" t="s">
        <v>22</v>
      </c>
      <c r="B20" s="3" t="n">
        <f aca="false">NPV($B$12,O20:AS20)</f>
        <v>8098559.46816724</v>
      </c>
      <c r="C20" s="18" t="n">
        <f aca="false">+$C$59</f>
        <v>1.00955251141527</v>
      </c>
      <c r="D20" s="18" t="n">
        <f aca="false">NPV(D$12,O20:AS20)/(I20*H20)</f>
        <v>0.512049423453384</v>
      </c>
      <c r="E20" s="3" t="n">
        <f aca="false">SUM(O20:AS20)</f>
        <v>9210600</v>
      </c>
      <c r="F20" s="0" t="n">
        <v>2</v>
      </c>
      <c r="G20" s="0" t="n">
        <f aca="false">+F20*12</f>
        <v>24</v>
      </c>
      <c r="H20" s="8" t="n">
        <f aca="false">+SUM($O$11:$P$11)</f>
        <v>731</v>
      </c>
      <c r="I20" s="2" t="n">
        <v>20000</v>
      </c>
      <c r="J20" s="1" t="n">
        <v>0.63</v>
      </c>
      <c r="K20" s="1"/>
      <c r="L20" s="1"/>
      <c r="M20" s="1"/>
      <c r="N20" s="1"/>
      <c r="O20" s="3" t="n">
        <f aca="false">+$J20*$I20*O$11</f>
        <v>4599000</v>
      </c>
      <c r="P20" s="3" t="n">
        <f aca="false">+$J20*$I20*P$11</f>
        <v>4611600</v>
      </c>
    </row>
    <row r="21" customFormat="false" ht="12.75" hidden="false" customHeight="false" outlineLevel="0" collapsed="false">
      <c r="A21" s="0" t="s">
        <v>22</v>
      </c>
      <c r="B21" s="3" t="n">
        <f aca="false">NPV($B$12,O21:AS21)</f>
        <v>2109246.00990644</v>
      </c>
      <c r="C21" s="18" t="n">
        <f aca="false">+$C$60</f>
        <v>2.01910502283054</v>
      </c>
      <c r="D21" s="18" t="n">
        <f aca="false">NPV(D$12,O21:AS21)/(I21*H21)</f>
        <v>0.547826086956522</v>
      </c>
      <c r="E21" s="3" t="n">
        <f aca="false">SUM(O21:AS21)</f>
        <v>2299500</v>
      </c>
      <c r="F21" s="0" t="n">
        <v>1</v>
      </c>
      <c r="G21" s="0" t="n">
        <f aca="false">+F21*12</f>
        <v>12</v>
      </c>
      <c r="H21" s="0" t="n">
        <f aca="false">SUM($O$11)</f>
        <v>365</v>
      </c>
      <c r="I21" s="2" t="n">
        <v>10000</v>
      </c>
      <c r="J21" s="1" t="n">
        <v>0.63</v>
      </c>
      <c r="K21" s="1"/>
      <c r="L21" s="1"/>
      <c r="M21" s="1"/>
      <c r="N21" s="1"/>
      <c r="O21" s="3" t="n">
        <f aca="false">+$J21*$I21*O$11</f>
        <v>2299500</v>
      </c>
    </row>
    <row r="22" customFormat="false" ht="12.75" hidden="false" customHeight="false" outlineLevel="0" collapsed="false">
      <c r="A22" s="0" t="s">
        <v>24</v>
      </c>
      <c r="B22" s="3" t="n">
        <f aca="false">NPV($B$12,O22:AS22)</f>
        <v>36120614.8195557</v>
      </c>
      <c r="C22" s="18" t="n">
        <f aca="false">+C59</f>
        <v>1.00955251141527</v>
      </c>
      <c r="D22" s="18" t="n">
        <f aca="false">NPV(D$12,O22:AS22)/(I22*H22)</f>
        <v>2.22157621132226</v>
      </c>
      <c r="E22" s="3" t="n">
        <f aca="false">SUM(O22:AS22)</f>
        <v>40325000</v>
      </c>
      <c r="F22" s="8" t="s">
        <v>25</v>
      </c>
      <c r="G22" s="0" t="n">
        <v>22</v>
      </c>
      <c r="H22" s="0" t="n">
        <f aca="false">SUM(O9:P9)</f>
        <v>304</v>
      </c>
      <c r="I22" s="2" t="n">
        <v>50000</v>
      </c>
      <c r="J22" s="1" t="n">
        <v>1.75</v>
      </c>
      <c r="K22" s="1" t="n">
        <v>0.75</v>
      </c>
      <c r="L22" s="1"/>
      <c r="M22" s="1"/>
      <c r="N22" s="1"/>
      <c r="O22" s="3" t="n">
        <f aca="false">(+$J22*$I22*O$9)+(K22*I22*O10)</f>
        <v>28887500</v>
      </c>
      <c r="P22" s="3" t="n">
        <f aca="false">+$K22*$I22*P$10</f>
        <v>11437500</v>
      </c>
    </row>
    <row r="23" customFormat="false" ht="12.75" hidden="false" customHeight="false" outlineLevel="0" collapsed="false">
      <c r="A23" s="0" t="s">
        <v>26</v>
      </c>
      <c r="B23" s="3" t="n">
        <f aca="false">NPV($B$12,O23:AS23)</f>
        <v>44700736.0020289</v>
      </c>
      <c r="C23" s="18" t="n">
        <f aca="false">+$C$46</f>
        <v>0.134607001522036</v>
      </c>
      <c r="D23" s="18" t="n">
        <f aca="false">NPV(D$12,O23:AS23)/(I23*H23)</f>
        <v>0.148134602452731</v>
      </c>
      <c r="E23" s="3" t="n">
        <f aca="false">SUM(O23:AS23)</f>
        <v>83280800</v>
      </c>
      <c r="F23" s="0" t="n">
        <v>15</v>
      </c>
      <c r="G23" s="0" t="n">
        <f aca="false">+F23*12</f>
        <v>180</v>
      </c>
      <c r="H23" s="0" t="n">
        <f aca="false">SUM($O$11:$AC$11)</f>
        <v>5479</v>
      </c>
      <c r="I23" s="2" t="n">
        <v>40000</v>
      </c>
      <c r="J23" s="1" t="n">
        <v>0.38</v>
      </c>
      <c r="K23" s="1"/>
      <c r="L23" s="1"/>
      <c r="M23" s="1"/>
      <c r="N23" s="1"/>
      <c r="O23" s="3" t="n">
        <f aca="false">+$J23*$I23*O$11</f>
        <v>5548000</v>
      </c>
      <c r="P23" s="3" t="n">
        <f aca="false">+$J23*$I23*P$11</f>
        <v>5563200</v>
      </c>
      <c r="Q23" s="3" t="n">
        <f aca="false">+$J23*$I23*Q$11</f>
        <v>5548000</v>
      </c>
      <c r="R23" s="3" t="n">
        <f aca="false">+$J23*$I23*R$11</f>
        <v>5548000</v>
      </c>
      <c r="S23" s="3" t="n">
        <f aca="false">+$J23*$I23*S$11</f>
        <v>5548000</v>
      </c>
      <c r="T23" s="3" t="n">
        <f aca="false">+$J23*$I23*T$11</f>
        <v>5563200</v>
      </c>
      <c r="U23" s="3" t="n">
        <f aca="false">+$J23*$I23*U$11</f>
        <v>5548000</v>
      </c>
      <c r="V23" s="3" t="n">
        <f aca="false">+$J23*$I23*V$11</f>
        <v>5548000</v>
      </c>
      <c r="W23" s="3" t="n">
        <f aca="false">+$J23*$I23*W$11</f>
        <v>5548000</v>
      </c>
      <c r="X23" s="3" t="n">
        <f aca="false">+$J23*$I23*X$11</f>
        <v>5563200</v>
      </c>
      <c r="Y23" s="3" t="n">
        <f aca="false">+$J23*$I23*Y$11</f>
        <v>5548000</v>
      </c>
      <c r="Z23" s="3" t="n">
        <f aca="false">+$J23*$I23*Z$11</f>
        <v>5548000</v>
      </c>
      <c r="AA23" s="3" t="n">
        <f aca="false">+$J23*$I23*AA$11</f>
        <v>5548000</v>
      </c>
      <c r="AB23" s="3" t="n">
        <f aca="false">+$J23*$I23*AB$11</f>
        <v>5563200</v>
      </c>
      <c r="AC23" s="3" t="n">
        <f aca="false">+$J23*$I23*AC$11</f>
        <v>5548000</v>
      </c>
    </row>
    <row r="24" customFormat="false" ht="12.75" hidden="false" customHeight="false" outlineLevel="0" collapsed="false">
      <c r="A24" s="0" t="s">
        <v>27</v>
      </c>
      <c r="B24" s="3" t="n">
        <f aca="false">NPV($B$12,O24:AS24)</f>
        <v>49949468.4463783</v>
      </c>
      <c r="C24" s="18" t="n">
        <f aca="false">+C49</f>
        <v>0.168258751902545</v>
      </c>
      <c r="D24" s="18" t="n">
        <f aca="false">NPV(D$12,O24:AS24)/(I24*H24)</f>
        <v>0.187232167209524</v>
      </c>
      <c r="E24" s="3" t="n">
        <f aca="false">SUM(O24:AS24)</f>
        <v>84577500</v>
      </c>
      <c r="F24" s="0" t="s">
        <v>28</v>
      </c>
      <c r="G24" s="0" t="n">
        <v>147</v>
      </c>
      <c r="H24" s="0" t="n">
        <f aca="false">SUM(O8:AA8)</f>
        <v>4475</v>
      </c>
      <c r="I24" s="2" t="n">
        <v>45000</v>
      </c>
      <c r="J24" s="1" t="n">
        <v>0.42</v>
      </c>
      <c r="K24" s="1"/>
      <c r="L24" s="1"/>
      <c r="M24" s="1"/>
      <c r="N24" s="1"/>
      <c r="O24" s="3" t="n">
        <f aca="false">+$J24*$I24*O$8</f>
        <v>6898500</v>
      </c>
      <c r="P24" s="3" t="n">
        <f aca="false">+$J24*$I24*P$8</f>
        <v>6917400</v>
      </c>
      <c r="Q24" s="3" t="n">
        <f aca="false">+$J24*$I24*Q$8</f>
        <v>6898500</v>
      </c>
      <c r="R24" s="3" t="n">
        <f aca="false">+$J24*$I24*R$8</f>
        <v>6898500</v>
      </c>
      <c r="S24" s="3" t="n">
        <f aca="false">+$J24*$I24*S$8</f>
        <v>6898500</v>
      </c>
      <c r="T24" s="3" t="n">
        <f aca="false">+$J24*$I24*T$8</f>
        <v>6917400</v>
      </c>
      <c r="U24" s="3" t="n">
        <f aca="false">+$J24*$I24*U$8</f>
        <v>6898500</v>
      </c>
      <c r="V24" s="3" t="n">
        <f aca="false">+$J24*$I24*V$8</f>
        <v>6898500</v>
      </c>
      <c r="W24" s="3" t="n">
        <f aca="false">+$J24*$I24*W$8</f>
        <v>6898500</v>
      </c>
      <c r="X24" s="3" t="n">
        <f aca="false">+$J24*$I24*X$8</f>
        <v>6917400</v>
      </c>
      <c r="Y24" s="3" t="n">
        <f aca="false">+$J24*$I24*Y$8</f>
        <v>6898500</v>
      </c>
      <c r="Z24" s="3" t="n">
        <f aca="false">+$J24*$I24*Z$8</f>
        <v>6898500</v>
      </c>
      <c r="AA24" s="3" t="n">
        <f aca="false">+$J24*$I24*AA$8</f>
        <v>1738800</v>
      </c>
    </row>
    <row r="25" customFormat="false" ht="12.75" hidden="false" customHeight="false" outlineLevel="0" collapsed="false">
      <c r="A25" s="0" t="s">
        <v>29</v>
      </c>
      <c r="B25" s="3" t="n">
        <f aca="false">NPV($B$12,O25:AS25)</f>
        <v>26995198.2272241</v>
      </c>
      <c r="C25" s="18" t="n">
        <f aca="false">+$C$59</f>
        <v>1.00955251141527</v>
      </c>
      <c r="D25" s="18" t="n">
        <f aca="false">NPV(D$12,O25:AS25)/(I25*H25)</f>
        <v>0.682732564604512</v>
      </c>
      <c r="E25" s="3" t="n">
        <f aca="false">SUM(O25:AS25)</f>
        <v>30702000</v>
      </c>
      <c r="F25" s="0" t="n">
        <v>2</v>
      </c>
      <c r="G25" s="0" t="n">
        <f aca="false">+F25*12</f>
        <v>24</v>
      </c>
      <c r="H25" s="8" t="n">
        <f aca="false">+SUM($O$11:$P$11)</f>
        <v>731</v>
      </c>
      <c r="I25" s="2" t="n">
        <v>50000</v>
      </c>
      <c r="J25" s="1" t="n">
        <v>0.84</v>
      </c>
      <c r="K25" s="1"/>
      <c r="L25" s="1"/>
      <c r="M25" s="1"/>
      <c r="N25" s="1"/>
      <c r="O25" s="3" t="n">
        <f aca="false">+$J25*$I25*O$11</f>
        <v>15330000</v>
      </c>
      <c r="P25" s="3" t="n">
        <f aca="false">+$J25*$I25*P$11</f>
        <v>15372000</v>
      </c>
    </row>
    <row r="26" customFormat="false" ht="12.75" hidden="false" customHeight="false" outlineLevel="0" collapsed="false">
      <c r="A26" s="0" t="s">
        <v>30</v>
      </c>
      <c r="B26" s="3" t="n">
        <f aca="false">NPV($B$12,O26:AS26)</f>
        <v>26995198.2272241</v>
      </c>
      <c r="C26" s="18" t="n">
        <f aca="false">+$C$59</f>
        <v>1.00955251141527</v>
      </c>
      <c r="D26" s="18" t="n">
        <f aca="false">NPV(D$12,O26:AS26)/(I26*H26)</f>
        <v>0.682732564604512</v>
      </c>
      <c r="E26" s="3" t="n">
        <f aca="false">SUM(O26:AS26)</f>
        <v>30702000</v>
      </c>
      <c r="F26" s="0" t="n">
        <v>2</v>
      </c>
      <c r="G26" s="0" t="n">
        <f aca="false">+F26*12</f>
        <v>24</v>
      </c>
      <c r="H26" s="8" t="n">
        <f aca="false">+SUM($O$11:$P$11)</f>
        <v>731</v>
      </c>
      <c r="I26" s="2" t="n">
        <v>50000</v>
      </c>
      <c r="J26" s="1" t="n">
        <v>0.84</v>
      </c>
      <c r="K26" s="1"/>
      <c r="L26" s="1"/>
      <c r="M26" s="1"/>
      <c r="N26" s="1"/>
      <c r="O26" s="3" t="n">
        <f aca="false">+$J26*$I26*O$11</f>
        <v>15330000</v>
      </c>
      <c r="P26" s="3" t="n">
        <f aca="false">+$J26*$I26*P$11</f>
        <v>15372000</v>
      </c>
    </row>
    <row r="27" customFormat="false" ht="12.75" hidden="false" customHeight="false" outlineLevel="0" collapsed="false">
      <c r="A27" s="0" t="s">
        <v>31</v>
      </c>
      <c r="B27" s="3" t="n">
        <f aca="false">NPV($B$12,O27:AS27)</f>
        <v>26995198.2272241</v>
      </c>
      <c r="C27" s="18" t="n">
        <f aca="false">+$C$59</f>
        <v>1.00955251141527</v>
      </c>
      <c r="D27" s="18" t="n">
        <f aca="false">NPV(D$12,O27:AS27)/(I27*H27)</f>
        <v>0.682732564604512</v>
      </c>
      <c r="E27" s="3" t="n">
        <f aca="false">SUM(O27:AS27)</f>
        <v>30702000</v>
      </c>
      <c r="F27" s="0" t="n">
        <v>2</v>
      </c>
      <c r="G27" s="0" t="n">
        <f aca="false">+F27*12</f>
        <v>24</v>
      </c>
      <c r="H27" s="8" t="n">
        <f aca="false">+SUM($O$11:$P$11)</f>
        <v>731</v>
      </c>
      <c r="I27" s="2" t="n">
        <v>50000</v>
      </c>
      <c r="J27" s="1" t="n">
        <v>0.84</v>
      </c>
      <c r="K27" s="1"/>
      <c r="L27" s="1"/>
      <c r="M27" s="1"/>
      <c r="N27" s="1"/>
      <c r="O27" s="3" t="n">
        <f aca="false">+$J27*$I27*O$11</f>
        <v>15330000</v>
      </c>
      <c r="P27" s="3" t="n">
        <f aca="false">+$J27*$I27*P$11</f>
        <v>15372000</v>
      </c>
    </row>
    <row r="28" customFormat="false" ht="12.75" hidden="false" customHeight="false" outlineLevel="0" collapsed="false">
      <c r="A28" s="0" t="s">
        <v>31</v>
      </c>
      <c r="B28" s="3" t="n">
        <f aca="false">NPV($B$12,O28:AS28)</f>
        <v>26031084.0048233</v>
      </c>
      <c r="C28" s="18" t="n">
        <f aca="false">+$C$59</f>
        <v>1.00955251141527</v>
      </c>
      <c r="D28" s="18" t="n">
        <f aca="false">NPV(D$12,O28:AS28)/(I28*H28)</f>
        <v>0.658349258725779</v>
      </c>
      <c r="E28" s="3" t="n">
        <f aca="false">SUM(O28:AS28)</f>
        <v>29605500</v>
      </c>
      <c r="F28" s="0" t="n">
        <v>2</v>
      </c>
      <c r="G28" s="0" t="n">
        <f aca="false">+F28*12</f>
        <v>24</v>
      </c>
      <c r="H28" s="8" t="n">
        <f aca="false">+SUM($O$11:$P$11)</f>
        <v>731</v>
      </c>
      <c r="I28" s="2" t="n">
        <v>50000</v>
      </c>
      <c r="J28" s="1" t="n">
        <v>0.81</v>
      </c>
      <c r="K28" s="1"/>
      <c r="L28" s="1"/>
      <c r="M28" s="1"/>
      <c r="N28" s="1"/>
      <c r="O28" s="3" t="n">
        <f aca="false">+$J28*$I28*O$11</f>
        <v>14782500</v>
      </c>
      <c r="P28" s="3" t="n">
        <f aca="false">+$J28*$I28*P$11</f>
        <v>14823000</v>
      </c>
    </row>
    <row r="29" customFormat="false" ht="12.75" hidden="false" customHeight="false" outlineLevel="0" collapsed="false">
      <c r="A29" s="0" t="s">
        <v>32</v>
      </c>
      <c r="B29" s="3" t="n">
        <f aca="false">NPV($B$12,O29:AS29)</f>
        <v>26031084.0048233</v>
      </c>
      <c r="C29" s="18" t="n">
        <f aca="false">+$C$59</f>
        <v>1.00955251141527</v>
      </c>
      <c r="D29" s="18" t="n">
        <f aca="false">NPV(D$12,O29:AS29)/(I29*H29)</f>
        <v>0.658349258725779</v>
      </c>
      <c r="E29" s="3" t="n">
        <f aca="false">SUM(O29:AS29)</f>
        <v>29605500</v>
      </c>
      <c r="F29" s="0" t="n">
        <v>2</v>
      </c>
      <c r="G29" s="0" t="n">
        <f aca="false">+F29*12</f>
        <v>24</v>
      </c>
      <c r="H29" s="8" t="n">
        <f aca="false">+SUM($O$11:$P$11)</f>
        <v>731</v>
      </c>
      <c r="I29" s="2" t="n">
        <v>50000</v>
      </c>
      <c r="J29" s="1" t="n">
        <v>0.81</v>
      </c>
      <c r="K29" s="1"/>
      <c r="L29" s="1"/>
      <c r="M29" s="1"/>
      <c r="N29" s="1"/>
      <c r="O29" s="3" t="n">
        <f aca="false">+$J29*$I29*O$11</f>
        <v>14782500</v>
      </c>
      <c r="P29" s="3" t="n">
        <f aca="false">+$J29*$I29*P$11</f>
        <v>14823000</v>
      </c>
    </row>
    <row r="30" customFormat="false" ht="12.75" hidden="false" customHeight="false" outlineLevel="0" collapsed="false">
      <c r="A30" s="0" t="s">
        <v>32</v>
      </c>
      <c r="B30" s="3" t="n">
        <f aca="false">NPV($B$12,O30:AS30)</f>
        <v>26995198.2272241</v>
      </c>
      <c r="C30" s="18" t="n">
        <f aca="false">+$C$59</f>
        <v>1.00955251141527</v>
      </c>
      <c r="D30" s="18" t="n">
        <f aca="false">NPV(D$12,O30:AS30)/(I30*H30)</f>
        <v>0.682732564604512</v>
      </c>
      <c r="E30" s="3" t="n">
        <f aca="false">SUM(O30:AS30)</f>
        <v>30702000</v>
      </c>
      <c r="F30" s="0" t="n">
        <v>2</v>
      </c>
      <c r="G30" s="0" t="n">
        <f aca="false">+F30*12</f>
        <v>24</v>
      </c>
      <c r="H30" s="8" t="n">
        <f aca="false">+SUM($O$11:$P$11)</f>
        <v>731</v>
      </c>
      <c r="I30" s="2" t="n">
        <v>50000</v>
      </c>
      <c r="J30" s="1" t="n">
        <v>0.84</v>
      </c>
      <c r="K30" s="1"/>
      <c r="L30" s="1"/>
      <c r="M30" s="1"/>
      <c r="N30" s="1"/>
      <c r="O30" s="3" t="n">
        <f aca="false">+$J30*$I30*O$11</f>
        <v>15330000</v>
      </c>
      <c r="P30" s="3" t="n">
        <f aca="false">+$J30*$I30*P$11</f>
        <v>15372000</v>
      </c>
    </row>
    <row r="31" customFormat="false" ht="12.75" hidden="false" customHeight="false" outlineLevel="0" collapsed="false">
      <c r="A31" s="0" t="s">
        <v>33</v>
      </c>
      <c r="B31" s="3" t="n">
        <f aca="false">NPV($B$12,O31:AS31)</f>
        <v>12307460.1677261</v>
      </c>
      <c r="C31" s="18" t="n">
        <f aca="false">+$C$56</f>
        <v>0.403821004566109</v>
      </c>
      <c r="D31" s="18" t="n">
        <f aca="false">NPV(D$12,O31:AS31)/(I31*H31)</f>
        <v>0.398194395000442</v>
      </c>
      <c r="E31" s="3" t="n">
        <f aca="false">SUM(O31:AS31)</f>
        <v>15138600</v>
      </c>
      <c r="F31" s="0" t="n">
        <v>5</v>
      </c>
      <c r="G31" s="0" t="n">
        <f aca="false">+F31*12</f>
        <v>60</v>
      </c>
      <c r="H31" s="19" t="n">
        <f aca="false">SUM(O5:S6)</f>
        <v>1826</v>
      </c>
      <c r="I31" s="2" t="n">
        <v>15000</v>
      </c>
      <c r="J31" s="1" t="n">
        <v>1.12</v>
      </c>
      <c r="K31" s="1" t="n">
        <v>0.76</v>
      </c>
      <c r="L31" s="1" t="n">
        <v>0.43</v>
      </c>
      <c r="M31" s="1" t="n">
        <v>0.38</v>
      </c>
      <c r="N31" s="1" t="n">
        <v>0.38</v>
      </c>
      <c r="O31" s="3" t="n">
        <f aca="false">(+J$31*$I31*O$5)+(K$31*$I31*O$6)</f>
        <v>5316600</v>
      </c>
      <c r="P31" s="3" t="n">
        <f aca="false">(+K$31*$I31*P$5)+(L$31*$I31*P$6)</f>
        <v>3420000</v>
      </c>
      <c r="Q31" s="3" t="n">
        <f aca="false">(+L$31*$I31*Q$5)+(M$31*$I31*Q$6)</f>
        <v>2241000</v>
      </c>
      <c r="R31" s="3" t="n">
        <f aca="false">(+M$31*$I31*R$5)+(N$31*$I31*R$6)</f>
        <v>2080500</v>
      </c>
      <c r="S31" s="3" t="n">
        <f aca="false">(+N$31*$I31*S$5)+(N$31*$I31*S$6)</f>
        <v>2080500</v>
      </c>
      <c r="T31" s="3"/>
      <c r="U31" s="3"/>
    </row>
    <row r="32" customFormat="false" ht="12.75" hidden="false" customHeight="false" outlineLevel="0" collapsed="false">
      <c r="A32" s="0" t="s">
        <v>33</v>
      </c>
      <c r="B32" s="3" t="n">
        <f aca="false">NPV($B$12,O32:AS32)</f>
        <v>42307720.8134702</v>
      </c>
      <c r="C32" s="18" t="n">
        <f aca="false">+$C$56</f>
        <v>0.403821004566109</v>
      </c>
      <c r="D32" s="18" t="n">
        <f aca="false">NPV(D$12,O32:AS32)/(I32*H32)</f>
        <v>0.424489501456112</v>
      </c>
      <c r="E32" s="3" t="n">
        <f aca="false">SUM(O32:AS32)</f>
        <v>49176400</v>
      </c>
      <c r="F32" s="0" t="n">
        <v>5</v>
      </c>
      <c r="G32" s="0" t="n">
        <f aca="false">+F32*12</f>
        <v>60</v>
      </c>
      <c r="H32" s="0" t="n">
        <f aca="false">SUM(O7:S7)</f>
        <v>1826</v>
      </c>
      <c r="I32" s="2" t="n">
        <v>50000</v>
      </c>
      <c r="J32" s="1" t="n">
        <v>1.723</v>
      </c>
      <c r="K32" s="1" t="n">
        <v>0.364</v>
      </c>
      <c r="L32" s="1" t="n">
        <v>0.2045</v>
      </c>
      <c r="M32" s="1" t="n">
        <v>0.2009</v>
      </c>
      <c r="N32" s="1" t="n">
        <v>0.2012</v>
      </c>
      <c r="O32" s="3" t="n">
        <f aca="false">+J$32*$I32*O$7</f>
        <v>31444750</v>
      </c>
      <c r="P32" s="3" t="n">
        <f aca="false">+K$32*$I32*P$7</f>
        <v>6661200</v>
      </c>
      <c r="Q32" s="3" t="n">
        <f aca="false">+L$32*$I32*Q$7</f>
        <v>3732125</v>
      </c>
      <c r="R32" s="3" t="n">
        <f aca="false">+M$32*$I32*R$7</f>
        <v>3666425</v>
      </c>
      <c r="S32" s="3" t="n">
        <f aca="false">+N$32*$I32*S$7</f>
        <v>3671900</v>
      </c>
    </row>
    <row r="33" customFormat="false" ht="12.75" hidden="false" customHeight="false" outlineLevel="0" collapsed="false">
      <c r="A33" s="0" t="s">
        <v>34</v>
      </c>
      <c r="B33" s="3" t="n">
        <f aca="false">NPV($B$12,O33:AS33)</f>
        <v>3017299.68013695</v>
      </c>
      <c r="C33" s="18" t="n">
        <f aca="false">+$C$46</f>
        <v>0.134607001522036</v>
      </c>
      <c r="D33" s="18" t="n">
        <f aca="false">NPV(D$12,O33:AS33)/(I33*H33)</f>
        <v>0.148134602452731</v>
      </c>
      <c r="E33" s="3" t="n">
        <f aca="false">SUM(O33:AS33)</f>
        <v>5621454</v>
      </c>
      <c r="F33" s="0" t="n">
        <v>15</v>
      </c>
      <c r="G33" s="0" t="n">
        <f aca="false">+F33*12</f>
        <v>180</v>
      </c>
      <c r="H33" s="0" t="n">
        <f aca="false">SUM($O$11:$AC$11)</f>
        <v>5479</v>
      </c>
      <c r="I33" s="2" t="n">
        <v>2700</v>
      </c>
      <c r="J33" s="1" t="n">
        <v>0.38</v>
      </c>
      <c r="K33" s="1"/>
      <c r="L33" s="1"/>
      <c r="M33" s="1"/>
      <c r="N33" s="1"/>
      <c r="O33" s="3" t="n">
        <f aca="false">+$J33*$I33*O$11</f>
        <v>374490</v>
      </c>
      <c r="P33" s="3" t="n">
        <f aca="false">+$J33*$I33*P$11</f>
        <v>375516</v>
      </c>
      <c r="Q33" s="3" t="n">
        <f aca="false">+$J33*$I33*Q$11</f>
        <v>374490</v>
      </c>
      <c r="R33" s="3" t="n">
        <f aca="false">+$J33*$I33*R$11</f>
        <v>374490</v>
      </c>
      <c r="S33" s="3" t="n">
        <f aca="false">+$J33*$I33*S$11</f>
        <v>374490</v>
      </c>
      <c r="T33" s="3" t="n">
        <f aca="false">+$J33*$I33*T$11</f>
        <v>375516</v>
      </c>
      <c r="U33" s="3" t="n">
        <f aca="false">+$J33*$I33*U$11</f>
        <v>374490</v>
      </c>
      <c r="V33" s="3" t="n">
        <f aca="false">+$J33*$I33*V$11</f>
        <v>374490</v>
      </c>
      <c r="W33" s="3" t="n">
        <f aca="false">+$J33*$I33*W$11</f>
        <v>374490</v>
      </c>
      <c r="X33" s="3" t="n">
        <f aca="false">+$J33*$I33*X$11</f>
        <v>375516</v>
      </c>
      <c r="Y33" s="3" t="n">
        <f aca="false">+$J33*$I33*Y$11</f>
        <v>374490</v>
      </c>
      <c r="Z33" s="3" t="n">
        <f aca="false">+$J33*$I33*Z$11</f>
        <v>374490</v>
      </c>
      <c r="AA33" s="3" t="n">
        <f aca="false">+$J33*$I33*AA$11</f>
        <v>374490</v>
      </c>
      <c r="AB33" s="3" t="n">
        <f aca="false">+$J33*$I33*AB$11</f>
        <v>375516</v>
      </c>
      <c r="AC33" s="3" t="n">
        <f aca="false">+$J33*$I33*AC$11</f>
        <v>374490</v>
      </c>
    </row>
    <row r="34" customFormat="false" ht="12.75" hidden="false" customHeight="false" outlineLevel="0" collapsed="false">
      <c r="A34" s="0" t="s">
        <v>34</v>
      </c>
      <c r="B34" s="3" t="n">
        <f aca="false">NPV($B$12,O34:AS34)</f>
        <v>2430654.92570171</v>
      </c>
      <c r="C34" s="18" t="n">
        <f aca="false">+$C$60</f>
        <v>2.01910502283054</v>
      </c>
      <c r="D34" s="18" t="n">
        <f aca="false">NPV(D$12,O34:AS34)/(I34*H34)</f>
        <v>1.91304347826087</v>
      </c>
      <c r="E34" s="3" t="n">
        <f aca="false">SUM(O34:AS34)</f>
        <v>2649900</v>
      </c>
      <c r="F34" s="0" t="n">
        <v>1</v>
      </c>
      <c r="G34" s="0" t="n">
        <f aca="false">+F34*12</f>
        <v>12</v>
      </c>
      <c r="H34" s="0" t="n">
        <f aca="false">SUM($O$11)</f>
        <v>365</v>
      </c>
      <c r="I34" s="2" t="n">
        <v>3300</v>
      </c>
      <c r="J34" s="1" t="n">
        <v>2.2</v>
      </c>
      <c r="K34" s="1"/>
      <c r="L34" s="1"/>
      <c r="M34" s="1"/>
      <c r="N34" s="1"/>
      <c r="O34" s="3" t="n">
        <f aca="false">+$J34*$I34*O$11</f>
        <v>2649900</v>
      </c>
    </row>
    <row r="35" customFormat="false" ht="12.75" hidden="false" customHeight="false" outlineLevel="0" collapsed="false">
      <c r="A35" s="0" t="s">
        <v>34</v>
      </c>
      <c r="B35" s="3" t="n">
        <f aca="false">NPV($B$12,O35:AS35)</f>
        <v>1473124.19739497</v>
      </c>
      <c r="C35" s="18" t="n">
        <f aca="false">+$C$60</f>
        <v>2.01910502283054</v>
      </c>
      <c r="D35" s="18" t="n">
        <f aca="false">NPV(D$12,O35:AS35)/(I35*H35)</f>
        <v>1.91304347826087</v>
      </c>
      <c r="E35" s="3" t="n">
        <f aca="false">SUM(O35:AS35)</f>
        <v>1606000</v>
      </c>
      <c r="F35" s="0" t="n">
        <v>1</v>
      </c>
      <c r="G35" s="0" t="n">
        <f aca="false">+F35*12</f>
        <v>12</v>
      </c>
      <c r="H35" s="0" t="n">
        <f aca="false">SUM($O$11)</f>
        <v>365</v>
      </c>
      <c r="I35" s="2" t="n">
        <v>2000</v>
      </c>
      <c r="J35" s="1" t="n">
        <v>2.2</v>
      </c>
      <c r="K35" s="1"/>
      <c r="L35" s="1"/>
      <c r="M35" s="1"/>
      <c r="N35" s="1"/>
      <c r="O35" s="3" t="n">
        <f aca="false">+$J35*$I35*O$11</f>
        <v>1606000</v>
      </c>
    </row>
    <row r="36" customFormat="false" ht="12.75" hidden="false" customHeight="false" outlineLevel="0" collapsed="false">
      <c r="A36" s="0" t="s">
        <v>35</v>
      </c>
      <c r="B36" s="3" t="n">
        <f aca="false">NPV($B$12,O36:AS36)</f>
        <v>738310.374995679</v>
      </c>
      <c r="C36" s="18" t="n">
        <f aca="false">+$C$56</f>
        <v>0.403821004566109</v>
      </c>
      <c r="D36" s="18" t="n">
        <f aca="false">NPV(D$12,O36:AS36)/(I36*H36)</f>
        <v>0.435810673815415</v>
      </c>
      <c r="E36" s="3" t="n">
        <f aca="false">SUM(O36:AS36)</f>
        <v>949520</v>
      </c>
      <c r="F36" s="0" t="n">
        <v>5</v>
      </c>
      <c r="G36" s="0" t="n">
        <f aca="false">+F36*12</f>
        <v>60</v>
      </c>
      <c r="H36" s="0" t="n">
        <f aca="false">SUM($O$11:$S$11)</f>
        <v>1826</v>
      </c>
      <c r="I36" s="2" t="n">
        <v>800</v>
      </c>
      <c r="J36" s="1" t="n">
        <v>0.65</v>
      </c>
      <c r="K36" s="1"/>
      <c r="L36" s="1"/>
      <c r="M36" s="1"/>
      <c r="N36" s="1"/>
      <c r="O36" s="3" t="n">
        <f aca="false">+$J36*$I36*O$11</f>
        <v>189800</v>
      </c>
      <c r="P36" s="3" t="n">
        <f aca="false">+$J36*$I36*P$11</f>
        <v>190320</v>
      </c>
      <c r="Q36" s="3" t="n">
        <f aca="false">+$J36*$I36*Q$11</f>
        <v>189800</v>
      </c>
      <c r="R36" s="3" t="n">
        <f aca="false">+$J36*$I36*R$11</f>
        <v>189800</v>
      </c>
      <c r="S36" s="3" t="n">
        <f aca="false">+$J36*$I36*S$11</f>
        <v>189800</v>
      </c>
    </row>
    <row r="37" customFormat="false" ht="12.75" hidden="false" customHeight="false" outlineLevel="0" collapsed="false">
      <c r="A37" s="0" t="s">
        <v>35</v>
      </c>
      <c r="B37" s="3" t="n">
        <f aca="false">NPV($B$12,O37:AS37)</f>
        <v>319461.219950054</v>
      </c>
      <c r="C37" s="18" t="n">
        <f aca="false">+$C$56</f>
        <v>0.403821004566109</v>
      </c>
      <c r="D37" s="18" t="n">
        <f aca="false">NPV(D$12,O37:AS37)/(I37*H37)</f>
        <v>0.100571693957404</v>
      </c>
      <c r="E37" s="3" t="n">
        <f aca="false">SUM(O37:AS37)</f>
        <v>410850</v>
      </c>
      <c r="F37" s="0" t="n">
        <v>5</v>
      </c>
      <c r="G37" s="0" t="n">
        <f aca="false">+F37*12</f>
        <v>60</v>
      </c>
      <c r="H37" s="0" t="n">
        <f aca="false">SUM($O$11:$S$11)</f>
        <v>1826</v>
      </c>
      <c r="I37" s="2" t="n">
        <v>1500</v>
      </c>
      <c r="J37" s="1" t="n">
        <v>0.15</v>
      </c>
      <c r="K37" s="1"/>
      <c r="L37" s="1"/>
      <c r="M37" s="1"/>
      <c r="N37" s="1"/>
      <c r="O37" s="3" t="n">
        <f aca="false">+$J37*$I37*O$11</f>
        <v>82125</v>
      </c>
      <c r="P37" s="3" t="n">
        <f aca="false">+$J37*$I37*P$11</f>
        <v>82350</v>
      </c>
      <c r="Q37" s="3" t="n">
        <f aca="false">+$J37*$I37*Q$11</f>
        <v>82125</v>
      </c>
      <c r="R37" s="3" t="n">
        <f aca="false">+$J37*$I37*R$11</f>
        <v>82125</v>
      </c>
      <c r="S37" s="3" t="n">
        <f aca="false">+$J37*$I37*S$11</f>
        <v>82125</v>
      </c>
    </row>
    <row r="39" customFormat="false" ht="12.75" hidden="false" customHeight="false" outlineLevel="0" collapsed="false">
      <c r="A39" s="0" t="s">
        <v>45</v>
      </c>
      <c r="B39" s="3" t="n">
        <f aca="false">SUM(B14:B38)</f>
        <v>471574405.670257</v>
      </c>
      <c r="E39" s="3" t="n">
        <f aca="false">SUM(E14:E38)</f>
        <v>669516074</v>
      </c>
      <c r="H39" s="20" t="n">
        <f aca="false">SUM(H14:H38)</f>
        <v>65839</v>
      </c>
      <c r="I39" s="20" t="n">
        <f aca="false">SUM(I14:I38)</f>
        <v>650300</v>
      </c>
    </row>
    <row r="41" customFormat="false" ht="12.75" hidden="false" customHeight="false" outlineLevel="0" collapsed="false">
      <c r="B41" s="18"/>
      <c r="D41" s="18"/>
      <c r="E41" s="18"/>
    </row>
    <row r="42" customFormat="false" ht="12.75" hidden="false" customHeight="false" outlineLevel="0" collapsed="false">
      <c r="B42" s="0"/>
      <c r="D42" s="0"/>
      <c r="E42" s="0"/>
    </row>
    <row r="43" customFormat="false" ht="12.75" hidden="false" customHeight="false" outlineLevel="0" collapsed="false">
      <c r="B43" s="0"/>
      <c r="D43" s="0"/>
      <c r="E43" s="0"/>
    </row>
    <row r="44" customFormat="false" ht="12.75" hidden="false" customHeight="false" outlineLevel="0" collapsed="false">
      <c r="B44" s="0"/>
      <c r="D44" s="0"/>
      <c r="E44" s="0"/>
    </row>
    <row r="45" customFormat="false" ht="12.75" hidden="false" customHeight="false" outlineLevel="0" collapsed="false">
      <c r="B45" s="0" t="n">
        <v>30</v>
      </c>
      <c r="C45" s="23" t="n">
        <v>0.0673035007610347</v>
      </c>
      <c r="D45" s="0"/>
      <c r="E45" s="0"/>
    </row>
    <row r="46" customFormat="false" ht="12.75" hidden="false" customHeight="false" outlineLevel="0" collapsed="false">
      <c r="B46" s="0" t="n">
        <v>15</v>
      </c>
      <c r="C46" s="18" t="n">
        <v>0.134607001522036</v>
      </c>
      <c r="D46" s="0"/>
      <c r="E46" s="0"/>
    </row>
    <row r="47" customFormat="false" ht="12.75" hidden="false" customHeight="false" outlineLevel="0" collapsed="false">
      <c r="B47" s="0" t="n">
        <v>14</v>
      </c>
      <c r="C47" s="18" t="n">
        <v>0.144221787345039</v>
      </c>
      <c r="D47" s="0"/>
      <c r="E47" s="0"/>
    </row>
    <row r="48" customFormat="false" ht="12.75" hidden="false" customHeight="false" outlineLevel="0" collapsed="false">
      <c r="B48" s="0" t="n">
        <v>13</v>
      </c>
      <c r="C48" s="18" t="n">
        <v>0.155315770986965</v>
      </c>
      <c r="D48" s="0"/>
      <c r="E48" s="0"/>
    </row>
    <row r="49" customFormat="false" ht="12.75" hidden="false" customHeight="false" outlineLevel="0" collapsed="false">
      <c r="B49" s="0" t="n">
        <v>12</v>
      </c>
      <c r="C49" s="18" t="n">
        <v>0.168258751902545</v>
      </c>
      <c r="D49" s="0"/>
      <c r="E49" s="0"/>
    </row>
    <row r="50" customFormat="false" ht="12.75" hidden="false" customHeight="false" outlineLevel="0" collapsed="false">
      <c r="B50" s="0" t="n">
        <v>11</v>
      </c>
      <c r="C50" s="18" t="n">
        <v>0.183555002075504</v>
      </c>
      <c r="D50" s="0"/>
      <c r="E50" s="0"/>
    </row>
    <row r="51" customFormat="false" ht="12.75" hidden="false" customHeight="false" outlineLevel="0" collapsed="false">
      <c r="B51" s="0" t="n">
        <v>10</v>
      </c>
      <c r="C51" s="18" t="n">
        <v>0.201910502283054</v>
      </c>
      <c r="D51" s="0"/>
      <c r="E51" s="0"/>
    </row>
    <row r="52" customFormat="false" ht="12.75" hidden="false" customHeight="false" outlineLevel="0" collapsed="false">
      <c r="B52" s="0" t="n">
        <v>9</v>
      </c>
      <c r="C52" s="18" t="n">
        <v>0.224345002536727</v>
      </c>
    </row>
    <row r="53" customFormat="false" ht="12.75" hidden="false" customHeight="false" outlineLevel="0" collapsed="false">
      <c r="B53" s="0" t="n">
        <v>8</v>
      </c>
      <c r="C53" s="18" t="n">
        <v>0.252388127853818</v>
      </c>
    </row>
    <row r="54" customFormat="false" ht="12.75" hidden="false" customHeight="false" outlineLevel="0" collapsed="false">
      <c r="B54" s="0" t="n">
        <v>7</v>
      </c>
      <c r="C54" s="18" t="n">
        <v>0.288443574690078</v>
      </c>
    </row>
    <row r="55" customFormat="false" ht="12.75" hidden="false" customHeight="false" outlineLevel="0" collapsed="false">
      <c r="B55" s="0" t="n">
        <v>6</v>
      </c>
      <c r="C55" s="18" t="n">
        <v>0.336517503805091</v>
      </c>
    </row>
    <row r="56" customFormat="false" ht="12.75" hidden="false" customHeight="false" outlineLevel="0" collapsed="false">
      <c r="B56" s="0" t="n">
        <v>5</v>
      </c>
      <c r="C56" s="18" t="n">
        <v>0.403821004566109</v>
      </c>
    </row>
    <row r="57" customFormat="false" ht="12.75" hidden="false" customHeight="false" outlineLevel="0" collapsed="false">
      <c r="B57" s="0" t="n">
        <v>4</v>
      </c>
      <c r="C57" s="18" t="n">
        <v>0.504776255707636</v>
      </c>
    </row>
    <row r="58" customFormat="false" ht="12.75" hidden="false" customHeight="false" outlineLevel="0" collapsed="false">
      <c r="B58" s="0" t="n">
        <v>3</v>
      </c>
      <c r="C58" s="18" t="n">
        <v>0.673035007610182</v>
      </c>
    </row>
    <row r="59" customFormat="false" ht="12.75" hidden="false" customHeight="false" outlineLevel="0" collapsed="false">
      <c r="B59" s="0" t="n">
        <v>2</v>
      </c>
      <c r="C59" s="18" t="n">
        <v>1.00955251141527</v>
      </c>
    </row>
    <row r="60" customFormat="false" ht="12.75" hidden="false" customHeight="false" outlineLevel="0" collapsed="false">
      <c r="B60" s="0" t="n">
        <v>1</v>
      </c>
      <c r="C60" s="18" t="n">
        <v>2.01910502283054</v>
      </c>
    </row>
  </sheetData>
  <printOptions headings="false" gridLines="false" gridLinesSet="true" horizontalCentered="false" verticalCentered="false"/>
  <pageMargins left="0.25" right="0.279861111111111" top="0.479861111111111" bottom="0.49027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2001-04-20T17:58:44Z</dcterms:created>
  <dc:creator>James Centilli</dc:creator>
  <dc:description/>
  <dc:language>en-US</dc:language>
  <cp:lastModifiedBy>James Centilli</cp:lastModifiedBy>
  <cp:lastPrinted>2001-04-23T15:59:58Z</cp:lastPrinted>
  <cp:revision>0</cp:revision>
  <dc:subject/>
  <dc:title/>
</cp:coreProperties>
</file>