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s" sheetId="1" state="visible" r:id="rId3"/>
    <sheet name="NPV" sheetId="2" state="visible" r:id="rId4"/>
  </sheets>
  <definedNames>
    <definedName function="false" hidden="false" localSheetId="1" name="_xlnm.Print_Area" vbProcedure="false">NPV!$12:$39</definedName>
    <definedName function="false" hidden="false" localSheetId="1" name="_xlnm.Print_Titles" vbProcedure="false">NPV!$A:$A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<sst xmlns="http://schemas.openxmlformats.org/spreadsheetml/2006/main" count="143" uniqueCount="47">
  <si>
    <t xml:space="preserve">Transwestern Pipeline Company</t>
  </si>
  <si>
    <t xml:space="preserve">Red Rock Expanion</t>
  </si>
  <si>
    <t xml:space="preserve">Contracts </t>
  </si>
  <si>
    <t xml:space="preserve">Shipper</t>
  </si>
  <si>
    <t xml:space="preserve">Rate -1Yr</t>
  </si>
  <si>
    <t xml:space="preserve">Rate -2Yr</t>
  </si>
  <si>
    <t xml:space="preserve">Rate -3Yr</t>
  </si>
  <si>
    <t xml:space="preserve">Rate -4Yr</t>
  </si>
  <si>
    <t xml:space="preserve">Rate -5Yr</t>
  </si>
  <si>
    <t xml:space="preserve">Terms (Yrs)</t>
  </si>
  <si>
    <t xml:space="preserve">Term (months)</t>
  </si>
  <si>
    <t xml:space="preserve">Receipt</t>
  </si>
  <si>
    <t xml:space="preserve">Delivery</t>
  </si>
  <si>
    <t xml:space="preserve">Volume</t>
  </si>
  <si>
    <t xml:space="preserve">PPL</t>
  </si>
  <si>
    <t xml:space="preserve">30Yrs, 1 Month</t>
  </si>
  <si>
    <t xml:space="preserve">EOT</t>
  </si>
  <si>
    <t xml:space="preserve">Citizens/Griffith</t>
  </si>
  <si>
    <t xml:space="preserve">SoCal Needles</t>
  </si>
  <si>
    <t xml:space="preserve">Western</t>
  </si>
  <si>
    <t xml:space="preserve">Dyergy</t>
  </si>
  <si>
    <t xml:space="preserve">Aquila</t>
  </si>
  <si>
    <t xml:space="preserve">AEP</t>
  </si>
  <si>
    <t xml:space="preserve">PG&amp;E Topock</t>
  </si>
  <si>
    <t xml:space="preserve">Oneok</t>
  </si>
  <si>
    <t xml:space="preserve">1Yr, 10 Months</t>
  </si>
  <si>
    <t xml:space="preserve">Calpine</t>
  </si>
  <si>
    <t xml:space="preserve">US Gypsum</t>
  </si>
  <si>
    <t xml:space="preserve">12 Yrs, 3Months</t>
  </si>
  <si>
    <t xml:space="preserve">Conoco</t>
  </si>
  <si>
    <t xml:space="preserve">Conoco Canada</t>
  </si>
  <si>
    <t xml:space="preserve">Conoco Lobo</t>
  </si>
  <si>
    <t xml:space="preserve">Conoco Raptor</t>
  </si>
  <si>
    <t xml:space="preserve">BP Energy</t>
  </si>
  <si>
    <t xml:space="preserve">Frito Lay</t>
  </si>
  <si>
    <t xml:space="preserve">Newark Group</t>
  </si>
  <si>
    <t xml:space="preserve">Annual Contracts</t>
  </si>
  <si>
    <t xml:space="preserve">Discount Rate</t>
  </si>
  <si>
    <t xml:space="preserve">NPV @ 0%</t>
  </si>
  <si>
    <t xml:space="preserve">NPV @ 7.5%</t>
  </si>
  <si>
    <t xml:space="preserve">NPV @ 15%</t>
  </si>
  <si>
    <t xml:space="preserve">Per Unit (7.5% NPV)</t>
  </si>
  <si>
    <t xml:space="preserve">Gross Value</t>
  </si>
  <si>
    <t xml:space="preserve">Term (Yrs)</t>
  </si>
  <si>
    <t xml:space="preserve">Term (Months)</t>
  </si>
  <si>
    <t xml:space="preserve">Term (Days)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</si>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</sst>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0%"/>
    <numFmt numFmtId="170" formatCode="0.00%"/>
    <numFmt numFmtId="171" formatCode="[$-409]m/d/yyyy"/>
    <numFmt numFmtId="172" formatCode="_(\$* #,##0.0000_);_(\$* \(#,##0.0000\);_(\$* \-??_);_(@_)"/>
    <numFmt numFmtId="173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6" min="2" style="1" width="8.85"/>
    <col collapsed="false" customWidth="true" hidden="false" outlineLevel="0" max="7" min="7" style="0" width="14.7"/>
    <col collapsed="false" customWidth="true" hidden="false" outlineLevel="0" max="8" min="8" style="0" width="12.99"/>
    <col collapsed="false" customWidth="true" hidden="false" outlineLevel="0" max="9" min="9" style="0" width="7.28"/>
    <col collapsed="false" customWidth="true" hidden="false" outlineLevel="0" max="10" min="10" style="0" width="13.56"/>
    <col collapsed="false" customWidth="true" hidden="false" outlineLevel="0" max="11" min="11" style="2" width="10.28"/>
    <col collapsed="false" customWidth="true" hidden="false" outlineLevel="0" max="12" min="12" style="3" width="14.85"/>
    <col collapsed="false" customWidth="true" hidden="false" outlineLevel="0" max="13" min="13" style="0" width="7.56"/>
  </cols>
  <sheetData>
    <row r="1" customFormat="false" ht="15.75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 t="s">
        <v>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7" t="s">
        <v>13</v>
      </c>
    </row>
    <row r="6" customFormat="false" ht="12.75" hidden="false" customHeight="false" outlineLevel="0" collapsed="false">
      <c r="A6" s="0" t="s">
        <v>14</v>
      </c>
      <c r="B6" s="1" t="n">
        <v>0.35</v>
      </c>
      <c r="G6" s="0" t="s">
        <v>15</v>
      </c>
      <c r="H6" s="0" t="n">
        <v>361</v>
      </c>
      <c r="I6" s="0" t="s">
        <v>16</v>
      </c>
      <c r="J6" s="0" t="s">
        <v>17</v>
      </c>
      <c r="K6" s="2" t="n">
        <v>8000</v>
      </c>
    </row>
    <row r="7" customFormat="false" ht="12.75" hidden="false" customHeight="false" outlineLevel="0" collapsed="false">
      <c r="A7" s="0" t="s">
        <v>14</v>
      </c>
      <c r="B7" s="1" t="n">
        <v>0.4</v>
      </c>
      <c r="G7" s="0" t="s">
        <v>15</v>
      </c>
      <c r="H7" s="0" t="n">
        <v>361</v>
      </c>
      <c r="I7" s="0" t="s">
        <v>16</v>
      </c>
      <c r="J7" s="0" t="s">
        <v>18</v>
      </c>
      <c r="K7" s="2" t="n">
        <v>12000</v>
      </c>
    </row>
    <row r="8" customFormat="false" ht="12.75" hidden="false" customHeight="false" outlineLevel="0" collapsed="false">
      <c r="A8" s="0" t="s">
        <v>19</v>
      </c>
      <c r="B8" s="1" t="n">
        <v>0.38</v>
      </c>
      <c r="G8" s="0" t="n">
        <v>15</v>
      </c>
      <c r="H8" s="0" t="n">
        <f aca="false">+G8*12</f>
        <v>180</v>
      </c>
      <c r="I8" s="0" t="s">
        <v>16</v>
      </c>
      <c r="J8" s="0" t="s">
        <v>18</v>
      </c>
      <c r="K8" s="2" t="n">
        <v>5000</v>
      </c>
    </row>
    <row r="9" customFormat="false" ht="12.75" hidden="false" customHeight="false" outlineLevel="0" collapsed="false">
      <c r="A9" s="0" t="s">
        <v>19</v>
      </c>
      <c r="B9" s="1" t="n">
        <v>0.39</v>
      </c>
      <c r="G9" s="0" t="n">
        <v>15</v>
      </c>
      <c r="H9" s="0" t="n">
        <f aca="false">+G9*12</f>
        <v>180</v>
      </c>
      <c r="I9" s="0" t="s">
        <v>16</v>
      </c>
      <c r="J9" s="0" t="s">
        <v>18</v>
      </c>
      <c r="K9" s="2" t="n">
        <v>5000</v>
      </c>
    </row>
    <row r="10" customFormat="false" ht="12.75" hidden="false" customHeight="false" outlineLevel="0" collapsed="false">
      <c r="A10" s="0" t="s">
        <v>20</v>
      </c>
      <c r="B10" s="1" t="n">
        <v>0.55</v>
      </c>
      <c r="G10" s="0" t="n">
        <v>5</v>
      </c>
      <c r="H10" s="0" t="n">
        <f aca="false">+G10*12</f>
        <v>60</v>
      </c>
      <c r="I10" s="0" t="s">
        <v>16</v>
      </c>
      <c r="J10" s="0" t="s">
        <v>18</v>
      </c>
      <c r="K10" s="2" t="n">
        <v>30000</v>
      </c>
    </row>
    <row r="11" customFormat="false" ht="12.75" hidden="false" customHeight="false" outlineLevel="0" collapsed="false">
      <c r="A11" s="0" t="s">
        <v>21</v>
      </c>
      <c r="B11" s="1" t="n">
        <v>0.63</v>
      </c>
      <c r="G11" s="0" t="n">
        <v>5</v>
      </c>
      <c r="H11" s="0" t="n">
        <f aca="false">+G11*12</f>
        <v>60</v>
      </c>
      <c r="I11" s="0" t="s">
        <v>16</v>
      </c>
      <c r="J11" s="0" t="s">
        <v>18</v>
      </c>
      <c r="K11" s="2" t="n">
        <v>50000</v>
      </c>
    </row>
    <row r="12" customFormat="false" ht="12.75" hidden="false" customHeight="false" outlineLevel="0" collapsed="false">
      <c r="A12" s="0" t="s">
        <v>22</v>
      </c>
      <c r="B12" s="1" t="n">
        <v>0.63</v>
      </c>
      <c r="G12" s="0" t="n">
        <v>2</v>
      </c>
      <c r="H12" s="0" t="n">
        <f aca="false">+G12*12</f>
        <v>24</v>
      </c>
      <c r="I12" s="0" t="s">
        <v>16</v>
      </c>
      <c r="J12" s="0" t="s">
        <v>18</v>
      </c>
      <c r="K12" s="2" t="n">
        <v>20000</v>
      </c>
    </row>
    <row r="13" customFormat="false" ht="12.75" hidden="false" customHeight="false" outlineLevel="0" collapsed="false">
      <c r="A13" s="0" t="s">
        <v>22</v>
      </c>
      <c r="B13" s="1" t="n">
        <v>0.63</v>
      </c>
      <c r="G13" s="0" t="n">
        <v>1</v>
      </c>
      <c r="H13" s="0" t="n">
        <f aca="false">+G13*12</f>
        <v>12</v>
      </c>
      <c r="I13" s="0" t="s">
        <v>16</v>
      </c>
      <c r="J13" s="0" t="s">
        <v>23</v>
      </c>
      <c r="K13" s="2" t="n">
        <v>10000</v>
      </c>
    </row>
    <row r="14" customFormat="false" ht="12.75" hidden="false" customHeight="false" outlineLevel="0" collapsed="false">
      <c r="A14" s="0" t="s">
        <v>24</v>
      </c>
      <c r="B14" s="1" t="n">
        <v>1.75</v>
      </c>
      <c r="C14" s="1" t="n">
        <v>0.75</v>
      </c>
      <c r="G14" s="8" t="s">
        <v>25</v>
      </c>
      <c r="H14" s="0" t="n">
        <v>22</v>
      </c>
      <c r="I14" s="0" t="s">
        <v>16</v>
      </c>
      <c r="J14" s="0" t="s">
        <v>18</v>
      </c>
      <c r="K14" s="2" t="n">
        <v>50000</v>
      </c>
    </row>
    <row r="15" customFormat="false" ht="12.75" hidden="false" customHeight="false" outlineLevel="0" collapsed="false">
      <c r="A15" s="0" t="s">
        <v>26</v>
      </c>
      <c r="B15" s="1" t="n">
        <v>0.38</v>
      </c>
      <c r="G15" s="0" t="n">
        <v>15</v>
      </c>
      <c r="H15" s="0" t="n">
        <f aca="false">+G15*12</f>
        <v>180</v>
      </c>
      <c r="I15" s="0" t="s">
        <v>16</v>
      </c>
      <c r="J15" s="0" t="s">
        <v>23</v>
      </c>
      <c r="K15" s="2" t="n">
        <v>40000</v>
      </c>
    </row>
    <row r="16" customFormat="false" ht="12.75" hidden="false" customHeight="false" outlineLevel="0" collapsed="false">
      <c r="A16" s="0" t="s">
        <v>27</v>
      </c>
      <c r="B16" s="1" t="n">
        <v>0.42</v>
      </c>
      <c r="G16" s="0" t="s">
        <v>28</v>
      </c>
      <c r="H16" s="0" t="n">
        <v>147</v>
      </c>
      <c r="I16" s="0" t="s">
        <v>16</v>
      </c>
      <c r="J16" s="0" t="s">
        <v>18</v>
      </c>
      <c r="K16" s="2" t="n">
        <v>4500</v>
      </c>
    </row>
    <row r="17" customFormat="false" ht="12.75" hidden="false" customHeight="false" outlineLevel="0" collapsed="false">
      <c r="A17" s="0" t="s">
        <v>29</v>
      </c>
      <c r="B17" s="1" t="n">
        <v>0.84</v>
      </c>
      <c r="G17" s="0" t="n">
        <v>2</v>
      </c>
      <c r="H17" s="0" t="n">
        <f aca="false">+G17*12</f>
        <v>24</v>
      </c>
      <c r="I17" s="0" t="s">
        <v>16</v>
      </c>
      <c r="J17" s="0" t="s">
        <v>18</v>
      </c>
      <c r="K17" s="2" t="n">
        <v>50000</v>
      </c>
    </row>
    <row r="18" customFormat="false" ht="12.75" hidden="false" customHeight="false" outlineLevel="0" collapsed="false">
      <c r="A18" s="0" t="s">
        <v>30</v>
      </c>
      <c r="B18" s="1" t="n">
        <v>0.84</v>
      </c>
      <c r="G18" s="0" t="n">
        <v>2</v>
      </c>
      <c r="H18" s="0" t="n">
        <f aca="false">+G18*12</f>
        <v>24</v>
      </c>
      <c r="I18" s="0" t="s">
        <v>16</v>
      </c>
      <c r="J18" s="0" t="s">
        <v>18</v>
      </c>
      <c r="K18" s="2" t="n">
        <v>50000</v>
      </c>
    </row>
    <row r="19" customFormat="false" ht="12.75" hidden="false" customHeight="false" outlineLevel="0" collapsed="false">
      <c r="A19" s="0" t="s">
        <v>31</v>
      </c>
      <c r="B19" s="1" t="n">
        <v>0.84</v>
      </c>
      <c r="G19" s="0" t="n">
        <v>2</v>
      </c>
      <c r="H19" s="0" t="n">
        <f aca="false">+G19*12</f>
        <v>24</v>
      </c>
      <c r="I19" s="0" t="s">
        <v>16</v>
      </c>
      <c r="J19" s="0" t="s">
        <v>18</v>
      </c>
      <c r="K19" s="2" t="n">
        <v>50000</v>
      </c>
    </row>
    <row r="20" customFormat="false" ht="12.75" hidden="false" customHeight="false" outlineLevel="0" collapsed="false">
      <c r="A20" s="0" t="s">
        <v>31</v>
      </c>
      <c r="B20" s="1" t="n">
        <v>0.81</v>
      </c>
      <c r="G20" s="0" t="n">
        <v>2</v>
      </c>
      <c r="H20" s="0" t="n">
        <f aca="false">+G20*12</f>
        <v>24</v>
      </c>
      <c r="I20" s="0" t="s">
        <v>16</v>
      </c>
      <c r="J20" s="0" t="s">
        <v>18</v>
      </c>
      <c r="K20" s="2" t="n">
        <v>50000</v>
      </c>
    </row>
    <row r="21" customFormat="false" ht="12.75" hidden="false" customHeight="false" outlineLevel="0" collapsed="false">
      <c r="A21" s="0" t="s">
        <v>32</v>
      </c>
      <c r="B21" s="1" t="n">
        <v>0.81</v>
      </c>
      <c r="G21" s="0" t="n">
        <v>2</v>
      </c>
      <c r="H21" s="0" t="n">
        <f aca="false">+G21*12</f>
        <v>24</v>
      </c>
      <c r="I21" s="0" t="s">
        <v>16</v>
      </c>
      <c r="J21" s="0" t="s">
        <v>18</v>
      </c>
      <c r="K21" s="2" t="n">
        <v>50000</v>
      </c>
    </row>
    <row r="22" customFormat="false" ht="12.75" hidden="false" customHeight="false" outlineLevel="0" collapsed="false">
      <c r="A22" s="0" t="s">
        <v>32</v>
      </c>
      <c r="B22" s="1" t="n">
        <v>0.84</v>
      </c>
      <c r="G22" s="0" t="n">
        <v>2</v>
      </c>
      <c r="H22" s="0" t="n">
        <f aca="false">+G22*12</f>
        <v>24</v>
      </c>
      <c r="I22" s="0" t="s">
        <v>16</v>
      </c>
      <c r="J22" s="0" t="s">
        <v>18</v>
      </c>
      <c r="K22" s="2" t="n">
        <v>50000</v>
      </c>
    </row>
    <row r="23" customFormat="false" ht="12.75" hidden="false" customHeight="false" outlineLevel="0" collapsed="false">
      <c r="A23" s="0" t="s">
        <v>33</v>
      </c>
      <c r="B23" s="1" t="n">
        <v>1.12</v>
      </c>
      <c r="C23" s="1" t="n">
        <v>0.76</v>
      </c>
      <c r="D23" s="1" t="n">
        <v>0.43</v>
      </c>
      <c r="E23" s="1" t="n">
        <v>0.38</v>
      </c>
      <c r="F23" s="1" t="n">
        <v>0.38</v>
      </c>
      <c r="G23" s="0" t="n">
        <v>5</v>
      </c>
      <c r="H23" s="0" t="n">
        <f aca="false">+G23*12</f>
        <v>60</v>
      </c>
      <c r="I23" s="0" t="s">
        <v>16</v>
      </c>
      <c r="J23" s="0" t="s">
        <v>18</v>
      </c>
      <c r="K23" s="2" t="n">
        <v>15000</v>
      </c>
    </row>
    <row r="24" customFormat="false" ht="12.75" hidden="false" customHeight="false" outlineLevel="0" collapsed="false">
      <c r="A24" s="0" t="s">
        <v>33</v>
      </c>
      <c r="B24" s="1" t="n">
        <v>1.723</v>
      </c>
      <c r="C24" s="1" t="n">
        <v>0.364</v>
      </c>
      <c r="D24" s="1" t="n">
        <v>0.2045</v>
      </c>
      <c r="E24" s="1" t="n">
        <v>0.2009</v>
      </c>
      <c r="F24" s="1" t="n">
        <v>0.2012</v>
      </c>
      <c r="G24" s="0" t="n">
        <v>5</v>
      </c>
      <c r="H24" s="0" t="n">
        <f aca="false">+G24*12</f>
        <v>60</v>
      </c>
      <c r="I24" s="0" t="s">
        <v>16</v>
      </c>
      <c r="J24" s="0" t="s">
        <v>18</v>
      </c>
      <c r="K24" s="2" t="n">
        <v>15000</v>
      </c>
    </row>
    <row r="25" customFormat="false" ht="12.75" hidden="false" customHeight="false" outlineLevel="0" collapsed="false">
      <c r="A25" s="0" t="s">
        <v>34</v>
      </c>
      <c r="B25" s="1" t="n">
        <v>0.38</v>
      </c>
      <c r="G25" s="0" t="n">
        <v>15</v>
      </c>
      <c r="H25" s="0" t="n">
        <f aca="false">+G25*12</f>
        <v>180</v>
      </c>
      <c r="I25" s="0" t="s">
        <v>16</v>
      </c>
      <c r="J25" s="0" t="s">
        <v>18</v>
      </c>
      <c r="K25" s="2" t="n">
        <v>2700</v>
      </c>
    </row>
    <row r="26" customFormat="false" ht="12.75" hidden="false" customHeight="false" outlineLevel="0" collapsed="false">
      <c r="A26" s="0" t="s">
        <v>34</v>
      </c>
      <c r="B26" s="1" t="n">
        <v>2.2</v>
      </c>
      <c r="G26" s="0" t="n">
        <v>1</v>
      </c>
      <c r="H26" s="0" t="n">
        <f aca="false">+G26*12</f>
        <v>12</v>
      </c>
      <c r="I26" s="0" t="s">
        <v>16</v>
      </c>
      <c r="J26" s="0" t="s">
        <v>18</v>
      </c>
      <c r="K26" s="2" t="n">
        <v>3300</v>
      </c>
    </row>
    <row r="27" customFormat="false" ht="12.75" hidden="false" customHeight="false" outlineLevel="0" collapsed="false">
      <c r="A27" s="0" t="s">
        <v>34</v>
      </c>
      <c r="B27" s="1" t="n">
        <v>2.2</v>
      </c>
      <c r="G27" s="0" t="n">
        <v>1</v>
      </c>
      <c r="H27" s="0" t="n">
        <f aca="false">+G27*12</f>
        <v>12</v>
      </c>
      <c r="I27" s="0" t="s">
        <v>16</v>
      </c>
      <c r="J27" s="0" t="s">
        <v>18</v>
      </c>
      <c r="K27" s="2" t="n">
        <v>2000</v>
      </c>
    </row>
    <row r="28" customFormat="false" ht="12.75" hidden="false" customHeight="false" outlineLevel="0" collapsed="false">
      <c r="A28" s="0" t="s">
        <v>35</v>
      </c>
      <c r="B28" s="1" t="n">
        <v>0.65</v>
      </c>
      <c r="G28" s="0" t="n">
        <v>5</v>
      </c>
      <c r="H28" s="0" t="n">
        <f aca="false">+G28*12</f>
        <v>60</v>
      </c>
      <c r="I28" s="0" t="s">
        <v>16</v>
      </c>
      <c r="J28" s="0" t="s">
        <v>18</v>
      </c>
      <c r="K28" s="2" t="n">
        <v>800</v>
      </c>
    </row>
    <row r="29" customFormat="false" ht="12.75" hidden="false" customHeight="false" outlineLevel="0" collapsed="false">
      <c r="A29" s="0" t="s">
        <v>35</v>
      </c>
      <c r="B29" s="1" t="n">
        <v>0.15</v>
      </c>
      <c r="G29" s="0" t="n">
        <v>5</v>
      </c>
      <c r="H29" s="0" t="n">
        <f aca="false">+G29*12</f>
        <v>60</v>
      </c>
      <c r="I29" s="0" t="s">
        <v>16</v>
      </c>
      <c r="J29" s="0" t="s">
        <v>23</v>
      </c>
      <c r="K29" s="2" t="n">
        <v>1500</v>
      </c>
    </row>
  </sheetData>
  <printOptions headings="false" gridLines="false" gridLinesSet="true" horizontalCentered="false" verticalCentered="false"/>
  <pageMargins left="0.747916666666667" right="0.747916666666667" top="0.5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51"/>
  <sheetViews>
    <sheetView showFormulas="false" showGridLines="true" showRowColHeaders="true" showZeros="true" rightToLeft="false" tabSelected="true" showOutlineSymbols="true" defaultGridColor="true" view="normal" topLeftCell="I4" colorId="64" zoomScale="100" zoomScaleNormal="100" zoomScalePageLayoutView="100" workbookViewId="0">
      <selection pane="topLeft" activeCell="U31" activeCellId="0" sqref="U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3.28"/>
    <col collapsed="false" customWidth="true" hidden="false" outlineLevel="0" max="4" min="3" style="3" width="13.28"/>
    <col collapsed="false" customWidth="true" hidden="false" outlineLevel="0" max="5" min="5" style="3" width="19.28"/>
    <col collapsed="false" customWidth="true" hidden="false" outlineLevel="0" max="6" min="6" style="3" width="13.28"/>
    <col collapsed="false" customWidth="true" hidden="false" outlineLevel="0" max="7" min="7" style="0" width="14.7"/>
    <col collapsed="false" customWidth="true" hidden="false" outlineLevel="0" max="8" min="8" style="0" width="12.99"/>
    <col collapsed="false" customWidth="true" hidden="false" outlineLevel="0" max="9" min="9" style="0" width="11.13"/>
    <col collapsed="false" customWidth="true" hidden="false" outlineLevel="0" max="10" min="10" style="0" width="8.7"/>
    <col collapsed="false" customWidth="true" hidden="false" outlineLevel="0" max="15" min="11" style="0" width="8.85"/>
    <col collapsed="false" customWidth="true" hidden="false" outlineLevel="0" max="20" min="16" style="0" width="12.28"/>
    <col collapsed="false" customWidth="true" hidden="false" outlineLevel="0" max="45" min="21" style="0" width="11.28"/>
    <col collapsed="false" customWidth="true" hidden="false" outlineLevel="0" max="46" min="46" style="0" width="9.7"/>
  </cols>
  <sheetData>
    <row r="1" customFormat="false" ht="15.75" hidden="false" customHeight="false" outlineLevel="0" collapsed="false">
      <c r="A1" s="4" t="s">
        <v>0</v>
      </c>
      <c r="B1" s="4"/>
    </row>
    <row r="2" customFormat="false" ht="15.75" hidden="false" customHeight="false" outlineLevel="0" collapsed="false">
      <c r="A2" s="4" t="s">
        <v>1</v>
      </c>
      <c r="B2" s="4"/>
    </row>
    <row r="3" customFormat="false" ht="15.75" hidden="false" customHeight="false" outlineLevel="0" collapsed="false">
      <c r="A3" s="4" t="s">
        <v>2</v>
      </c>
      <c r="B3" s="4"/>
    </row>
    <row r="4" customFormat="false" ht="12.75" hidden="false" customHeight="false" outlineLevel="0" collapsed="false">
      <c r="P4" s="9" t="n">
        <v>1</v>
      </c>
      <c r="Q4" s="9" t="n">
        <v>2</v>
      </c>
      <c r="R4" s="9" t="n">
        <v>3</v>
      </c>
      <c r="S4" s="9" t="n">
        <v>4</v>
      </c>
      <c r="T4" s="9" t="n">
        <v>5</v>
      </c>
      <c r="U4" s="9" t="n">
        <v>6</v>
      </c>
      <c r="V4" s="9" t="n">
        <v>7</v>
      </c>
      <c r="W4" s="9" t="n">
        <v>8</v>
      </c>
      <c r="X4" s="9" t="n">
        <v>9</v>
      </c>
      <c r="Y4" s="9" t="n">
        <v>10</v>
      </c>
      <c r="Z4" s="9" t="n">
        <v>11</v>
      </c>
      <c r="AA4" s="9" t="n">
        <v>12</v>
      </c>
      <c r="AB4" s="9" t="n">
        <v>13</v>
      </c>
      <c r="AC4" s="9" t="n">
        <v>14</v>
      </c>
      <c r="AD4" s="9" t="n">
        <v>15</v>
      </c>
      <c r="AE4" s="9" t="n">
        <v>16</v>
      </c>
      <c r="AF4" s="9" t="n">
        <v>17</v>
      </c>
      <c r="AG4" s="9" t="n">
        <v>18</v>
      </c>
      <c r="AH4" s="9" t="n">
        <v>19</v>
      </c>
      <c r="AI4" s="9" t="n">
        <v>20</v>
      </c>
      <c r="AJ4" s="9" t="n">
        <v>21</v>
      </c>
      <c r="AK4" s="9" t="n">
        <v>22</v>
      </c>
      <c r="AL4" s="9" t="n">
        <v>23</v>
      </c>
      <c r="AM4" s="9" t="n">
        <v>24</v>
      </c>
      <c r="AN4" s="9" t="n">
        <v>25</v>
      </c>
      <c r="AO4" s="9" t="n">
        <v>26</v>
      </c>
      <c r="AP4" s="9" t="n">
        <v>27</v>
      </c>
      <c r="AQ4" s="9" t="n">
        <v>28</v>
      </c>
      <c r="AR4" s="9" t="n">
        <v>29</v>
      </c>
      <c r="AS4" s="9" t="n">
        <v>30</v>
      </c>
      <c r="AT4" s="9" t="n">
        <v>31</v>
      </c>
    </row>
    <row r="5" customFormat="false" ht="12.75" hidden="false" customHeight="false" outlineLevel="0" collapsed="false">
      <c r="E5" s="10"/>
    </row>
    <row r="7" customFormat="false" ht="12.75" hidden="false" customHeight="false" outlineLevel="0" collapsed="false">
      <c r="A7" s="0" t="s">
        <v>33</v>
      </c>
      <c r="P7" s="0" t="n">
        <f aca="false">"6/1/03"-"6/1/02"</f>
        <v>365</v>
      </c>
      <c r="Q7" s="0" t="n">
        <f aca="false">"6/1/04"-"6/1/03"</f>
        <v>366</v>
      </c>
      <c r="R7" s="0" t="n">
        <f aca="false">"11/1/04"-"6/1/04"</f>
        <v>153</v>
      </c>
    </row>
    <row r="8" customFormat="false" ht="12.75" hidden="false" customHeight="false" outlineLevel="0" collapsed="false">
      <c r="A8" s="0" t="s">
        <v>33</v>
      </c>
      <c r="P8" s="0" t="n">
        <f aca="false">"1/1/03"-"6/1/02"</f>
        <v>214</v>
      </c>
      <c r="Q8" s="0" t="n">
        <f aca="false">"12/31/04"-"12/31/03"</f>
        <v>366</v>
      </c>
      <c r="R8" s="0" t="n">
        <f aca="false">"12/31/05"-"12/31/04"</f>
        <v>365</v>
      </c>
      <c r="S8" s="0" t="n">
        <f aca="false">"12/31/06"-"12/31/05"</f>
        <v>365</v>
      </c>
      <c r="T8" s="0" t="n">
        <f aca="false">"12/31/07"-"12/31/06"</f>
        <v>365</v>
      </c>
      <c r="U8" s="0" t="n">
        <f aca="false">"6/1/07"-"12/31/06"</f>
        <v>152</v>
      </c>
    </row>
    <row r="9" customFormat="false" ht="12.75" hidden="false" customHeight="false" outlineLevel="0" collapsed="false">
      <c r="A9" s="0" t="s">
        <v>27</v>
      </c>
      <c r="P9" s="0" t="n">
        <f aca="false">"6/1/03"-"6/1/02"</f>
        <v>365</v>
      </c>
      <c r="Q9" s="0" t="n">
        <f aca="false">"6/1/04"-"6/1/03"</f>
        <v>366</v>
      </c>
      <c r="R9" s="0" t="n">
        <f aca="false">"6/1/05"-"6/1/04"</f>
        <v>365</v>
      </c>
      <c r="S9" s="0" t="n">
        <f aca="false">"6/1/06"-"6/1/05"</f>
        <v>365</v>
      </c>
      <c r="T9" s="0" t="n">
        <f aca="false">"6/1/07"-"6/1/06"</f>
        <v>365</v>
      </c>
      <c r="U9" s="0" t="n">
        <f aca="false">"6/1/08"-"6/1/07"</f>
        <v>366</v>
      </c>
      <c r="V9" s="0" t="n">
        <f aca="false">"6/1/09"-"6/1/08"</f>
        <v>365</v>
      </c>
      <c r="W9" s="0" t="n">
        <f aca="false">"6/1/2010"-"6/1/09"</f>
        <v>365</v>
      </c>
      <c r="X9" s="0" t="n">
        <f aca="false">"6/1/2011"-"6/1/2010"</f>
        <v>365</v>
      </c>
      <c r="Y9" s="0" t="n">
        <f aca="false">"6/1/2012"-"6/1/2011"</f>
        <v>366</v>
      </c>
      <c r="Z9" s="0" t="n">
        <f aca="false">"6/1/2013"-"6/1/2012"</f>
        <v>365</v>
      </c>
      <c r="AA9" s="0" t="n">
        <f aca="false">"6/1/2014"-"6/1/2013"</f>
        <v>365</v>
      </c>
      <c r="AB9" s="0" t="n">
        <f aca="false">"9/1/2014"-"6/1/2014"</f>
        <v>92</v>
      </c>
    </row>
    <row r="10" customFormat="false" ht="12.75" hidden="false" customHeight="false" outlineLevel="0" collapsed="false">
      <c r="A10" s="0" t="s">
        <v>24</v>
      </c>
      <c r="P10" s="0" t="n">
        <f aca="false">"4/1/03"-"6/1/02"</f>
        <v>304</v>
      </c>
      <c r="Q10" s="0" t="n">
        <f aca="false">"4/1/04"-"4/1/03"</f>
        <v>366</v>
      </c>
    </row>
    <row r="11" customFormat="false" ht="12.75" hidden="false" customHeight="false" outlineLevel="0" collapsed="false">
      <c r="A11" s="0" t="s">
        <v>36</v>
      </c>
      <c r="F11" s="10"/>
      <c r="P11" s="0" t="n">
        <f aca="false">"6/1/03"-"6/1/02"</f>
        <v>365</v>
      </c>
      <c r="Q11" s="0" t="n">
        <f aca="false">"6/1/04"-"6/1/03"</f>
        <v>366</v>
      </c>
      <c r="R11" s="0" t="n">
        <f aca="false">"6/1/05"-"6/1/04"</f>
        <v>365</v>
      </c>
      <c r="S11" s="0" t="n">
        <f aca="false">"6/1/06"-"6/1/05"</f>
        <v>365</v>
      </c>
      <c r="T11" s="0" t="n">
        <f aca="false">"6/1/07"-"6/1/06"</f>
        <v>365</v>
      </c>
      <c r="U11" s="0" t="n">
        <f aca="false">"6/1/08"-"6/1/07"</f>
        <v>366</v>
      </c>
      <c r="V11" s="0" t="n">
        <f aca="false">"6/1/09"-"6/1/08"</f>
        <v>365</v>
      </c>
      <c r="W11" s="0" t="n">
        <f aca="false">"6/1/2010"-"6/1/09"</f>
        <v>365</v>
      </c>
      <c r="X11" s="0" t="n">
        <f aca="false">"6/1/2011"-"6/1/2010"</f>
        <v>365</v>
      </c>
      <c r="Y11" s="0" t="n">
        <f aca="false">"6/1/2012"-"6/1/2011"</f>
        <v>366</v>
      </c>
      <c r="Z11" s="0" t="n">
        <f aca="false">"6/1/2013"-"6/1/2012"</f>
        <v>365</v>
      </c>
      <c r="AA11" s="0" t="n">
        <f aca="false">"6/1/2014"-"6/1/2013"</f>
        <v>365</v>
      </c>
      <c r="AB11" s="0" t="n">
        <f aca="false">"6/1/2015"-"6/1/2014"</f>
        <v>365</v>
      </c>
      <c r="AC11" s="0" t="n">
        <f aca="false">"6/1/2016"-"6/1/2015"</f>
        <v>366</v>
      </c>
      <c r="AD11" s="0" t="n">
        <f aca="false">"6/1/2017"-"6/1/2016"</f>
        <v>365</v>
      </c>
      <c r="AE11" s="0" t="n">
        <f aca="false">"6/1/2018"-"6/1/2017"</f>
        <v>365</v>
      </c>
      <c r="AF11" s="0" t="n">
        <f aca="false">"6/1/2019"-"6/1/2018"</f>
        <v>365</v>
      </c>
      <c r="AG11" s="0" t="n">
        <f aca="false">"6/1/2020"-"6/1/2019"</f>
        <v>366</v>
      </c>
      <c r="AH11" s="0" t="n">
        <f aca="false">"6/1/2021"-"6/1/2020"</f>
        <v>365</v>
      </c>
      <c r="AI11" s="0" t="n">
        <f aca="false">"6/1/2022"-"6/1/2021"</f>
        <v>365</v>
      </c>
      <c r="AJ11" s="0" t="n">
        <f aca="false">"6/1/2023"-"6/1/2022"</f>
        <v>365</v>
      </c>
      <c r="AK11" s="0" t="n">
        <f aca="false">"6/1/2024"-"6/1/2023"</f>
        <v>366</v>
      </c>
      <c r="AL11" s="0" t="n">
        <f aca="false">"6/1/2025"-"6/1/2024"</f>
        <v>365</v>
      </c>
      <c r="AM11" s="0" t="n">
        <f aca="false">"6/1/2026"-"6/1/2025"</f>
        <v>365</v>
      </c>
      <c r="AN11" s="0" t="n">
        <f aca="false">"6/1/2027"-"6/1/2026"</f>
        <v>365</v>
      </c>
      <c r="AO11" s="0" t="n">
        <f aca="false">"6/1/2028"-"6/1/2027"</f>
        <v>366</v>
      </c>
      <c r="AP11" s="0" t="n">
        <f aca="false">"6/1/2029"-"6/1/2028"</f>
        <v>365</v>
      </c>
      <c r="AQ11" s="0" t="n">
        <f aca="false">"6/1/2030"-"6/1/2029"</f>
        <v>365</v>
      </c>
      <c r="AR11" s="0" t="n">
        <f aca="false">"6/1/2031"-"6/1/2030"</f>
        <v>365</v>
      </c>
      <c r="AS11" s="0" t="n">
        <f aca="false">"6/1/2032"-"6/1/2031"</f>
        <v>366</v>
      </c>
      <c r="AT11" s="0" t="n">
        <f aca="false">"7/1/2031"-"6/1/2031"</f>
        <v>30</v>
      </c>
    </row>
    <row r="12" customFormat="false" ht="13.5" hidden="false" customHeight="false" outlineLevel="0" collapsed="false">
      <c r="A12" s="0" t="s">
        <v>37</v>
      </c>
      <c r="B12" s="11" t="n">
        <v>0</v>
      </c>
      <c r="C12" s="10" t="n">
        <v>0.075</v>
      </c>
      <c r="D12" s="10" t="n">
        <v>0.15</v>
      </c>
      <c r="F12" s="10"/>
    </row>
    <row r="13" customFormat="false" ht="13.5" hidden="false" customHeight="false" outlineLevel="0" collapsed="false">
      <c r="A13" s="5" t="s">
        <v>3</v>
      </c>
      <c r="B13" s="12" t="s">
        <v>38</v>
      </c>
      <c r="C13" s="12" t="s">
        <v>39</v>
      </c>
      <c r="D13" s="12" t="s">
        <v>40</v>
      </c>
      <c r="E13" s="12" t="s">
        <v>41</v>
      </c>
      <c r="F13" s="12" t="s">
        <v>42</v>
      </c>
      <c r="G13" s="6" t="s">
        <v>43</v>
      </c>
      <c r="H13" s="6" t="s">
        <v>44</v>
      </c>
      <c r="I13" s="6" t="s">
        <v>45</v>
      </c>
      <c r="J13" s="6" t="s">
        <v>13</v>
      </c>
      <c r="K13" s="6" t="s">
        <v>4</v>
      </c>
      <c r="L13" s="6" t="s">
        <v>5</v>
      </c>
      <c r="M13" s="6" t="s">
        <v>6</v>
      </c>
      <c r="N13" s="6" t="s">
        <v>7</v>
      </c>
      <c r="O13" s="6" t="s">
        <v>8</v>
      </c>
      <c r="P13" s="13" t="n">
        <v>37408</v>
      </c>
      <c r="Q13" s="13" t="n">
        <v>37773</v>
      </c>
      <c r="R13" s="13" t="n">
        <v>38139</v>
      </c>
      <c r="S13" s="13" t="n">
        <v>38504</v>
      </c>
      <c r="T13" s="13" t="n">
        <v>38869</v>
      </c>
      <c r="U13" s="13" t="n">
        <v>39234</v>
      </c>
      <c r="V13" s="13" t="n">
        <v>39600</v>
      </c>
      <c r="W13" s="13" t="n">
        <v>39965</v>
      </c>
      <c r="X13" s="13" t="n">
        <v>40330</v>
      </c>
      <c r="Y13" s="13" t="n">
        <v>40695</v>
      </c>
      <c r="Z13" s="13" t="n">
        <v>41061</v>
      </c>
      <c r="AA13" s="13" t="n">
        <v>41426</v>
      </c>
      <c r="AB13" s="13" t="n">
        <v>41791</v>
      </c>
      <c r="AC13" s="13" t="n">
        <v>42156</v>
      </c>
      <c r="AD13" s="13" t="n">
        <v>42522</v>
      </c>
      <c r="AE13" s="13" t="n">
        <v>42887</v>
      </c>
      <c r="AF13" s="13" t="n">
        <v>43252</v>
      </c>
      <c r="AG13" s="13" t="n">
        <v>43617</v>
      </c>
      <c r="AH13" s="13" t="n">
        <v>43983</v>
      </c>
      <c r="AI13" s="13" t="n">
        <v>44348</v>
      </c>
      <c r="AJ13" s="13" t="n">
        <v>44713</v>
      </c>
      <c r="AK13" s="13" t="n">
        <v>45078</v>
      </c>
      <c r="AL13" s="13" t="n">
        <v>45444</v>
      </c>
      <c r="AM13" s="13" t="n">
        <v>45809</v>
      </c>
      <c r="AN13" s="13" t="n">
        <v>46174</v>
      </c>
      <c r="AO13" s="13" t="n">
        <v>46539</v>
      </c>
      <c r="AP13" s="13" t="n">
        <v>46905</v>
      </c>
      <c r="AQ13" s="13" t="n">
        <v>47270</v>
      </c>
      <c r="AR13" s="13" t="n">
        <v>47635</v>
      </c>
      <c r="AS13" s="13" t="n">
        <v>48000</v>
      </c>
      <c r="AT13" s="14" t="n">
        <v>11505</v>
      </c>
    </row>
    <row r="14" customFormat="false" ht="12.75" hidden="false" customHeight="false" outlineLevel="0" collapsed="false">
      <c r="A14" s="0" t="s">
        <v>14</v>
      </c>
      <c r="B14" s="3" t="n">
        <f aca="false">NPV(B$12,P14:AT14)</f>
        <v>30766400</v>
      </c>
      <c r="C14" s="3" t="n">
        <f aca="false">NPV(C$12,P14:AT14)</f>
        <v>12087832.0409889</v>
      </c>
      <c r="D14" s="3" t="n">
        <f aca="false">NPV(D$12,P14:AT14)</f>
        <v>6716421.79278153</v>
      </c>
      <c r="E14" s="15" t="n">
        <f aca="false">+C14/(J14*I14)</f>
        <v>0.137511740546379</v>
      </c>
      <c r="F14" s="3" t="n">
        <f aca="false">SUM(P14:AT14)</f>
        <v>30766400</v>
      </c>
      <c r="G14" s="0" t="s">
        <v>15</v>
      </c>
      <c r="H14" s="0" t="n">
        <v>361</v>
      </c>
      <c r="I14" s="0" t="n">
        <f aca="false">SUM($P$11:$AT$11)</f>
        <v>10988</v>
      </c>
      <c r="J14" s="2" t="n">
        <v>8000</v>
      </c>
      <c r="K14" s="1" t="n">
        <v>0.35</v>
      </c>
      <c r="L14" s="1"/>
      <c r="M14" s="1"/>
      <c r="N14" s="1"/>
      <c r="O14" s="1"/>
      <c r="P14" s="3" t="n">
        <f aca="false">+$K14*$J14*P$11</f>
        <v>1022000</v>
      </c>
      <c r="Q14" s="3" t="n">
        <f aca="false">+$K14*$J14*Q$11</f>
        <v>1024800</v>
      </c>
      <c r="R14" s="3" t="n">
        <f aca="false">+$K14*$J14*R$11</f>
        <v>1022000</v>
      </c>
      <c r="S14" s="3" t="n">
        <f aca="false">+$K14*$J14*S$11</f>
        <v>1022000</v>
      </c>
      <c r="T14" s="3" t="n">
        <f aca="false">+$K14*$J14*T$11</f>
        <v>1022000</v>
      </c>
      <c r="U14" s="3" t="n">
        <f aca="false">+$K14*$J14*U$11</f>
        <v>1024800</v>
      </c>
      <c r="V14" s="3" t="n">
        <f aca="false">+$K14*$J14*V$11</f>
        <v>1022000</v>
      </c>
      <c r="W14" s="3" t="n">
        <f aca="false">+$K14*$J14*W$11</f>
        <v>1022000</v>
      </c>
      <c r="X14" s="3" t="n">
        <f aca="false">+$K14*$J14*X$11</f>
        <v>1022000</v>
      </c>
      <c r="Y14" s="3" t="n">
        <f aca="false">+$K14*$J14*Y$11</f>
        <v>1024800</v>
      </c>
      <c r="Z14" s="3" t="n">
        <f aca="false">+$K14*$J14*Z$11</f>
        <v>1022000</v>
      </c>
      <c r="AA14" s="3" t="n">
        <f aca="false">+$K14*$J14*AA$11</f>
        <v>1022000</v>
      </c>
      <c r="AB14" s="3" t="n">
        <f aca="false">+$K14*$J14*AB$11</f>
        <v>1022000</v>
      </c>
      <c r="AC14" s="3" t="n">
        <f aca="false">+$K14*$J14*AC$11</f>
        <v>1024800</v>
      </c>
      <c r="AD14" s="3" t="n">
        <f aca="false">+$K14*$J14*AD$11</f>
        <v>1022000</v>
      </c>
      <c r="AE14" s="3" t="n">
        <f aca="false">+$K14*$J14*AE$11</f>
        <v>1022000</v>
      </c>
      <c r="AF14" s="3" t="n">
        <f aca="false">+$K14*$J14*AF$11</f>
        <v>1022000</v>
      </c>
      <c r="AG14" s="3" t="n">
        <f aca="false">+$K14*$J14*AG$11</f>
        <v>1024800</v>
      </c>
      <c r="AH14" s="3" t="n">
        <f aca="false">+$K14*$J14*AH$11</f>
        <v>1022000</v>
      </c>
      <c r="AI14" s="3" t="n">
        <f aca="false">+$K14*$J14*AI$11</f>
        <v>1022000</v>
      </c>
      <c r="AJ14" s="3" t="n">
        <f aca="false">+$K14*$J14*AJ$11</f>
        <v>1022000</v>
      </c>
      <c r="AK14" s="3" t="n">
        <f aca="false">+$K14*$J14*AK$11</f>
        <v>1024800</v>
      </c>
      <c r="AL14" s="3" t="n">
        <f aca="false">+$K14*$J14*AL$11</f>
        <v>1022000</v>
      </c>
      <c r="AM14" s="3" t="n">
        <f aca="false">+$K14*$J14*AM$11</f>
        <v>1022000</v>
      </c>
      <c r="AN14" s="3" t="n">
        <f aca="false">+$K14*$J14*AN$11</f>
        <v>1022000</v>
      </c>
      <c r="AO14" s="3" t="n">
        <f aca="false">+$K14*$J14*AO$11</f>
        <v>1024800</v>
      </c>
      <c r="AP14" s="3" t="n">
        <f aca="false">+$K14*$J14*AP$11</f>
        <v>1022000</v>
      </c>
      <c r="AQ14" s="3" t="n">
        <f aca="false">+$K14*$J14*AQ$11</f>
        <v>1022000</v>
      </c>
      <c r="AR14" s="3" t="n">
        <f aca="false">+$K14*$J14*AR$11</f>
        <v>1022000</v>
      </c>
      <c r="AS14" s="3" t="n">
        <f aca="false">+$K14*$J14*AS$11</f>
        <v>1024800</v>
      </c>
      <c r="AT14" s="3" t="n">
        <f aca="false">+$K14*$J14*AT$11</f>
        <v>84000</v>
      </c>
    </row>
    <row r="15" customFormat="false" ht="12.75" hidden="false" customHeight="false" outlineLevel="0" collapsed="false">
      <c r="A15" s="0" t="s">
        <v>14</v>
      </c>
      <c r="B15" s="3" t="n">
        <f aca="false">NPV(B$12,P15:AT15)</f>
        <v>52742400</v>
      </c>
      <c r="C15" s="3" t="n">
        <f aca="false">NPV($C$12,P15:AT15)</f>
        <v>20721997.7845524</v>
      </c>
      <c r="D15" s="3" t="n">
        <f aca="false">NPV(D$12,P15:AT15)</f>
        <v>11513865.9304826</v>
      </c>
      <c r="E15" s="15" t="n">
        <f aca="false">+C15/(J15*I15)</f>
        <v>0.157156274910148</v>
      </c>
      <c r="F15" s="3" t="n">
        <f aca="false">SUM(P15:AT15)</f>
        <v>52742400</v>
      </c>
      <c r="G15" s="0" t="s">
        <v>15</v>
      </c>
      <c r="H15" s="0" t="n">
        <v>361</v>
      </c>
      <c r="I15" s="0" t="n">
        <f aca="false">SUM($P$11:$AT$11)</f>
        <v>10988</v>
      </c>
      <c r="J15" s="2" t="n">
        <v>12000</v>
      </c>
      <c r="K15" s="1" t="n">
        <v>0.4</v>
      </c>
      <c r="L15" s="1"/>
      <c r="M15" s="1"/>
      <c r="N15" s="1"/>
      <c r="O15" s="1"/>
      <c r="P15" s="3" t="n">
        <f aca="false">+$K15*$J15*P$11</f>
        <v>1752000</v>
      </c>
      <c r="Q15" s="3" t="n">
        <f aca="false">+$K15*$J15*Q$11</f>
        <v>1756800</v>
      </c>
      <c r="R15" s="3" t="n">
        <f aca="false">+$K15*$J15*R$11</f>
        <v>1752000</v>
      </c>
      <c r="S15" s="3" t="n">
        <f aca="false">+$K15*$J15*S$11</f>
        <v>1752000</v>
      </c>
      <c r="T15" s="3" t="n">
        <f aca="false">+$K15*$J15*T$11</f>
        <v>1752000</v>
      </c>
      <c r="U15" s="3" t="n">
        <f aca="false">+$K15*$J15*U$11</f>
        <v>1756800</v>
      </c>
      <c r="V15" s="3" t="n">
        <f aca="false">+$K15*$J15*V$11</f>
        <v>1752000</v>
      </c>
      <c r="W15" s="3" t="n">
        <f aca="false">+$K15*$J15*W$11</f>
        <v>1752000</v>
      </c>
      <c r="X15" s="3" t="n">
        <f aca="false">+$K15*$J15*X$11</f>
        <v>1752000</v>
      </c>
      <c r="Y15" s="3" t="n">
        <f aca="false">+$K15*$J15*Y$11</f>
        <v>1756800</v>
      </c>
      <c r="Z15" s="3" t="n">
        <f aca="false">+$K15*$J15*Z$11</f>
        <v>1752000</v>
      </c>
      <c r="AA15" s="3" t="n">
        <f aca="false">+$K15*$J15*AA$11</f>
        <v>1752000</v>
      </c>
      <c r="AB15" s="3" t="n">
        <f aca="false">+$K15*$J15*AB$11</f>
        <v>1752000</v>
      </c>
      <c r="AC15" s="3" t="n">
        <f aca="false">+$K15*$J15*AC$11</f>
        <v>1756800</v>
      </c>
      <c r="AD15" s="3" t="n">
        <f aca="false">+$K15*$J15*AD$11</f>
        <v>1752000</v>
      </c>
      <c r="AE15" s="3" t="n">
        <f aca="false">+$K15*$J15*AE$11</f>
        <v>1752000</v>
      </c>
      <c r="AF15" s="3" t="n">
        <f aca="false">+$K15*$J15*AF$11</f>
        <v>1752000</v>
      </c>
      <c r="AG15" s="3" t="n">
        <f aca="false">+$K15*$J15*AG$11</f>
        <v>1756800</v>
      </c>
      <c r="AH15" s="3" t="n">
        <f aca="false">+$K15*$J15*AH$11</f>
        <v>1752000</v>
      </c>
      <c r="AI15" s="3" t="n">
        <f aca="false">+$K15*$J15*AI$11</f>
        <v>1752000</v>
      </c>
      <c r="AJ15" s="3" t="n">
        <f aca="false">+$K15*$J15*AJ$11</f>
        <v>1752000</v>
      </c>
      <c r="AK15" s="3" t="n">
        <f aca="false">+$K15*$J15*AK$11</f>
        <v>1756800</v>
      </c>
      <c r="AL15" s="3" t="n">
        <f aca="false">+$K15*$J15*AL$11</f>
        <v>1752000</v>
      </c>
      <c r="AM15" s="3" t="n">
        <f aca="false">+$K15*$J15*AM$11</f>
        <v>1752000</v>
      </c>
      <c r="AN15" s="3" t="n">
        <f aca="false">+$K15*$J15*AN$11</f>
        <v>1752000</v>
      </c>
      <c r="AO15" s="3" t="n">
        <f aca="false">+$K15*$J15*AO$11</f>
        <v>1756800</v>
      </c>
      <c r="AP15" s="3" t="n">
        <f aca="false">+$K15*$J15*AP$11</f>
        <v>1752000</v>
      </c>
      <c r="AQ15" s="3" t="n">
        <f aca="false">+$K15*$J15*AQ$11</f>
        <v>1752000</v>
      </c>
      <c r="AR15" s="3" t="n">
        <f aca="false">+$K15*$J15*AR$11</f>
        <v>1752000</v>
      </c>
      <c r="AS15" s="3" t="n">
        <f aca="false">+$K15*$J15*AS$11</f>
        <v>1756800</v>
      </c>
      <c r="AT15" s="3" t="n">
        <f aca="false">+$K15*$J15*AT$11</f>
        <v>144000</v>
      </c>
    </row>
    <row r="16" customFormat="false" ht="12.75" hidden="false" customHeight="false" outlineLevel="0" collapsed="false">
      <c r="A16" s="0" t="s">
        <v>19</v>
      </c>
      <c r="B16" s="3" t="n">
        <f aca="false">NPV(B$12,P16:AT16)</f>
        <v>10410100</v>
      </c>
      <c r="C16" s="3" t="n">
        <f aca="false">NPV($C$12,P16:AT16)</f>
        <v>6126094.96608908</v>
      </c>
      <c r="D16" s="3" t="n">
        <f aca="false">NPV(D$12,P16:AT16)</f>
        <v>4058147.43419256</v>
      </c>
      <c r="E16" s="15" t="n">
        <f aca="false">+C16/(J16*I16)</f>
        <v>0.223620914987738</v>
      </c>
      <c r="F16" s="3" t="n">
        <f aca="false">SUM(P16:AT16)</f>
        <v>10410100</v>
      </c>
      <c r="G16" s="0" t="n">
        <v>15</v>
      </c>
      <c r="H16" s="0" t="n">
        <f aca="false">+G16*12</f>
        <v>180</v>
      </c>
      <c r="I16" s="0" t="n">
        <f aca="false">SUM($P$11:$AD$11)</f>
        <v>5479</v>
      </c>
      <c r="J16" s="2" t="n">
        <v>5000</v>
      </c>
      <c r="K16" s="1" t="n">
        <v>0.38</v>
      </c>
      <c r="L16" s="1"/>
      <c r="M16" s="1"/>
      <c r="N16" s="1"/>
      <c r="O16" s="1"/>
      <c r="P16" s="3" t="n">
        <f aca="false">+$K16*$J16*P$11</f>
        <v>693500</v>
      </c>
      <c r="Q16" s="3" t="n">
        <f aca="false">+$K16*$J16*Q$11</f>
        <v>695400</v>
      </c>
      <c r="R16" s="3" t="n">
        <f aca="false">+$K16*$J16*R$11</f>
        <v>693500</v>
      </c>
      <c r="S16" s="3" t="n">
        <f aca="false">+$K16*$J16*S$11</f>
        <v>693500</v>
      </c>
      <c r="T16" s="3" t="n">
        <f aca="false">+$K16*$J16*T$11</f>
        <v>693500</v>
      </c>
      <c r="U16" s="3" t="n">
        <f aca="false">+$K16*$J16*U$11</f>
        <v>695400</v>
      </c>
      <c r="V16" s="3" t="n">
        <f aca="false">+$K16*$J16*V$11</f>
        <v>693500</v>
      </c>
      <c r="W16" s="3" t="n">
        <f aca="false">+$K16*$J16*W$11</f>
        <v>693500</v>
      </c>
      <c r="X16" s="3" t="n">
        <f aca="false">+$K16*$J16*X$11</f>
        <v>693500</v>
      </c>
      <c r="Y16" s="3" t="n">
        <f aca="false">+$K16*$J16*Y$11</f>
        <v>695400</v>
      </c>
      <c r="Z16" s="3" t="n">
        <f aca="false">+$K16*$J16*Z$11</f>
        <v>693500</v>
      </c>
      <c r="AA16" s="3" t="n">
        <f aca="false">+$K16*$J16*AA$11</f>
        <v>693500</v>
      </c>
      <c r="AB16" s="3" t="n">
        <f aca="false">+$K16*$J16*AB$11</f>
        <v>693500</v>
      </c>
      <c r="AC16" s="3" t="n">
        <f aca="false">+$K16*$J16*AC$11</f>
        <v>695400</v>
      </c>
      <c r="AD16" s="3" t="n">
        <f aca="false">+$K16*$J16*AD$11</f>
        <v>693500</v>
      </c>
    </row>
    <row r="17" customFormat="false" ht="12.75" hidden="false" customHeight="false" outlineLevel="0" collapsed="false">
      <c r="A17" s="0" t="s">
        <v>19</v>
      </c>
      <c r="B17" s="3" t="n">
        <f aca="false">NPV(B$12,P17:AT17)</f>
        <v>10684050</v>
      </c>
      <c r="C17" s="3" t="n">
        <f aca="false">NPV($C$12,P17:AT17)</f>
        <v>6287307.99151248</v>
      </c>
      <c r="D17" s="3" t="n">
        <f aca="false">NPV(D$12,P17:AT17)</f>
        <v>4164940.78772395</v>
      </c>
      <c r="E17" s="15" t="n">
        <f aca="false">+C17/(J17*I17)</f>
        <v>0.229505675908468</v>
      </c>
      <c r="F17" s="3" t="n">
        <f aca="false">SUM(P17:AT17)</f>
        <v>10684050</v>
      </c>
      <c r="G17" s="0" t="n">
        <v>15</v>
      </c>
      <c r="H17" s="0" t="n">
        <f aca="false">+G17*12</f>
        <v>180</v>
      </c>
      <c r="I17" s="0" t="n">
        <f aca="false">SUM($P$11:$AD$11)</f>
        <v>5479</v>
      </c>
      <c r="J17" s="2" t="n">
        <v>5000</v>
      </c>
      <c r="K17" s="1" t="n">
        <v>0.39</v>
      </c>
      <c r="L17" s="1"/>
      <c r="M17" s="1"/>
      <c r="N17" s="1"/>
      <c r="O17" s="1"/>
      <c r="P17" s="3" t="n">
        <f aca="false">+$K17*$J17*P$11</f>
        <v>711750</v>
      </c>
      <c r="Q17" s="3" t="n">
        <f aca="false">+$K17*$J17*Q$11</f>
        <v>713700</v>
      </c>
      <c r="R17" s="3" t="n">
        <f aca="false">+$K17*$J17*R$11</f>
        <v>711750</v>
      </c>
      <c r="S17" s="3" t="n">
        <f aca="false">+$K17*$J17*S$11</f>
        <v>711750</v>
      </c>
      <c r="T17" s="3" t="n">
        <f aca="false">+$K17*$J17*T$11</f>
        <v>711750</v>
      </c>
      <c r="U17" s="3" t="n">
        <f aca="false">+$K17*$J17*U$11</f>
        <v>713700</v>
      </c>
      <c r="V17" s="3" t="n">
        <f aca="false">+$K17*$J17*V$11</f>
        <v>711750</v>
      </c>
      <c r="W17" s="3" t="n">
        <f aca="false">+$K17*$J17*W$11</f>
        <v>711750</v>
      </c>
      <c r="X17" s="3" t="n">
        <f aca="false">+$K17*$J17*X$11</f>
        <v>711750</v>
      </c>
      <c r="Y17" s="3" t="n">
        <f aca="false">+$K17*$J17*Y$11</f>
        <v>713700</v>
      </c>
      <c r="Z17" s="3" t="n">
        <f aca="false">+$K17*$J17*Z$11</f>
        <v>711750</v>
      </c>
      <c r="AA17" s="3" t="n">
        <f aca="false">+$K17*$J17*AA$11</f>
        <v>711750</v>
      </c>
      <c r="AB17" s="3" t="n">
        <f aca="false">+$K17*$J17*AB$11</f>
        <v>711750</v>
      </c>
      <c r="AC17" s="3" t="n">
        <f aca="false">+$K17*$J17*AC$11</f>
        <v>713700</v>
      </c>
      <c r="AD17" s="3" t="n">
        <f aca="false">+$K17*$J17*AD$11</f>
        <v>711750</v>
      </c>
    </row>
    <row r="18" customFormat="false" ht="12.75" hidden="false" customHeight="false" outlineLevel="0" collapsed="false">
      <c r="A18" s="0" t="s">
        <v>20</v>
      </c>
      <c r="B18" s="3" t="n">
        <f aca="false">NPV(B$12,P18:AT18)</f>
        <v>30129000</v>
      </c>
      <c r="C18" s="3" t="n">
        <f aca="false">NPV($C$12,P18:AT18)</f>
        <v>24380619.8103874</v>
      </c>
      <c r="D18" s="3" t="n">
        <f aca="false">NPV(D$12,P18:AT18)</f>
        <v>20200830.4482841</v>
      </c>
      <c r="E18" s="15" t="n">
        <f aca="false">+C18/(J18*I18)</f>
        <v>0.445064253566764</v>
      </c>
      <c r="F18" s="3" t="n">
        <f aca="false">SUM(P18:AT18)</f>
        <v>30129000</v>
      </c>
      <c r="G18" s="0" t="n">
        <v>5</v>
      </c>
      <c r="H18" s="0" t="n">
        <f aca="false">+G18*12</f>
        <v>60</v>
      </c>
      <c r="I18" s="0" t="n">
        <f aca="false">SUM($P$11:$T$11)</f>
        <v>1826</v>
      </c>
      <c r="J18" s="2" t="n">
        <v>30000</v>
      </c>
      <c r="K18" s="1" t="n">
        <v>0.55</v>
      </c>
      <c r="L18" s="1"/>
      <c r="M18" s="1"/>
      <c r="N18" s="1"/>
      <c r="O18" s="1"/>
      <c r="P18" s="3" t="n">
        <f aca="false">+$K18*$J18*P$11</f>
        <v>6022500</v>
      </c>
      <c r="Q18" s="3" t="n">
        <f aca="false">+$K18*$J18*Q$11</f>
        <v>6039000</v>
      </c>
      <c r="R18" s="3" t="n">
        <f aca="false">+$K18*$J18*R$11</f>
        <v>6022500</v>
      </c>
      <c r="S18" s="3" t="n">
        <f aca="false">+$K18*$J18*S$11</f>
        <v>6022500</v>
      </c>
      <c r="T18" s="3" t="n">
        <f aca="false">+$K18*$J18*T$11</f>
        <v>6022500</v>
      </c>
    </row>
    <row r="19" customFormat="false" ht="12.75" hidden="false" customHeight="false" outlineLevel="0" collapsed="false">
      <c r="A19" s="0" t="s">
        <v>21</v>
      </c>
      <c r="B19" s="3" t="n">
        <f aca="false">NPV(B$12,P19:AT19)</f>
        <v>57519000</v>
      </c>
      <c r="C19" s="3" t="n">
        <f aca="false">NPV($C$12,P19:AT19)</f>
        <v>46544819.6380122</v>
      </c>
      <c r="D19" s="3" t="n">
        <f aca="false">NPV(D$12,P19:AT19)</f>
        <v>38565221.764906</v>
      </c>
      <c r="E19" s="15" t="n">
        <f aca="false">+C19/(J19*I19)</f>
        <v>0.509800872267385</v>
      </c>
      <c r="F19" s="3" t="n">
        <f aca="false">SUM(P19:AT19)</f>
        <v>57519000</v>
      </c>
      <c r="G19" s="0" t="n">
        <v>5</v>
      </c>
      <c r="H19" s="0" t="n">
        <f aca="false">+G19*12</f>
        <v>60</v>
      </c>
      <c r="I19" s="0" t="n">
        <f aca="false">SUM($P$11:$T$11)</f>
        <v>1826</v>
      </c>
      <c r="J19" s="2" t="n">
        <v>50000</v>
      </c>
      <c r="K19" s="1" t="n">
        <v>0.63</v>
      </c>
      <c r="L19" s="1"/>
      <c r="M19" s="1"/>
      <c r="N19" s="1"/>
      <c r="O19" s="1"/>
      <c r="P19" s="3" t="n">
        <f aca="false">+$K19*$J19*P$11</f>
        <v>11497500</v>
      </c>
      <c r="Q19" s="3" t="n">
        <f aca="false">+$K19*$J19*Q$11</f>
        <v>11529000</v>
      </c>
      <c r="R19" s="3" t="n">
        <f aca="false">+$K19*$J19*R$11</f>
        <v>11497500</v>
      </c>
      <c r="S19" s="3" t="n">
        <f aca="false">+$K19*$J19*S$11</f>
        <v>11497500</v>
      </c>
      <c r="T19" s="3" t="n">
        <f aca="false">+$K19*$J19*T$11</f>
        <v>11497500</v>
      </c>
    </row>
    <row r="20" customFormat="false" ht="12.75" hidden="false" customHeight="false" outlineLevel="0" collapsed="false">
      <c r="A20" s="0" t="s">
        <v>22</v>
      </c>
      <c r="B20" s="3" t="n">
        <f aca="false">NPV(B$12,P20:AT20)</f>
        <v>9210600</v>
      </c>
      <c r="C20" s="3" t="n">
        <f aca="false">NPV($C$12,P20:AT20)</f>
        <v>8268707.40941049</v>
      </c>
      <c r="D20" s="3" t="n">
        <f aca="false">NPV(D$12,P20:AT20)</f>
        <v>7486162.57088847</v>
      </c>
      <c r="E20" s="15" t="n">
        <f aca="false">+C20/(J20*I20)</f>
        <v>0.56557506220318</v>
      </c>
      <c r="F20" s="3" t="n">
        <f aca="false">SUM(P20:AT20)</f>
        <v>9210600</v>
      </c>
      <c r="G20" s="0" t="n">
        <v>2</v>
      </c>
      <c r="H20" s="0" t="n">
        <f aca="false">+G20*12</f>
        <v>24</v>
      </c>
      <c r="I20" s="8" t="n">
        <f aca="false">+SUM($P$11:$Q$11)</f>
        <v>731</v>
      </c>
      <c r="J20" s="2" t="n">
        <v>20000</v>
      </c>
      <c r="K20" s="1" t="n">
        <v>0.63</v>
      </c>
      <c r="L20" s="1"/>
      <c r="M20" s="1"/>
      <c r="N20" s="1"/>
      <c r="O20" s="1"/>
      <c r="P20" s="3" t="n">
        <f aca="false">+$K20*$J20*P$11</f>
        <v>4599000</v>
      </c>
      <c r="Q20" s="3" t="n">
        <f aca="false">+$K20*$J20*Q$11</f>
        <v>4611600</v>
      </c>
    </row>
    <row r="21" customFormat="false" ht="12.75" hidden="false" customHeight="false" outlineLevel="0" collapsed="false">
      <c r="A21" s="0" t="s">
        <v>22</v>
      </c>
      <c r="B21" s="3" t="n">
        <f aca="false">NPV(B$12,P21:AT21)</f>
        <v>2299500</v>
      </c>
      <c r="C21" s="3" t="n">
        <f aca="false">NPV($C$12,P21:AT21)</f>
        <v>2139069.76744186</v>
      </c>
      <c r="D21" s="3" t="n">
        <f aca="false">NPV(D$12,P21:AT21)</f>
        <v>1999565.2173913</v>
      </c>
      <c r="E21" s="15" t="n">
        <f aca="false">+C21/(J21*I21)</f>
        <v>0.586046511627907</v>
      </c>
      <c r="F21" s="3" t="n">
        <f aca="false">SUM(P21:AT21)</f>
        <v>2299500</v>
      </c>
      <c r="G21" s="0" t="n">
        <v>1</v>
      </c>
      <c r="H21" s="0" t="n">
        <f aca="false">+G21*12</f>
        <v>12</v>
      </c>
      <c r="I21" s="0" t="n">
        <f aca="false">SUM($P$11)</f>
        <v>365</v>
      </c>
      <c r="J21" s="2" t="n">
        <v>10000</v>
      </c>
      <c r="K21" s="1" t="n">
        <v>0.63</v>
      </c>
      <c r="L21" s="1"/>
      <c r="M21" s="1"/>
      <c r="N21" s="1"/>
      <c r="O21" s="1"/>
      <c r="P21" s="3" t="n">
        <f aca="false">+$K21*$J21*P$11</f>
        <v>2299500</v>
      </c>
    </row>
    <row r="22" customFormat="false" ht="12.75" hidden="false" customHeight="false" outlineLevel="0" collapsed="false">
      <c r="A22" s="0" t="s">
        <v>24</v>
      </c>
      <c r="B22" s="3" t="n">
        <f aca="false">NPV(B$12,P22:AT22)</f>
        <v>40325000</v>
      </c>
      <c r="C22" s="3" t="n">
        <f aca="false">NPV($C$12,P22:AT22)</f>
        <v>36620876.1492699</v>
      </c>
      <c r="D22" s="3" t="n">
        <f aca="false">NPV(D$12,P22:AT22)</f>
        <v>33508506.6162571</v>
      </c>
      <c r="E22" s="15" t="n">
        <f aca="false">+C22/(J22*I22)</f>
        <v>1.09316048206776</v>
      </c>
      <c r="F22" s="3" t="n">
        <f aca="false">SUM(P22:AT22)</f>
        <v>40325000</v>
      </c>
      <c r="G22" s="8" t="s">
        <v>25</v>
      </c>
      <c r="H22" s="0" t="n">
        <v>22</v>
      </c>
      <c r="I22" s="0" t="n">
        <f aca="false">SUM(P10:Q10)</f>
        <v>670</v>
      </c>
      <c r="J22" s="2" t="n">
        <v>50000</v>
      </c>
      <c r="K22" s="1" t="n">
        <v>1.75</v>
      </c>
      <c r="L22" s="1" t="n">
        <v>0.75</v>
      </c>
      <c r="M22" s="1"/>
      <c r="N22" s="1"/>
      <c r="O22" s="1"/>
      <c r="P22" s="3" t="n">
        <f aca="false">+$K22*$J22*P$10</f>
        <v>26600000</v>
      </c>
      <c r="Q22" s="3" t="n">
        <f aca="false">+$L22*$J22*Q$10</f>
        <v>13725000</v>
      </c>
    </row>
    <row r="23" customFormat="false" ht="12.75" hidden="false" customHeight="false" outlineLevel="0" collapsed="false">
      <c r="A23" s="0" t="s">
        <v>26</v>
      </c>
      <c r="B23" s="3" t="n">
        <f aca="false">NPV(B$12,P23:AT23)</f>
        <v>83280800</v>
      </c>
      <c r="C23" s="3" t="n">
        <f aca="false">NPV($C$12,P23:AT23)</f>
        <v>49008759.7287127</v>
      </c>
      <c r="D23" s="3" t="n">
        <f aca="false">NPV(D$12,P23:AT23)</f>
        <v>32465179.4735405</v>
      </c>
      <c r="E23" s="15" t="n">
        <f aca="false">+C23/(J23*I23)</f>
        <v>0.223620914987738</v>
      </c>
      <c r="F23" s="3" t="n">
        <f aca="false">SUM(P23:AT23)</f>
        <v>83280800</v>
      </c>
      <c r="G23" s="0" t="n">
        <v>15</v>
      </c>
      <c r="H23" s="0" t="n">
        <f aca="false">+G23*12</f>
        <v>180</v>
      </c>
      <c r="I23" s="0" t="n">
        <f aca="false">SUM($P$11:$AD$11)</f>
        <v>5479</v>
      </c>
      <c r="J23" s="2" t="n">
        <v>40000</v>
      </c>
      <c r="K23" s="1" t="n">
        <v>0.38</v>
      </c>
      <c r="L23" s="1"/>
      <c r="M23" s="1"/>
      <c r="N23" s="1"/>
      <c r="O23" s="1"/>
      <c r="P23" s="3" t="n">
        <f aca="false">+$K23*$J23*P$11</f>
        <v>5548000</v>
      </c>
      <c r="Q23" s="3" t="n">
        <f aca="false">+$K23*$J23*Q$11</f>
        <v>5563200</v>
      </c>
      <c r="R23" s="3" t="n">
        <f aca="false">+$K23*$J23*R$11</f>
        <v>5548000</v>
      </c>
      <c r="S23" s="3" t="n">
        <f aca="false">+$K23*$J23*S$11</f>
        <v>5548000</v>
      </c>
      <c r="T23" s="3" t="n">
        <f aca="false">+$K23*$J23*T$11</f>
        <v>5548000</v>
      </c>
      <c r="U23" s="3" t="n">
        <f aca="false">+$K23*$J23*U$11</f>
        <v>5563200</v>
      </c>
      <c r="V23" s="3" t="n">
        <f aca="false">+$K23*$J23*V$11</f>
        <v>5548000</v>
      </c>
      <c r="W23" s="3" t="n">
        <f aca="false">+$K23*$J23*W$11</f>
        <v>5548000</v>
      </c>
      <c r="X23" s="3" t="n">
        <f aca="false">+$K23*$J23*X$11</f>
        <v>5548000</v>
      </c>
      <c r="Y23" s="3" t="n">
        <f aca="false">+$K23*$J23*Y$11</f>
        <v>5563200</v>
      </c>
      <c r="Z23" s="3" t="n">
        <f aca="false">+$K23*$J23*Z$11</f>
        <v>5548000</v>
      </c>
      <c r="AA23" s="3" t="n">
        <f aca="false">+$K23*$J23*AA$11</f>
        <v>5548000</v>
      </c>
      <c r="AB23" s="3" t="n">
        <f aca="false">+$K23*$J23*AB$11</f>
        <v>5548000</v>
      </c>
      <c r="AC23" s="3" t="n">
        <f aca="false">+$K23*$J23*AC$11</f>
        <v>5563200</v>
      </c>
      <c r="AD23" s="3" t="n">
        <f aca="false">+$K23*$J23*AD$11</f>
        <v>5548000</v>
      </c>
    </row>
    <row r="24" customFormat="false" ht="12.75" hidden="false" customHeight="false" outlineLevel="0" collapsed="false">
      <c r="A24" s="0" t="s">
        <v>27</v>
      </c>
      <c r="B24" s="3" t="n">
        <f aca="false">NPV(B$12,P24:AT24)</f>
        <v>8457750</v>
      </c>
      <c r="C24" s="3" t="n">
        <f aca="false">NPV($C$12,P24:AT24)</f>
        <v>5407869.77733201</v>
      </c>
      <c r="D24" s="3" t="n">
        <f aca="false">NPV(D$12,P24:AT24)</f>
        <v>3770387.76718178</v>
      </c>
      <c r="E24" s="15" t="n">
        <f aca="false">+C24/(J24*I24)</f>
        <v>0.268547226683154</v>
      </c>
      <c r="F24" s="3" t="n">
        <f aca="false">SUM(P24:AT24)</f>
        <v>8457750</v>
      </c>
      <c r="G24" s="0" t="s">
        <v>28</v>
      </c>
      <c r="H24" s="0" t="n">
        <v>147</v>
      </c>
      <c r="I24" s="0" t="n">
        <f aca="false">SUM(P9:AB9)</f>
        <v>4475</v>
      </c>
      <c r="J24" s="2" t="n">
        <v>4500</v>
      </c>
      <c r="K24" s="1" t="n">
        <v>0.42</v>
      </c>
      <c r="L24" s="1"/>
      <c r="M24" s="1"/>
      <c r="N24" s="1"/>
      <c r="O24" s="1"/>
      <c r="P24" s="3" t="n">
        <f aca="false">+$K24*$J24*P$9</f>
        <v>689850</v>
      </c>
      <c r="Q24" s="3" t="n">
        <f aca="false">+$K24*$J24*Q$9</f>
        <v>691740</v>
      </c>
      <c r="R24" s="3" t="n">
        <f aca="false">+$K24*$J24*R$9</f>
        <v>689850</v>
      </c>
      <c r="S24" s="3" t="n">
        <f aca="false">+$K24*$J24*S$9</f>
        <v>689850</v>
      </c>
      <c r="T24" s="3" t="n">
        <f aca="false">+$K24*$J24*T$9</f>
        <v>689850</v>
      </c>
      <c r="U24" s="3" t="n">
        <f aca="false">+$K24*$J24*U$9</f>
        <v>691740</v>
      </c>
      <c r="V24" s="3" t="n">
        <f aca="false">+$K24*$J24*V$9</f>
        <v>689850</v>
      </c>
      <c r="W24" s="3" t="n">
        <f aca="false">+$K24*$J24*W$9</f>
        <v>689850</v>
      </c>
      <c r="X24" s="3" t="n">
        <f aca="false">+$K24*$J24*X$9</f>
        <v>689850</v>
      </c>
      <c r="Y24" s="3" t="n">
        <f aca="false">+$K24*$J24*Y$9</f>
        <v>691740</v>
      </c>
      <c r="Z24" s="3" t="n">
        <f aca="false">+$K24*$J24*Z$9</f>
        <v>689850</v>
      </c>
      <c r="AA24" s="3" t="n">
        <f aca="false">+$K24*$J24*AA$9</f>
        <v>689850</v>
      </c>
      <c r="AB24" s="3" t="n">
        <f aca="false">+$K24*$J24*AB$9</f>
        <v>173880</v>
      </c>
    </row>
    <row r="25" customFormat="false" ht="12.75" hidden="false" customHeight="false" outlineLevel="0" collapsed="false">
      <c r="A25" s="0" t="s">
        <v>29</v>
      </c>
      <c r="B25" s="3" t="n">
        <f aca="false">NPV(B$12,P25:AT25)</f>
        <v>30702000</v>
      </c>
      <c r="C25" s="3" t="n">
        <f aca="false">NPV($C$12,P25:AT25)</f>
        <v>27562358.0313683</v>
      </c>
      <c r="D25" s="3" t="n">
        <f aca="false">NPV(D$12,P25:AT25)</f>
        <v>24953875.2362949</v>
      </c>
      <c r="E25" s="15" t="n">
        <f aca="false">+C25/(J25*I25)</f>
        <v>0.754100082937573</v>
      </c>
      <c r="F25" s="3" t="n">
        <f aca="false">SUM(P25:AT25)</f>
        <v>30702000</v>
      </c>
      <c r="G25" s="0" t="n">
        <v>2</v>
      </c>
      <c r="H25" s="0" t="n">
        <f aca="false">+G25*12</f>
        <v>24</v>
      </c>
      <c r="I25" s="8" t="n">
        <f aca="false">+SUM($P$11:$Q$11)</f>
        <v>731</v>
      </c>
      <c r="J25" s="2" t="n">
        <v>50000</v>
      </c>
      <c r="K25" s="1" t="n">
        <v>0.84</v>
      </c>
      <c r="L25" s="1"/>
      <c r="M25" s="1"/>
      <c r="N25" s="1"/>
      <c r="O25" s="1"/>
      <c r="P25" s="3" t="n">
        <f aca="false">+$K25*$J25*P$11</f>
        <v>15330000</v>
      </c>
      <c r="Q25" s="3" t="n">
        <f aca="false">+$K25*$J25*Q$11</f>
        <v>15372000</v>
      </c>
    </row>
    <row r="26" customFormat="false" ht="12.75" hidden="false" customHeight="false" outlineLevel="0" collapsed="false">
      <c r="A26" s="0" t="s">
        <v>30</v>
      </c>
      <c r="B26" s="3" t="n">
        <f aca="false">NPV(B$12,P26:AT26)</f>
        <v>30702000</v>
      </c>
      <c r="C26" s="3" t="n">
        <f aca="false">NPV($C$12,P26:AT26)</f>
        <v>27562358.0313683</v>
      </c>
      <c r="D26" s="3" t="n">
        <f aca="false">NPV(D$12,P26:AT26)</f>
        <v>24953875.2362949</v>
      </c>
      <c r="E26" s="15" t="n">
        <f aca="false">+C26/(J26*I26)</f>
        <v>0.754100082937573</v>
      </c>
      <c r="F26" s="3" t="n">
        <f aca="false">SUM(P26:AT26)</f>
        <v>30702000</v>
      </c>
      <c r="G26" s="0" t="n">
        <v>2</v>
      </c>
      <c r="H26" s="0" t="n">
        <f aca="false">+G26*12</f>
        <v>24</v>
      </c>
      <c r="I26" s="8" t="n">
        <f aca="false">+SUM($P$11:$Q$11)</f>
        <v>731</v>
      </c>
      <c r="J26" s="2" t="n">
        <v>50000</v>
      </c>
      <c r="K26" s="1" t="n">
        <v>0.84</v>
      </c>
      <c r="L26" s="1"/>
      <c r="M26" s="1"/>
      <c r="N26" s="1"/>
      <c r="O26" s="1"/>
      <c r="P26" s="3" t="n">
        <f aca="false">+$K26*$J26*P$11</f>
        <v>15330000</v>
      </c>
      <c r="Q26" s="3" t="n">
        <f aca="false">+$K26*$J26*Q$11</f>
        <v>15372000</v>
      </c>
    </row>
    <row r="27" customFormat="false" ht="12.75" hidden="false" customHeight="false" outlineLevel="0" collapsed="false">
      <c r="A27" s="0" t="s">
        <v>31</v>
      </c>
      <c r="B27" s="3" t="n">
        <f aca="false">NPV(B$12,P27:AT27)</f>
        <v>30702000</v>
      </c>
      <c r="C27" s="3" t="n">
        <f aca="false">NPV($C$12,P27:AT27)</f>
        <v>27562358.0313683</v>
      </c>
      <c r="D27" s="3" t="n">
        <f aca="false">NPV(D$12,P27:AT27)</f>
        <v>24953875.2362949</v>
      </c>
      <c r="E27" s="15" t="n">
        <f aca="false">+C27/(J27*I27)</f>
        <v>0.754100082937573</v>
      </c>
      <c r="F27" s="3" t="n">
        <f aca="false">SUM(P27:AT27)</f>
        <v>30702000</v>
      </c>
      <c r="G27" s="0" t="n">
        <v>2</v>
      </c>
      <c r="H27" s="0" t="n">
        <f aca="false">+G27*12</f>
        <v>24</v>
      </c>
      <c r="I27" s="8" t="n">
        <f aca="false">+SUM($P$11:$Q$11)</f>
        <v>731</v>
      </c>
      <c r="J27" s="2" t="n">
        <v>50000</v>
      </c>
      <c r="K27" s="1" t="n">
        <v>0.84</v>
      </c>
      <c r="L27" s="1"/>
      <c r="M27" s="1"/>
      <c r="N27" s="1"/>
      <c r="O27" s="1"/>
      <c r="P27" s="3" t="n">
        <f aca="false">+$K27*$J27*P$11</f>
        <v>15330000</v>
      </c>
      <c r="Q27" s="3" t="n">
        <f aca="false">+$K27*$J27*Q$11</f>
        <v>15372000</v>
      </c>
    </row>
    <row r="28" customFormat="false" ht="12.75" hidden="false" customHeight="false" outlineLevel="0" collapsed="false">
      <c r="A28" s="0" t="s">
        <v>31</v>
      </c>
      <c r="B28" s="3" t="n">
        <f aca="false">NPV(B$12,P28:AT28)</f>
        <v>29605500</v>
      </c>
      <c r="C28" s="3" t="n">
        <f aca="false">NPV($C$12,P28:AT28)</f>
        <v>26577988.1016766</v>
      </c>
      <c r="D28" s="3" t="n">
        <f aca="false">NPV(D$12,P28:AT28)</f>
        <v>24062665.4064272</v>
      </c>
      <c r="E28" s="15" t="n">
        <f aca="false">+C28/(J28*I28)</f>
        <v>0.727167937118374</v>
      </c>
      <c r="F28" s="3" t="n">
        <f aca="false">SUM(P28:AT28)</f>
        <v>29605500</v>
      </c>
      <c r="G28" s="0" t="n">
        <v>2</v>
      </c>
      <c r="H28" s="0" t="n">
        <f aca="false">+G28*12</f>
        <v>24</v>
      </c>
      <c r="I28" s="8" t="n">
        <f aca="false">+SUM($P$11:$Q$11)</f>
        <v>731</v>
      </c>
      <c r="J28" s="2" t="n">
        <v>50000</v>
      </c>
      <c r="K28" s="1" t="n">
        <v>0.81</v>
      </c>
      <c r="L28" s="1"/>
      <c r="M28" s="1"/>
      <c r="N28" s="1"/>
      <c r="O28" s="1"/>
      <c r="P28" s="3" t="n">
        <f aca="false">+$K28*$J28*P$11</f>
        <v>14782500</v>
      </c>
      <c r="Q28" s="3" t="n">
        <f aca="false">+$K28*$J28*Q$11</f>
        <v>14823000</v>
      </c>
    </row>
    <row r="29" customFormat="false" ht="12.75" hidden="false" customHeight="false" outlineLevel="0" collapsed="false">
      <c r="A29" s="0" t="s">
        <v>32</v>
      </c>
      <c r="B29" s="3" t="n">
        <f aca="false">NPV(B$12,P29:AT29)</f>
        <v>29605500</v>
      </c>
      <c r="C29" s="3" t="n">
        <f aca="false">NPV($C$12,P29:AT29)</f>
        <v>26577988.1016766</v>
      </c>
      <c r="D29" s="3" t="n">
        <f aca="false">NPV(D$12,P29:AT29)</f>
        <v>24062665.4064272</v>
      </c>
      <c r="E29" s="15" t="n">
        <f aca="false">+C29/(J29*I29)</f>
        <v>0.727167937118374</v>
      </c>
      <c r="F29" s="3" t="n">
        <f aca="false">SUM(P29:AT29)</f>
        <v>29605500</v>
      </c>
      <c r="G29" s="0" t="n">
        <v>2</v>
      </c>
      <c r="H29" s="0" t="n">
        <f aca="false">+G29*12</f>
        <v>24</v>
      </c>
      <c r="I29" s="8" t="n">
        <f aca="false">+SUM($P$11:$Q$11)</f>
        <v>731</v>
      </c>
      <c r="J29" s="2" t="n">
        <v>50000</v>
      </c>
      <c r="K29" s="1" t="n">
        <v>0.81</v>
      </c>
      <c r="L29" s="1"/>
      <c r="M29" s="1"/>
      <c r="N29" s="1"/>
      <c r="O29" s="1"/>
      <c r="P29" s="3" t="n">
        <f aca="false">+$K29*$J29*P$11</f>
        <v>14782500</v>
      </c>
      <c r="Q29" s="3" t="n">
        <f aca="false">+$K29*$J29*Q$11</f>
        <v>14823000</v>
      </c>
    </row>
    <row r="30" customFormat="false" ht="12.75" hidden="false" customHeight="false" outlineLevel="0" collapsed="false">
      <c r="A30" s="0" t="s">
        <v>32</v>
      </c>
      <c r="B30" s="3" t="n">
        <f aca="false">NPV(B$12,P30:AT30)</f>
        <v>30702000</v>
      </c>
      <c r="C30" s="3" t="n">
        <f aca="false">NPV($C$12,P30:AT30)</f>
        <v>27562358.0313683</v>
      </c>
      <c r="D30" s="3" t="n">
        <f aca="false">NPV(D$12,P30:AT30)</f>
        <v>24953875.2362949</v>
      </c>
      <c r="E30" s="15" t="n">
        <f aca="false">+C30/(J30*I30)</f>
        <v>0.754100082937573</v>
      </c>
      <c r="F30" s="3" t="n">
        <f aca="false">SUM(P30:AT30)</f>
        <v>30702000</v>
      </c>
      <c r="G30" s="0" t="n">
        <v>2</v>
      </c>
      <c r="H30" s="0" t="n">
        <f aca="false">+G30*12</f>
        <v>24</v>
      </c>
      <c r="I30" s="8" t="n">
        <f aca="false">+SUM($P$11:$Q$11)</f>
        <v>731</v>
      </c>
      <c r="J30" s="2" t="n">
        <v>50000</v>
      </c>
      <c r="K30" s="1" t="n">
        <v>0.84</v>
      </c>
      <c r="L30" s="1"/>
      <c r="M30" s="1"/>
      <c r="N30" s="1"/>
      <c r="O30" s="1"/>
      <c r="P30" s="3" t="n">
        <f aca="false">+$K30*$J30*P$11</f>
        <v>15330000</v>
      </c>
      <c r="Q30" s="3" t="n">
        <f aca="false">+$K30*$J30*Q$11</f>
        <v>15372000</v>
      </c>
    </row>
    <row r="31" customFormat="false" ht="12.75" hidden="false" customHeight="false" outlineLevel="0" collapsed="false">
      <c r="A31" s="0" t="s">
        <v>33</v>
      </c>
      <c r="B31" s="3" t="n">
        <f aca="false">NPV(B$12,P31:AT31)</f>
        <v>15149250</v>
      </c>
      <c r="C31" s="3" t="n">
        <f aca="false">NPV($C$12,P31:AT31)</f>
        <v>12418427.9014322</v>
      </c>
      <c r="D31" s="3" t="n">
        <f aca="false">NPV(D$12,P31:AT31)</f>
        <v>10427629.7515395</v>
      </c>
      <c r="E31" s="15" t="n">
        <f aca="false">+C31/(J31*I31)</f>
        <v>0.494265787121679</v>
      </c>
      <c r="F31" s="3" t="n">
        <f aca="false">SUM(P31:AT31)</f>
        <v>15149250</v>
      </c>
      <c r="G31" s="0" t="n">
        <v>5</v>
      </c>
      <c r="H31" s="0" t="n">
        <f aca="false">+G31*12</f>
        <v>60</v>
      </c>
      <c r="I31" s="16" t="n">
        <f aca="false">SUM(P8:T8)</f>
        <v>1675</v>
      </c>
      <c r="J31" s="2" t="n">
        <v>15000</v>
      </c>
      <c r="K31" s="1" t="n">
        <v>1.12</v>
      </c>
      <c r="L31" s="1" t="n">
        <v>0.76</v>
      </c>
      <c r="M31" s="1" t="n">
        <v>0.43</v>
      </c>
      <c r="N31" s="1" t="n">
        <v>0.38</v>
      </c>
      <c r="O31" s="1" t="n">
        <v>0.38</v>
      </c>
      <c r="P31" s="3" t="n">
        <f aca="false">+K$31*$J31*P$8</f>
        <v>3595200</v>
      </c>
      <c r="Q31" s="3" t="n">
        <f aca="false">+L$31*$J31*Q$8</f>
        <v>4172400</v>
      </c>
      <c r="R31" s="3" t="n">
        <f aca="false">+M$31*$J31*R$8</f>
        <v>2354250</v>
      </c>
      <c r="S31" s="3" t="n">
        <f aca="false">+N$31*$J31*S$8</f>
        <v>2080500</v>
      </c>
      <c r="T31" s="3" t="n">
        <f aca="false">+O$31*$J31*T$8</f>
        <v>2080500</v>
      </c>
      <c r="U31" s="3" t="n">
        <f aca="false">+O$31*$J31*U$8</f>
        <v>866400</v>
      </c>
      <c r="V31" s="3"/>
    </row>
    <row r="32" customFormat="false" ht="12.75" hidden="false" customHeight="false" outlineLevel="0" collapsed="false">
      <c r="A32" s="0" t="s">
        <v>33</v>
      </c>
      <c r="B32" s="3" t="n">
        <f aca="false">NPV(B$12,P32:AT32)</f>
        <v>49176400</v>
      </c>
      <c r="C32" s="3" t="n">
        <f aca="false">NPV($C$12,P32:AT32)</f>
        <v>43322411.9190896</v>
      </c>
      <c r="D32" s="3" t="n">
        <f aca="false">NPV(D$12,P32:AT32)</f>
        <v>38755891.482943</v>
      </c>
      <c r="E32" s="15" t="n">
        <f aca="false">+C32/(J32*I32)</f>
        <v>2.3738307900871</v>
      </c>
      <c r="F32" s="3" t="n">
        <f aca="false">SUM(P32:AT32)</f>
        <v>49176400</v>
      </c>
      <c r="G32" s="0" t="n">
        <v>1</v>
      </c>
      <c r="H32" s="0" t="n">
        <f aca="false">+G32*12</f>
        <v>12</v>
      </c>
      <c r="I32" s="0" t="n">
        <f aca="false">SUM($P$11)</f>
        <v>365</v>
      </c>
      <c r="J32" s="2" t="n">
        <v>50000</v>
      </c>
      <c r="K32" s="1" t="n">
        <v>1.723</v>
      </c>
      <c r="L32" s="1" t="n">
        <v>0.364</v>
      </c>
      <c r="M32" s="1" t="n">
        <v>0.2045</v>
      </c>
      <c r="N32" s="1" t="n">
        <v>0.2009</v>
      </c>
      <c r="O32" s="1" t="n">
        <v>0.2012</v>
      </c>
      <c r="P32" s="3" t="n">
        <f aca="false">+K$32*$J32*P$11</f>
        <v>31444750</v>
      </c>
      <c r="Q32" s="3" t="n">
        <f aca="false">+L$32*$J32*Q$11</f>
        <v>6661200</v>
      </c>
      <c r="R32" s="3" t="n">
        <f aca="false">+M$32*$J32*R$11</f>
        <v>3732125</v>
      </c>
      <c r="S32" s="3" t="n">
        <f aca="false">+N$32*$J32*S$11</f>
        <v>3666425</v>
      </c>
      <c r="T32" s="3" t="n">
        <f aca="false">+O$32*$J32*T$11</f>
        <v>3671900</v>
      </c>
    </row>
    <row r="33" customFormat="false" ht="12.75" hidden="false" customHeight="false" outlineLevel="0" collapsed="false">
      <c r="A33" s="0" t="s">
        <v>34</v>
      </c>
      <c r="B33" s="3" t="n">
        <f aca="false">NPV(B$12,P33:AT33)</f>
        <v>5621454</v>
      </c>
      <c r="C33" s="3" t="n">
        <f aca="false">NPV($C$12,P33:AT33)</f>
        <v>3308091.28168811</v>
      </c>
      <c r="D33" s="3" t="n">
        <f aca="false">NPV(D$12,P33:AT33)</f>
        <v>2191399.61446399</v>
      </c>
      <c r="E33" s="15" t="n">
        <f aca="false">+C33/(J33*I33)</f>
        <v>0.223620914987738</v>
      </c>
      <c r="F33" s="3" t="n">
        <f aca="false">SUM(P33:AT33)</f>
        <v>5621454</v>
      </c>
      <c r="G33" s="0" t="n">
        <v>15</v>
      </c>
      <c r="H33" s="0" t="n">
        <f aca="false">+G33*12</f>
        <v>180</v>
      </c>
      <c r="I33" s="0" t="n">
        <f aca="false">SUM($P$11:$AD$11)</f>
        <v>5479</v>
      </c>
      <c r="J33" s="2" t="n">
        <v>2700</v>
      </c>
      <c r="K33" s="1" t="n">
        <v>0.38</v>
      </c>
      <c r="L33" s="1"/>
      <c r="M33" s="1"/>
      <c r="N33" s="1"/>
      <c r="O33" s="1"/>
      <c r="P33" s="3" t="n">
        <f aca="false">+$K33*$J33*P$11</f>
        <v>374490</v>
      </c>
      <c r="Q33" s="3" t="n">
        <f aca="false">+$K33*$J33*Q$11</f>
        <v>375516</v>
      </c>
      <c r="R33" s="3" t="n">
        <f aca="false">+$K33*$J33*R$11</f>
        <v>374490</v>
      </c>
      <c r="S33" s="3" t="n">
        <f aca="false">+$K33*$J33*S$11</f>
        <v>374490</v>
      </c>
      <c r="T33" s="3" t="n">
        <f aca="false">+$K33*$J33*T$11</f>
        <v>374490</v>
      </c>
      <c r="U33" s="3" t="n">
        <f aca="false">+$K33*$J33*U$11</f>
        <v>375516</v>
      </c>
      <c r="V33" s="3" t="n">
        <f aca="false">+$K33*$J33*V$11</f>
        <v>374490</v>
      </c>
      <c r="W33" s="3" t="n">
        <f aca="false">+$K33*$J33*W$11</f>
        <v>374490</v>
      </c>
      <c r="X33" s="3" t="n">
        <f aca="false">+$K33*$J33*X$11</f>
        <v>374490</v>
      </c>
      <c r="Y33" s="3" t="n">
        <f aca="false">+$K33*$J33*Y$11</f>
        <v>375516</v>
      </c>
      <c r="Z33" s="3" t="n">
        <f aca="false">+$K33*$J33*Z$11</f>
        <v>374490</v>
      </c>
      <c r="AA33" s="3" t="n">
        <f aca="false">+$K33*$J33*AA$11</f>
        <v>374490</v>
      </c>
      <c r="AB33" s="3" t="n">
        <f aca="false">+$K33*$J33*AB$11</f>
        <v>374490</v>
      </c>
      <c r="AC33" s="3" t="n">
        <f aca="false">+$K33*$J33*AC$11</f>
        <v>375516</v>
      </c>
      <c r="AD33" s="3" t="n">
        <f aca="false">+$K33*$J33*AD$11</f>
        <v>374490</v>
      </c>
    </row>
    <row r="34" customFormat="false" ht="12.75" hidden="false" customHeight="false" outlineLevel="0" collapsed="false">
      <c r="A34" s="0" t="s">
        <v>34</v>
      </c>
      <c r="B34" s="3" t="n">
        <f aca="false">NPV(B$12,P34:AT34)</f>
        <v>2649900</v>
      </c>
      <c r="C34" s="3" t="n">
        <f aca="false">NPV($C$12,P34:AT34)</f>
        <v>2465023.25581395</v>
      </c>
      <c r="D34" s="3" t="n">
        <f aca="false">NPV(D$12,P34:AT34)</f>
        <v>2304260.86956522</v>
      </c>
      <c r="E34" s="15" t="n">
        <f aca="false">+C34/(J34*I34)</f>
        <v>2.04651162790698</v>
      </c>
      <c r="F34" s="3" t="n">
        <f aca="false">SUM(P34:AT34)</f>
        <v>2649900</v>
      </c>
      <c r="G34" s="0" t="n">
        <v>1</v>
      </c>
      <c r="H34" s="0" t="n">
        <f aca="false">+G34*12</f>
        <v>12</v>
      </c>
      <c r="I34" s="0" t="n">
        <f aca="false">SUM($P$11)</f>
        <v>365</v>
      </c>
      <c r="J34" s="2" t="n">
        <v>3300</v>
      </c>
      <c r="K34" s="1" t="n">
        <v>2.2</v>
      </c>
      <c r="L34" s="1"/>
      <c r="M34" s="1"/>
      <c r="N34" s="1"/>
      <c r="O34" s="1"/>
      <c r="P34" s="3" t="n">
        <f aca="false">+$K34*$J34*P$11</f>
        <v>2649900</v>
      </c>
    </row>
    <row r="35" customFormat="false" ht="12.75" hidden="false" customHeight="false" outlineLevel="0" collapsed="false">
      <c r="A35" s="0" t="s">
        <v>34</v>
      </c>
      <c r="B35" s="3" t="n">
        <f aca="false">NPV(B$12,P35:AT35)</f>
        <v>1606000</v>
      </c>
      <c r="C35" s="3" t="n">
        <f aca="false">NPV($C$12,P35:AT35)</f>
        <v>1493953.48837209</v>
      </c>
      <c r="D35" s="3" t="n">
        <f aca="false">NPV(D$12,P35:AT35)</f>
        <v>1396521.73913043</v>
      </c>
      <c r="E35" s="15" t="n">
        <f aca="false">+C35/(J35*I35)</f>
        <v>2.04651162790698</v>
      </c>
      <c r="F35" s="3" t="n">
        <f aca="false">SUM(P35:AT35)</f>
        <v>1606000</v>
      </c>
      <c r="G35" s="0" t="n">
        <v>1</v>
      </c>
      <c r="H35" s="0" t="n">
        <f aca="false">+G35*12</f>
        <v>12</v>
      </c>
      <c r="I35" s="0" t="n">
        <f aca="false">SUM($P$11)</f>
        <v>365</v>
      </c>
      <c r="J35" s="2" t="n">
        <v>2000</v>
      </c>
      <c r="K35" s="1" t="n">
        <v>2.2</v>
      </c>
      <c r="L35" s="1"/>
      <c r="M35" s="1"/>
      <c r="N35" s="1"/>
      <c r="O35" s="1"/>
      <c r="P35" s="3" t="n">
        <f aca="false">+$K35*$J35*P$11</f>
        <v>1606000</v>
      </c>
    </row>
    <row r="36" customFormat="false" ht="12.75" hidden="false" customHeight="false" outlineLevel="0" collapsed="false">
      <c r="A36" s="0" t="s">
        <v>35</v>
      </c>
      <c r="B36" s="3" t="n">
        <f aca="false">NPV(B$12,P36:AT36)</f>
        <v>949520</v>
      </c>
      <c r="C36" s="3" t="n">
        <f aca="false">NPV($C$12,P36:AT36)</f>
        <v>768358.927357662</v>
      </c>
      <c r="D36" s="3" t="n">
        <f aca="false">NPV(D$12,P36:AT36)</f>
        <v>636632.232309558</v>
      </c>
      <c r="E36" s="15" t="n">
        <f aca="false">+C36/(J36*I36)</f>
        <v>0.52598502694254</v>
      </c>
      <c r="F36" s="3" t="n">
        <f aca="false">SUM(P36:AT36)</f>
        <v>949520</v>
      </c>
      <c r="G36" s="0" t="n">
        <v>5</v>
      </c>
      <c r="H36" s="0" t="n">
        <f aca="false">+G36*12</f>
        <v>60</v>
      </c>
      <c r="I36" s="0" t="n">
        <f aca="false">SUM($P$11:$T$11)</f>
        <v>1826</v>
      </c>
      <c r="J36" s="2" t="n">
        <v>800</v>
      </c>
      <c r="K36" s="1" t="n">
        <v>0.65</v>
      </c>
      <c r="L36" s="1"/>
      <c r="M36" s="1"/>
      <c r="N36" s="1"/>
      <c r="O36" s="1"/>
      <c r="P36" s="3" t="n">
        <f aca="false">+$K36*$J36*P$11</f>
        <v>189800</v>
      </c>
      <c r="Q36" s="3" t="n">
        <f aca="false">+$K36*$J36*Q$11</f>
        <v>190320</v>
      </c>
      <c r="R36" s="3" t="n">
        <f aca="false">+$K36*$J36*R$11</f>
        <v>189800</v>
      </c>
      <c r="S36" s="3" t="n">
        <f aca="false">+$K36*$J36*S$11</f>
        <v>189800</v>
      </c>
      <c r="T36" s="3" t="n">
        <f aca="false">+$K36*$J36*T$11</f>
        <v>189800</v>
      </c>
    </row>
    <row r="37" customFormat="false" ht="12.75" hidden="false" customHeight="false" outlineLevel="0" collapsed="false">
      <c r="A37" s="0" t="s">
        <v>35</v>
      </c>
      <c r="B37" s="3" t="n">
        <f aca="false">NPV(B$12,P37:AT37)</f>
        <v>410850</v>
      </c>
      <c r="C37" s="3" t="n">
        <f aca="false">NPV($C$12,P37:AT37)</f>
        <v>332462.997414373</v>
      </c>
      <c r="D37" s="3" t="n">
        <f aca="false">NPV(D$12,P37:AT37)</f>
        <v>275465.869749328</v>
      </c>
      <c r="E37" s="15" t="n">
        <f aca="false">+C37/(J37*I37)</f>
        <v>0.121381160063663</v>
      </c>
      <c r="F37" s="3" t="n">
        <f aca="false">SUM(P37:AT37)</f>
        <v>410850</v>
      </c>
      <c r="G37" s="0" t="n">
        <v>5</v>
      </c>
      <c r="H37" s="0" t="n">
        <f aca="false">+G37*12</f>
        <v>60</v>
      </c>
      <c r="I37" s="0" t="n">
        <f aca="false">SUM($P$11:$T$11)</f>
        <v>1826</v>
      </c>
      <c r="J37" s="2" t="n">
        <v>1500</v>
      </c>
      <c r="K37" s="1" t="n">
        <v>0.15</v>
      </c>
      <c r="L37" s="1"/>
      <c r="M37" s="1"/>
      <c r="N37" s="1"/>
      <c r="O37" s="1"/>
      <c r="P37" s="3" t="n">
        <f aca="false">+$K37*$J37*P$11</f>
        <v>82125</v>
      </c>
      <c r="Q37" s="3" t="n">
        <f aca="false">+$K37*$J37*Q$11</f>
        <v>82350</v>
      </c>
      <c r="R37" s="3" t="n">
        <f aca="false">+$K37*$J37*R$11</f>
        <v>82125</v>
      </c>
      <c r="S37" s="3" t="n">
        <f aca="false">+$K37*$J37*S$11</f>
        <v>82125</v>
      </c>
      <c r="T37" s="3" t="n">
        <f aca="false">+$K37*$J37*T$11</f>
        <v>82125</v>
      </c>
    </row>
    <row r="39" customFormat="false" ht="12.75" hidden="false" customHeight="false" outlineLevel="0" collapsed="false">
      <c r="A39" s="0" t="s">
        <v>46</v>
      </c>
      <c r="B39" s="3" t="n">
        <f aca="false">SUM(B14:B38)</f>
        <v>593406974</v>
      </c>
      <c r="C39" s="3" t="n">
        <f aca="false">SUM(C14:C38)</f>
        <v>445108093.163704</v>
      </c>
      <c r="D39" s="3" t="n">
        <f aca="false">SUM(D14:D38)</f>
        <v>368377863.121365</v>
      </c>
      <c r="E39" s="15"/>
      <c r="F39" s="3" t="n">
        <f aca="false">SUM(F14:F38)</f>
        <v>593406974</v>
      </c>
      <c r="I39" s="17" t="n">
        <f aca="false">SUM(I14:I38)</f>
        <v>64593</v>
      </c>
      <c r="J39" s="17" t="n">
        <f aca="false">SUM(J14:J38)</f>
        <v>609800</v>
      </c>
    </row>
    <row r="41" customFormat="false" ht="12.75" hidden="false" customHeight="false" outlineLevel="0" collapsed="false">
      <c r="C41" s="15"/>
      <c r="D41" s="15"/>
      <c r="F41" s="15"/>
    </row>
    <row r="42" customFormat="false" ht="12.75" hidden="false" customHeight="false" outlineLevel="0" collapsed="false">
      <c r="C42" s="0"/>
      <c r="D42" s="0"/>
      <c r="E42" s="0"/>
      <c r="F42" s="0"/>
    </row>
    <row r="43" customFormat="false" ht="12.75" hidden="false" customHeight="false" outlineLevel="0" collapsed="false">
      <c r="C43" s="0"/>
      <c r="D43" s="0"/>
      <c r="E43" s="0"/>
      <c r="F43" s="0"/>
    </row>
    <row r="44" customFormat="false" ht="12.75" hidden="false" customHeight="false" outlineLevel="0" collapsed="false">
      <c r="C44" s="0"/>
      <c r="D44" s="0"/>
      <c r="E44" s="0"/>
      <c r="F44" s="0"/>
    </row>
    <row r="45" customFormat="false" ht="12.75" hidden="false" customHeight="false" outlineLevel="0" collapsed="false">
      <c r="C45" s="0"/>
      <c r="D45" s="0"/>
      <c r="E45" s="0"/>
      <c r="F45" s="0"/>
    </row>
    <row r="46" customFormat="false" ht="12.75" hidden="false" customHeight="false" outlineLevel="0" collapsed="false">
      <c r="C46" s="0"/>
      <c r="D46" s="0"/>
      <c r="E46" s="0"/>
      <c r="F46" s="0"/>
    </row>
    <row r="47" customFormat="false" ht="12.75" hidden="false" customHeight="false" outlineLevel="0" collapsed="false">
      <c r="C47" s="0"/>
      <c r="D47" s="0"/>
      <c r="E47" s="0"/>
      <c r="F47" s="0"/>
    </row>
    <row r="48" customFormat="false" ht="12.75" hidden="false" customHeight="false" outlineLevel="0" collapsed="false">
      <c r="C48" s="0"/>
      <c r="D48" s="0"/>
      <c r="E48" s="0"/>
      <c r="F48" s="0"/>
    </row>
    <row r="49" customFormat="false" ht="12.75" hidden="false" customHeight="false" outlineLevel="0" collapsed="false">
      <c r="C49" s="0"/>
      <c r="D49" s="0"/>
      <c r="E49" s="0"/>
      <c r="F49" s="0"/>
    </row>
    <row r="50" customFormat="false" ht="12.75" hidden="false" customHeight="false" outlineLevel="0" collapsed="false">
      <c r="C50" s="0"/>
      <c r="D50" s="0"/>
      <c r="E50" s="0"/>
      <c r="F50" s="0"/>
    </row>
    <row r="51" customFormat="false" ht="12.75" hidden="false" customHeight="false" outlineLevel="0" collapsed="false">
      <c r="C51" s="0"/>
      <c r="D51" s="0"/>
      <c r="E51" s="0"/>
      <c r="F51" s="0"/>
    </row>
  </sheetData>
  <printOptions headings="false" gridLines="false" gridLinesSet="true" horizontalCentered="false" verticalCentered="false"/>
  <pageMargins left="0.25" right="0.279861111111111" top="0.479861111111111" bottom="0.49027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2001-04-20T17:58:44Z</dcterms:created>
  <dc:creator>James Centilli</dc:creator>
  <dc:description/>
  <dc:language>en-US</dc:language>
  <cp:lastModifiedBy>James Centilli</cp:lastModifiedBy>
  <cp:lastPrinted>2001-04-23T13:59:06Z</cp:lastPrinted>
  <cp:revision>0</cp:revision>
  <dc:subject/>
  <dc:title/>
</cp:coreProperties>
</file>