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 Output" sheetId="1" state="visible" r:id="rId3"/>
    <sheet name="Assumptions" sheetId="2" state="visible" r:id="rId4"/>
    <sheet name="Power Curves" sheetId="3" state="visible" r:id="rId5"/>
    <sheet name="IS" sheetId="4" state="visible" r:id="rId6"/>
    <sheet name="Debt" sheetId="5" state="visible" r:id="rId7"/>
    <sheet name="CF" sheetId="6" state="visible" r:id="rId8"/>
    <sheet name="Depreciation" sheetId="7" state="visible" r:id="rId9"/>
    <sheet name="Tax" sheetId="8" state="visible" r:id="rId10"/>
    <sheet name="Gleason" sheetId="9" state="visible" r:id="rId11"/>
    <sheet name="Wheatland" sheetId="10" state="visible" r:id="rId12"/>
    <sheet name="Wilton" sheetId="11" state="visible" r:id="rId13"/>
    <sheet name="Allocation" sheetId="12" state="visible" r:id="rId14"/>
  </sheets>
  <definedNames>
    <definedName function="false" hidden="false" localSheetId="11" name="_xlnm.Print_Area" vbProcedure="false">Allocation!$A$1:$E$10</definedName>
    <definedName function="false" hidden="false" localSheetId="1" name="_xlnm.Print_Area" vbProcedure="false">Assumptions!$A$1:$G$41</definedName>
    <definedName function="false" hidden="false" localSheetId="5" name="_xlnm.Print_Area" vbProcedure="false">CF!$A$1:$V$32</definedName>
    <definedName function="false" hidden="false" localSheetId="4" name="_xlnm.Print_Area" vbProcedure="false">Debt!$A$1:$U$81</definedName>
    <definedName function="false" hidden="false" localSheetId="6" name="_xlnm.Print_Area" vbProcedure="false">Depreciation!$A$2:$V$64</definedName>
    <definedName function="false" hidden="false" localSheetId="8" name="_xlnm.Print_Area" vbProcedure="false">Gleason!$A$2:$U$85</definedName>
    <definedName function="false" hidden="false" localSheetId="3" name="_xlnm.Print_Area" vbProcedure="false">IS!$A$2:$U$40</definedName>
    <definedName function="false" hidden="false" localSheetId="7" name="_xlnm.Print_Area" vbProcedure="false">Tax!$A$2:$U$20</definedName>
    <definedName function="false" hidden="false" localSheetId="9" name="_xlnm.Print_Area" vbProcedure="false">Wheatland!$A$2:$U$87</definedName>
    <definedName function="false" hidden="false" localSheetId="10" name="_xlnm.Print_Area" vbProcedure="false">Wilton!$A$2:$U$79</definedName>
    <definedName function="false" hidden="false" localSheetId="1" name="Choices_Wrapper" vbProcedure="false">Choices_Wrapper</definedName>
    <definedName function="false" hidden="false" name="Choices_Wrapper" vbProcedure="false"/>
    <definedName function="false" hidden="false" localSheetId="2" name="Choices_Wrapper" vbProcedure="false">Choices_Wrapper</definedName>
    <definedName function="false" hidden="false" localSheetId="3" name="Choices_Wrapper" vbProcedure="false">Choices_Wrapper</definedName>
    <definedName function="false" hidden="false" localSheetId="4" name="Choices_Wrapper" vbProcedure="false">Choices_Wrapper</definedName>
    <definedName function="false" hidden="false" localSheetId="5" name="Choices_Wrapper" vbProcedure="false">Choices_Wrapper</definedName>
    <definedName function="false" hidden="false" localSheetId="6" name="Choices_Wrapper" vbProcedure="false">Choices_Wrapper</definedName>
    <definedName function="false" hidden="false" localSheetId="7" name="Choices_Wrapper" vbProcedure="false">Choices_Wrapper</definedName>
    <definedName function="false" hidden="false" localSheetId="8" name="Choices_Wrapper" vbProcedure="false">Choices_Wrapper</definedName>
    <definedName function="false" hidden="false" localSheetId="9" name="Choices_Wrapper" vbProcedure="false">Choices_Wrapper</definedName>
    <definedName function="false" hidden="false" localSheetId="10" name="Choices_Wrapper" vbProcedure="false">Choices_Wrapper</definedName>
    <definedName function="false" hidden="false" localSheetId="11" name="Choices_Wrapper" vbProcedure="false">Choices_Wrapper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<sst xmlns="http://schemas.openxmlformats.org/spreadsheetml/2006/main" count="494" uniqueCount="242">
  <si>
    <t xml:space="preserve">SUMMARY OUTPUT</t>
  </si>
  <si>
    <t xml:space="preserve">SOURCES &amp; USES:</t>
  </si>
  <si>
    <t xml:space="preserve">Sources of Funds</t>
  </si>
  <si>
    <t xml:space="preserve">%</t>
  </si>
  <si>
    <t xml:space="preserve">000 $</t>
  </si>
  <si>
    <t xml:space="preserve">Uses of Funds</t>
  </si>
  <si>
    <t xml:space="preserve">Total Equity </t>
  </si>
  <si>
    <t xml:space="preserve">2000 Plants</t>
  </si>
  <si>
    <t xml:space="preserve">Bond Proceeds</t>
  </si>
  <si>
    <t xml:space="preserve">Total Sources</t>
  </si>
  <si>
    <t xml:space="preserve">Total Uses</t>
  </si>
  <si>
    <t xml:space="preserve">FINANCING ASSUMPTIONS:</t>
  </si>
  <si>
    <t xml:space="preserve">Tranche 1</t>
  </si>
  <si>
    <t xml:space="preserve">Tranche 2</t>
  </si>
  <si>
    <t xml:space="preserve">Tranche 3</t>
  </si>
  <si>
    <t xml:space="preserve">Total</t>
  </si>
  <si>
    <t xml:space="preserve">Debt Financing Summary:</t>
  </si>
  <si>
    <t xml:space="preserve">Debt Closing Date</t>
  </si>
  <si>
    <t xml:space="preserve">Amount ('000 $)</t>
  </si>
  <si>
    <t xml:space="preserve">Term (yrs)</t>
  </si>
  <si>
    <t xml:space="preserve">Final Maturity</t>
  </si>
  <si>
    <t xml:space="preserve">Average Life (yrs)</t>
  </si>
  <si>
    <t xml:space="preserve">Treasury Rate (%) </t>
  </si>
  <si>
    <t xml:space="preserve">Spread (%)</t>
  </si>
  <si>
    <t xml:space="preserve">All-in Coupon Rate (%)</t>
  </si>
  <si>
    <t xml:space="preserve">Interest Income Rate</t>
  </si>
  <si>
    <t xml:space="preserve">Equity Financing Summary:</t>
  </si>
  <si>
    <t xml:space="preserve">Equity Closing Date</t>
  </si>
  <si>
    <t xml:space="preserve">Required After-Tax Return</t>
  </si>
  <si>
    <t xml:space="preserve">DEPRECIATION ASSUMPTIONS:</t>
  </si>
  <si>
    <t xml:space="preserve">2000 Basis</t>
  </si>
  <si>
    <t xml:space="preserve">Year</t>
  </si>
  <si>
    <t xml:space="preserve">Method</t>
  </si>
  <si>
    <t xml:space="preserve">Residual (%)</t>
  </si>
  <si>
    <t xml:space="preserve">Federal &amp; State Tax Depreciation</t>
  </si>
  <si>
    <t xml:space="preserve">Total Project Cost</t>
  </si>
  <si>
    <t xml:space="preserve">MACRS</t>
  </si>
  <si>
    <t xml:space="preserve">Book Depreciation</t>
  </si>
  <si>
    <t xml:space="preserve">SL</t>
  </si>
  <si>
    <t xml:space="preserve">SUMMARY OUTPUT:</t>
  </si>
  <si>
    <t xml:space="preserve">DSCR</t>
  </si>
  <si>
    <t xml:space="preserve">Min</t>
  </si>
  <si>
    <t xml:space="preserve">Avg.</t>
  </si>
  <si>
    <t xml:space="preserve">Merchant Price Period</t>
  </si>
  <si>
    <t xml:space="preserve">Weighted Average Heat Rate (Btu/kWh)</t>
  </si>
  <si>
    <t xml:space="preserve">Summer Capacity (MW)</t>
  </si>
  <si>
    <t xml:space="preserve">Salvage Value (2 x EBITDA) at the end of 20 years ($/kW)</t>
  </si>
  <si>
    <t xml:space="preserve">Equity's After-Tax Returns with Salvage Value (20 yrs)</t>
  </si>
  <si>
    <t xml:space="preserve">GenCo EBITDA (000 $)</t>
  </si>
  <si>
    <t xml:space="preserve">GenCo Net Income (000 $)</t>
  </si>
  <si>
    <t xml:space="preserve">GenCo Pre-Tax Cashflow (000 $)</t>
  </si>
  <si>
    <t xml:space="preserve">GenCo After-Tax Cashflow (000 $)</t>
  </si>
  <si>
    <t xml:space="preserve">ASSUMPTIONS</t>
  </si>
  <si>
    <t xml:space="preserve">TECHNICAL ASSUMPTIONS:</t>
  </si>
  <si>
    <t xml:space="preserve">2000 PROJECTS</t>
  </si>
  <si>
    <t xml:space="preserve">Gleason</t>
  </si>
  <si>
    <t xml:space="preserve">Wheatland</t>
  </si>
  <si>
    <t xml:space="preserve">Wilton</t>
  </si>
  <si>
    <t xml:space="preserve">Number of Turbines</t>
  </si>
  <si>
    <t xml:space="preserve">Summer Heat Rate (HHV, Btu/kWh)</t>
  </si>
  <si>
    <t xml:space="preserve">Numbers of Starts</t>
  </si>
  <si>
    <t xml:space="preserve">PRICING ASSUMPTIONS:</t>
  </si>
  <si>
    <t xml:space="preserve">Energy Charge ($/MWh)</t>
  </si>
  <si>
    <t xml:space="preserve">Start Charge ($/Start/Turbine)</t>
  </si>
  <si>
    <t xml:space="preserve">Annual Generation (MWh)</t>
  </si>
  <si>
    <t xml:space="preserve">OPERATING COSTS ASSUMPTIONS:</t>
  </si>
  <si>
    <t xml:space="preserve">Variable O&amp;M ($/MWh)</t>
  </si>
  <si>
    <t xml:space="preserve">Major Maintenance ($/Start/Turbine)</t>
  </si>
  <si>
    <t xml:space="preserve">Annual Escalator</t>
  </si>
  <si>
    <t xml:space="preserve">Annual Cost (000$ in Year 2000)</t>
  </si>
  <si>
    <t xml:space="preserve">Fixed O&amp;M</t>
  </si>
  <si>
    <t xml:space="preserve">Variable O&amp;M</t>
  </si>
  <si>
    <t xml:space="preserve">Major Maintenance Per Plant</t>
  </si>
  <si>
    <t xml:space="preserve">Owner's Expense</t>
  </si>
  <si>
    <t xml:space="preserve">Property Tax Liability</t>
  </si>
  <si>
    <t xml:space="preserve">TAX ASSUMPTIONS:</t>
  </si>
  <si>
    <t xml:space="preserve">Federal Income Tax Rate</t>
  </si>
  <si>
    <t xml:space="preserve">State Income Tax Rate</t>
  </si>
  <si>
    <t xml:space="preserve">Adjusted Gross Income Tax</t>
  </si>
  <si>
    <t xml:space="preserve">N/A</t>
  </si>
  <si>
    <t xml:space="preserve">Gross Receipts Tax Rate</t>
  </si>
  <si>
    <t xml:space="preserve">Franchise Tax Rate (Year 1)</t>
  </si>
  <si>
    <t xml:space="preserve">Franchise Tax Rate (Year 2-20)</t>
  </si>
  <si>
    <t xml:space="preserve">POWER PRICE ASSUMPTION</t>
  </si>
  <si>
    <t xml:space="preserve">MERCHANT PRICE PERIOD</t>
  </si>
  <si>
    <t xml:space="preserve">ICF Capacity Price Escalator</t>
  </si>
  <si>
    <t xml:space="preserve">TVA Capacity Curves:</t>
  </si>
  <si>
    <t xml:space="preserve">(for Gleason)</t>
  </si>
  <si>
    <t xml:space="preserve">1998 $</t>
  </si>
  <si>
    <t xml:space="preserve">ICF Base ($/kW-year)</t>
  </si>
  <si>
    <t xml:space="preserve">Nominal $</t>
  </si>
  <si>
    <t xml:space="preserve">ICF Base ($/kW-year )</t>
  </si>
  <si>
    <t xml:space="preserve">Gleason Capacity Price Curve</t>
  </si>
  <si>
    <t xml:space="preserve">Southern ECAR Capacity Curves:</t>
  </si>
  <si>
    <t xml:space="preserve">(for Wheatland)</t>
  </si>
  <si>
    <t xml:space="preserve">Wheatland Capacity Price Curve</t>
  </si>
  <si>
    <t xml:space="preserve">Com Ed Capacity Curves:</t>
  </si>
  <si>
    <t xml:space="preserve">(for Wilton Center)</t>
  </si>
  <si>
    <t xml:space="preserve">Wilton Capacity Price Curve</t>
  </si>
  <si>
    <t xml:space="preserve">GENCO INCOME STATEMENT</t>
  </si>
  <si>
    <t xml:space="preserve">('000 $)</t>
  </si>
  <si>
    <t xml:space="preserve">Revenue</t>
  </si>
  <si>
    <t xml:space="preserve">Merchant Period:</t>
  </si>
  <si>
    <t xml:space="preserve">Demand Payment</t>
  </si>
  <si>
    <t xml:space="preserve">Variable Revenue </t>
  </si>
  <si>
    <t xml:space="preserve">Interest Income</t>
  </si>
  <si>
    <t xml:space="preserve">Total Revenue</t>
  </si>
  <si>
    <t xml:space="preserve">Expense</t>
  </si>
  <si>
    <t xml:space="preserve">Major Maintenance</t>
  </si>
  <si>
    <t xml:space="preserve">Property Taxes</t>
  </si>
  <si>
    <t xml:space="preserve">Franchise Tax </t>
  </si>
  <si>
    <t xml:space="preserve">Total Expense</t>
  </si>
  <si>
    <t xml:space="preserve">EBITDA</t>
  </si>
  <si>
    <t xml:space="preserve">Depreciation &amp; Amortization</t>
  </si>
  <si>
    <t xml:space="preserve">EBIT</t>
  </si>
  <si>
    <t xml:space="preserve">Interest Expense</t>
  </si>
  <si>
    <t xml:space="preserve">EBT</t>
  </si>
  <si>
    <t xml:space="preserve">Book State Tax Benefit / (Exp)</t>
  </si>
  <si>
    <t xml:space="preserve">Shareholder Fed. Tax Benefit / (Exp)</t>
  </si>
  <si>
    <t xml:space="preserve">Net Income</t>
  </si>
  <si>
    <t xml:space="preserve">DEBT ISSUANCE</t>
  </si>
  <si>
    <t xml:space="preserve">Principal</t>
  </si>
  <si>
    <t xml:space="preserve">Check</t>
  </si>
  <si>
    <t xml:space="preserve">Beginning Balance</t>
  </si>
  <si>
    <t xml:space="preserve">Interest Payment </t>
  </si>
  <si>
    <t xml:space="preserve">Ending Balance</t>
  </si>
  <si>
    <t xml:space="preserve">Amortization %</t>
  </si>
  <si>
    <t xml:space="preserve">Principal Payment </t>
  </si>
  <si>
    <t xml:space="preserve">Total Debt</t>
  </si>
  <si>
    <t xml:space="preserve">Principal Payments</t>
  </si>
  <si>
    <t xml:space="preserve">Net Debt Service</t>
  </si>
  <si>
    <t xml:space="preserve">ACTUAL DSCR</t>
  </si>
  <si>
    <t xml:space="preserve">Minimum</t>
  </si>
  <si>
    <t xml:space="preserve">Average</t>
  </si>
  <si>
    <t xml:space="preserve">Accrued Interest</t>
  </si>
  <si>
    <t xml:space="preserve">Treasury (%)</t>
  </si>
  <si>
    <t xml:space="preserve">All In Coupon Rate (%)</t>
  </si>
  <si>
    <t xml:space="preserve">Term (years)</t>
  </si>
  <si>
    <t xml:space="preserve">Average Life (years)</t>
  </si>
  <si>
    <t xml:space="preserve">Total amount ($ '000)</t>
  </si>
  <si>
    <t xml:space="preserve">Time Factor</t>
  </si>
  <si>
    <t xml:space="preserve">Average Life</t>
  </si>
  <si>
    <t xml:space="preserve">ANNUAL CASH FLOW AND IRR</t>
  </si>
  <si>
    <t xml:space="preserve">GENCO CASH FLOW</t>
  </si>
  <si>
    <t xml:space="preserve">Close</t>
  </si>
  <si>
    <t xml:space="preserve">Plus Property Tax Liability</t>
  </si>
  <si>
    <t xml:space="preserve">Less Property Tax Expense</t>
  </si>
  <si>
    <t xml:space="preserve">Less Principal Payments</t>
  </si>
  <si>
    <t xml:space="preserve">Less Interest Payments</t>
  </si>
  <si>
    <t xml:space="preserve">Pre-Tax Cash Flow</t>
  </si>
  <si>
    <t xml:space="preserve">  GenCo's State Tax Benefit/(Exp)</t>
  </si>
  <si>
    <t xml:space="preserve">  GenCo's Federal Tax Benefit/(Exp)</t>
  </si>
  <si>
    <t xml:space="preserve">After-Tax Cash Flow</t>
  </si>
  <si>
    <t xml:space="preserve">IRR Calculation</t>
  </si>
  <si>
    <t xml:space="preserve">Equity's Contribution</t>
  </si>
  <si>
    <t xml:space="preserve">Equity's After-Tax Cashflow</t>
  </si>
  <si>
    <t xml:space="preserve">Salvage Value</t>
  </si>
  <si>
    <t xml:space="preserve">Equity's Net Cashflow</t>
  </si>
  <si>
    <t xml:space="preserve">   IRR</t>
  </si>
  <si>
    <t xml:space="preserve">GENCO DEPRECIATION</t>
  </si>
  <si>
    <t xml:space="preserve">Initial</t>
  </si>
  <si>
    <t xml:space="preserve">Book Value</t>
  </si>
  <si>
    <t xml:space="preserve">No. of Months in Operation</t>
  </si>
  <si>
    <t xml:space="preserve">% Depreciated</t>
  </si>
  <si>
    <t xml:space="preserve">Beginning Book Value</t>
  </si>
  <si>
    <t xml:space="preserve">Depreciation</t>
  </si>
  <si>
    <t xml:space="preserve">Ending Book Value</t>
  </si>
  <si>
    <t xml:space="preserve">15 Year MACRS Table</t>
  </si>
  <si>
    <t xml:space="preserve">GenCo</t>
  </si>
  <si>
    <t xml:space="preserve">Tax Depreciation</t>
  </si>
  <si>
    <t xml:space="preserve">Project Cost</t>
  </si>
  <si>
    <t xml:space="preserve">Beginning Value</t>
  </si>
  <si>
    <t xml:space="preserve">Ending Value</t>
  </si>
  <si>
    <t xml:space="preserve">Tax Depreciation From Above</t>
  </si>
  <si>
    <t xml:space="preserve">Tax Depreciation From 3 Plants</t>
  </si>
  <si>
    <t xml:space="preserve">Difference</t>
  </si>
  <si>
    <t xml:space="preserve">GENCO FEDERAL TAXES</t>
  </si>
  <si>
    <t xml:space="preserve">STATE TAXES</t>
  </si>
  <si>
    <t xml:space="preserve">Total State Taxes Utilizing NOLs</t>
  </si>
  <si>
    <t xml:space="preserve">FEDERAL TAXES</t>
  </si>
  <si>
    <t xml:space="preserve">Pretax Book Income</t>
  </si>
  <si>
    <t xml:space="preserve">Plus Book Depreciation &amp; Amortization</t>
  </si>
  <si>
    <t xml:space="preserve">Less: Tax Depreciation</t>
  </si>
  <si>
    <t xml:space="preserve">Less: State Taxes</t>
  </si>
  <si>
    <t xml:space="preserve">Federal Taxable Income</t>
  </si>
  <si>
    <t xml:space="preserve">Federal Tax Rate</t>
  </si>
  <si>
    <t xml:space="preserve">Federal Tax Expense/ (Benefit)</t>
  </si>
  <si>
    <t xml:space="preserve">NOL Carryforward</t>
  </si>
  <si>
    <t xml:space="preserve">NOL Utilization</t>
  </si>
  <si>
    <t xml:space="preserve">Fed Cash Taxes Payable/(Benefit)</t>
  </si>
  <si>
    <t xml:space="preserve">INCOME STATEMENT - GLEASON</t>
  </si>
  <si>
    <t xml:space="preserve">Property Taxes Liability</t>
  </si>
  <si>
    <t xml:space="preserve">Franchise Tax</t>
  </si>
  <si>
    <t xml:space="preserve">Book State Tax Benefit / (Expense)</t>
  </si>
  <si>
    <t xml:space="preserve">Shareholder Fed. Tax Benefit / (Expense)</t>
  </si>
  <si>
    <t xml:space="preserve">After Tax Book Income</t>
  </si>
  <si>
    <t xml:space="preserve">CASH FLOW - GLEASON</t>
  </si>
  <si>
    <t xml:space="preserve">Debt Service</t>
  </si>
  <si>
    <t xml:space="preserve">Pre Tax Cash Flow</t>
  </si>
  <si>
    <t xml:space="preserve"> State Cash Taxes Benefit (Expense)</t>
  </si>
  <si>
    <t xml:space="preserve"> Federal Cash Taxes Benefit (Expense)</t>
  </si>
  <si>
    <t xml:space="preserve">After Tax Cash Flow</t>
  </si>
  <si>
    <t xml:space="preserve">STATE TAX &amp; FRANCHISE TAX - GLEASON</t>
  </si>
  <si>
    <t xml:space="preserve">FRANCHISE TAX</t>
  </si>
  <si>
    <t xml:space="preserve">Book Value of Assets</t>
  </si>
  <si>
    <t xml:space="preserve">Paid-In-Capital</t>
  </si>
  <si>
    <t xml:space="preserve">Retained Earnings</t>
  </si>
  <si>
    <t xml:space="preserve">Outstanding Debt</t>
  </si>
  <si>
    <t xml:space="preserve">Total Capitalization</t>
  </si>
  <si>
    <t xml:space="preserve">Greater of Book Value and Capitalization</t>
  </si>
  <si>
    <t xml:space="preserve">State Franchise Tax Rate</t>
  </si>
  <si>
    <t xml:space="preserve">State Franchise Tax Liability</t>
  </si>
  <si>
    <t xml:space="preserve">Less Tax Depreciation</t>
  </si>
  <si>
    <t xml:space="preserve">State Taxable Income</t>
  </si>
  <si>
    <t xml:space="preserve">Current State Income Tax Expense (Benefit)</t>
  </si>
  <si>
    <t xml:space="preserve">Beginning NOLs</t>
  </si>
  <si>
    <t xml:space="preserve">New NOLs</t>
  </si>
  <si>
    <t xml:space="preserve">Expired NOLs</t>
  </si>
  <si>
    <t xml:space="preserve">Ending NOLs</t>
  </si>
  <si>
    <t xml:space="preserve">INCOME STATEMENT - WHEATLAND</t>
  </si>
  <si>
    <t xml:space="preserve">CASH FLOW - WHEATLAND</t>
  </si>
  <si>
    <t xml:space="preserve">STATE TAX &amp; SUPPLEMENTAL TAX - WHEATLAND</t>
  </si>
  <si>
    <t xml:space="preserve">SUPPLEMENTAL TAXES</t>
  </si>
  <si>
    <t xml:space="preserve">Adjusted Gross Income Rate</t>
  </si>
  <si>
    <t xml:space="preserve">State Adjusted Gross Income Tax</t>
  </si>
  <si>
    <t xml:space="preserve">State Gross Receipts Taxes</t>
  </si>
  <si>
    <t xml:space="preserve">Gross Receipts</t>
  </si>
  <si>
    <t xml:space="preserve">Gross Receipts Tax Liability</t>
  </si>
  <si>
    <t xml:space="preserve">Greater of Adjusted or Gross Receipts</t>
  </si>
  <si>
    <t xml:space="preserve">Current State Income Tax Exp/(Benefit)</t>
  </si>
  <si>
    <t xml:space="preserve">Total State &amp; Misc. Taxes</t>
  </si>
  <si>
    <t xml:space="preserve">INCOME STATEMENT - WILTON</t>
  </si>
  <si>
    <t xml:space="preserve">CASH FLOW - WILTON</t>
  </si>
  <si>
    <t xml:space="preserve">STATE TAX &amp; FRANCHISE TAX - WILTON</t>
  </si>
  <si>
    <t xml:space="preserve">Beginning NOL's</t>
  </si>
  <si>
    <t xml:space="preserve">New NOL's</t>
  </si>
  <si>
    <t xml:space="preserve">Expired NOL's</t>
  </si>
  <si>
    <t xml:space="preserve">Ending NOL's</t>
  </si>
  <si>
    <t xml:space="preserve">ALLOCATION</t>
  </si>
  <si>
    <t xml:space="preserve">Project</t>
  </si>
  <si>
    <t xml:space="preserve">By Project Cost</t>
  </si>
  <si>
    <t xml:space="preserve">By Cashflow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</si>
</sst>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[$-409]#,##0_);\(#,##0\)"/>
    <numFmt numFmtId="166" formatCode="\$#,##0_);[RED]&quot;($&quot;#,##0\)"/>
    <numFmt numFmtId="167" formatCode="0%"/>
    <numFmt numFmtId="168" formatCode="_(* #,##0.00_);_(* \(#,##0.00\);_(* \-??_);_(@_)"/>
    <numFmt numFmtId="169" formatCode="[$-409]#,##0_);[RED]\(#,##0\)"/>
    <numFmt numFmtId="170" formatCode="0.00%"/>
    <numFmt numFmtId="171" formatCode="0.0%"/>
    <numFmt numFmtId="172" formatCode="[$-409]d\-mmm\-yy"/>
    <numFmt numFmtId="173" formatCode="[$-409]#,##0.00_);[RED]\(#,##0.00\)"/>
    <numFmt numFmtId="174" formatCode="0"/>
    <numFmt numFmtId="175" formatCode="0.00"/>
    <numFmt numFmtId="176" formatCode="#,##0.00"/>
    <numFmt numFmtId="177" formatCode="[$-409]#,##0.00_);\(#,##0.00\)"/>
    <numFmt numFmtId="178" formatCode="0.000%"/>
    <numFmt numFmtId="179" formatCode="0.000000000000000%"/>
    <numFmt numFmtId="180" formatCode="0.00\x"/>
    <numFmt numFmtId="181" formatCode="#,##0"/>
    <numFmt numFmtId="182" formatCode="_(* #,##0_);_(* \(#,##0\);_(* \-??_);_(@_)"/>
    <numFmt numFmtId="183" formatCode="_(\$* #,##0.00_);_(\$* \(#,##0.00\);_(\$* \-??_);_(@_)"/>
    <numFmt numFmtId="184" formatCode="\$#,##0.00_);&quot;($&quot;#,##0.00\)"/>
    <numFmt numFmtId="185" formatCode="0.0"/>
    <numFmt numFmtId="186" formatCode="[$-409]m/d/yyyy"/>
    <numFmt numFmtId="187" formatCode="0.00\x_);\(0.00&quot;x)&quot;"/>
    <numFmt numFmtId="188" formatCode="_(* #,##0.0_);_(* \(#,##0.0\);_(* \-??_);_(@_)"/>
    <numFmt numFmtId="189" formatCode="yyyy"/>
    <numFmt numFmtId="190" formatCode="0.0000"/>
    <numFmt numFmtId="191" formatCode="0.000"/>
    <numFmt numFmtId="192" formatCode="_(\$* #,##0_);_(\$* \(#,##0\);_(\$* \-??_);_(@_)"/>
    <numFmt numFmtId="193" formatCode="_(* #,##0_);_(* \(#,##0\);_(* \-_);_(@_)"/>
  </numFmts>
  <fonts count="3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b val="true"/>
      <i val="true"/>
      <sz val="10"/>
      <name val="Arial"/>
      <family val="2"/>
    </font>
    <font>
      <b val="true"/>
      <sz val="10"/>
      <color rgb="FF000000"/>
      <name val="Arial"/>
      <family val="2"/>
    </font>
    <font>
      <i val="true"/>
      <u val="singl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4"/>
      <name val="Arial"/>
      <family val="2"/>
    </font>
    <font>
      <b val="true"/>
      <sz val="10"/>
      <color rgb="FFFF0000"/>
      <name val="Arial"/>
      <family val="2"/>
    </font>
    <font>
      <sz val="7"/>
      <name val="Arial"/>
      <family val="2"/>
    </font>
    <font>
      <b val="true"/>
      <sz val="10"/>
      <color rgb="FF800080"/>
      <name val="Arial"/>
      <family val="2"/>
    </font>
    <font>
      <sz val="10"/>
      <color rgb="FF0000FF"/>
      <name val="Arial"/>
      <family val="2"/>
    </font>
    <font>
      <b val="true"/>
      <sz val="12"/>
      <name val="Arial"/>
      <family val="2"/>
    </font>
    <font>
      <b val="true"/>
      <sz val="12"/>
      <color rgb="FFFF0000"/>
      <name val="Arial"/>
      <family val="2"/>
    </font>
    <font>
      <i val="true"/>
      <sz val="10"/>
      <name val="Arial"/>
      <family val="2"/>
    </font>
    <font>
      <b val="true"/>
      <sz val="10"/>
      <color rgb="FFFFFFFF"/>
      <name val="Arial"/>
      <family val="2"/>
    </font>
    <font>
      <b val="true"/>
      <i val="true"/>
      <sz val="10"/>
      <color rgb="FFFF0000"/>
      <name val="Arial"/>
      <family val="2"/>
    </font>
    <font>
      <i val="true"/>
      <sz val="10"/>
      <color rgb="FFFF0000"/>
      <name val="Arial"/>
      <family val="2"/>
    </font>
    <font>
      <sz val="10"/>
      <color rgb="FF000000"/>
      <name val="Arial"/>
      <family val="2"/>
    </font>
    <font>
      <b val="true"/>
      <u val="single"/>
      <sz val="10"/>
      <color rgb="FFFF000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 val="true"/>
      <sz val="14"/>
      <color rgb="FF000000"/>
      <name val="Arial"/>
      <family val="2"/>
    </font>
    <font>
      <sz val="10"/>
      <color rgb="FFFFFFFF"/>
      <name val="Arial"/>
      <family val="2"/>
    </font>
    <font>
      <b val="true"/>
      <sz val="8"/>
      <name val="Arial"/>
      <family val="2"/>
    </font>
    <font>
      <u val="single"/>
      <sz val="8"/>
      <name val="Arial"/>
      <family val="2"/>
    </font>
    <font>
      <u val="single"/>
      <sz val="10"/>
      <color rgb="FF000000"/>
      <name val="Arial"/>
      <family val="2"/>
    </font>
    <font>
      <i val="true"/>
      <u val="singl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FFCC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CCFFFF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 style="thin"/>
      <bottom style="double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false" applyAlignment="false" applyProtection="false"/>
  </cellStyleXfs>
  <cellXfs count="3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3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6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7" fontId="6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6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6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3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3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9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4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2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2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10" fillId="6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10" fillId="6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9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2" fontId="6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6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6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5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7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2" fontId="6" fillId="0" borderId="1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9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27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1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2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7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27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9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9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27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5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5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2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2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3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f0402_ndf" xfId="20"/>
    <cellStyle name="Normal_Curve_Economics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342360</xdr:colOff>
          <xdr:row>26</xdr:row>
          <xdr:rowOff>19080</xdr:rowOff>
        </xdr:from>
        <xdr:to>
          <xdr:col>3</xdr:col>
          <xdr:colOff>564120</xdr:colOff>
          <xdr:row>28</xdr:row>
          <xdr:rowOff>171360</xdr:rowOff>
        </xdr:to>
        <xdr:sp>
          <xdr:nvSpPr>
            <xdr:cNvPr id="1001" name="Button 422" descr="Goal Seek Equit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Goal Seek Equity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85"/>
    <col collapsed="false" customWidth="true" hidden="false" outlineLevel="0" max="4" min="2" style="0" width="10.28"/>
    <col collapsed="false" customWidth="true" hidden="false" outlineLevel="0" max="5" min="5" style="0" width="12.99"/>
    <col collapsed="false" customWidth="true" hidden="false" outlineLevel="0" max="7" min="6" style="0" width="8.14"/>
  </cols>
  <sheetData>
    <row r="1" customFormat="false" ht="12.75" hidden="false" customHeight="true" outlineLevel="0" collapsed="false">
      <c r="A1" s="1"/>
      <c r="B1" s="2"/>
      <c r="C1" s="2"/>
      <c r="D1" s="2"/>
      <c r="E1" s="2"/>
      <c r="F1" s="2"/>
      <c r="G1" s="2"/>
    </row>
    <row r="2" customFormat="false" ht="12.75" hidden="false" customHeight="true" outlineLevel="0" collapsed="false">
      <c r="A2" s="3" t="s">
        <v>0</v>
      </c>
      <c r="B2" s="4"/>
      <c r="C2" s="4"/>
      <c r="D2" s="4"/>
      <c r="E2" s="2"/>
      <c r="F2" s="2"/>
      <c r="G2" s="2"/>
    </row>
    <row r="3" customFormat="false" ht="12.75" hidden="false" customHeight="true" outlineLevel="0" collapsed="false">
      <c r="A3" s="2"/>
      <c r="B3" s="2"/>
      <c r="C3" s="2"/>
      <c r="D3" s="2"/>
      <c r="E3" s="2"/>
      <c r="F3" s="2"/>
      <c r="G3" s="2"/>
    </row>
    <row r="4" customFormat="false" ht="13.5" hidden="false" customHeight="true" outlineLevel="0" collapsed="false">
      <c r="A4" s="2"/>
      <c r="B4" s="2"/>
      <c r="C4" s="2"/>
      <c r="D4" s="2"/>
      <c r="E4" s="2"/>
      <c r="F4" s="2"/>
      <c r="G4" s="2"/>
    </row>
    <row r="5" customFormat="false" ht="12.75" hidden="false" customHeight="true" outlineLevel="0" collapsed="false">
      <c r="A5" s="5" t="s">
        <v>1</v>
      </c>
      <c r="B5" s="6"/>
      <c r="C5" s="6"/>
      <c r="D5" s="6"/>
      <c r="E5" s="7"/>
      <c r="F5" s="7"/>
      <c r="G5" s="8"/>
    </row>
    <row r="6" customFormat="false" ht="12.75" hidden="false" customHeight="true" outlineLevel="0" collapsed="false">
      <c r="A6" s="9" t="s">
        <v>2</v>
      </c>
      <c r="B6" s="10" t="s">
        <v>3</v>
      </c>
      <c r="C6" s="11" t="s">
        <v>4</v>
      </c>
      <c r="D6" s="12"/>
      <c r="E6" s="13" t="s">
        <v>5</v>
      </c>
      <c r="F6" s="10" t="s">
        <v>3</v>
      </c>
      <c r="G6" s="14" t="s">
        <v>4</v>
      </c>
    </row>
    <row r="7" customFormat="false" ht="12.75" hidden="false" customHeight="true" outlineLevel="0" collapsed="false">
      <c r="A7" s="15" t="s">
        <v>6</v>
      </c>
      <c r="B7" s="16" t="n">
        <f aca="false">C7/$C$9</f>
        <v>0.558051530360371</v>
      </c>
      <c r="C7" s="17" t="n">
        <f aca="false">B28</f>
        <v>448708.06698659</v>
      </c>
      <c r="D7" s="18"/>
      <c r="E7" s="13" t="s">
        <v>7</v>
      </c>
      <c r="F7" s="19" t="n">
        <f aca="false">G7/G9</f>
        <v>1</v>
      </c>
      <c r="G7" s="20" t="n">
        <f aca="false">C9</f>
        <v>804062.06698659</v>
      </c>
    </row>
    <row r="8" customFormat="false" ht="12.75" hidden="false" customHeight="true" outlineLevel="0" collapsed="false">
      <c r="A8" s="9" t="s">
        <v>8</v>
      </c>
      <c r="B8" s="21" t="n">
        <f aca="false">C8/$C$9</f>
        <v>0.441948469639629</v>
      </c>
      <c r="C8" s="22" t="n">
        <f aca="false">E15</f>
        <v>355354</v>
      </c>
      <c r="D8" s="23"/>
      <c r="E8" s="24"/>
      <c r="F8" s="2"/>
      <c r="G8" s="25"/>
    </row>
    <row r="9" customFormat="false" ht="13.5" hidden="false" customHeight="true" outlineLevel="0" collapsed="false">
      <c r="A9" s="26" t="s">
        <v>9</v>
      </c>
      <c r="B9" s="27" t="n">
        <f aca="false">SUM(B7:B8)</f>
        <v>1</v>
      </c>
      <c r="C9" s="28" t="n">
        <f aca="false">SUM(C7:C8)</f>
        <v>804062.06698659</v>
      </c>
      <c r="D9" s="29"/>
      <c r="E9" s="30" t="s">
        <v>10</v>
      </c>
      <c r="F9" s="31" t="n">
        <f aca="false">SUM(F7)</f>
        <v>1</v>
      </c>
      <c r="G9" s="32" t="n">
        <f aca="false">SUM(G7)</f>
        <v>804062.06698659</v>
      </c>
    </row>
    <row r="10" customFormat="false" ht="13.5" hidden="false" customHeight="true" outlineLevel="0" collapsed="false">
      <c r="A10" s="33"/>
      <c r="B10" s="34"/>
      <c r="C10" s="22"/>
      <c r="D10" s="12"/>
      <c r="E10" s="12"/>
      <c r="F10" s="35"/>
      <c r="G10" s="36"/>
    </row>
    <row r="11" customFormat="false" ht="12.75" hidden="false" customHeight="true" outlineLevel="0" collapsed="false">
      <c r="A11" s="5" t="s">
        <v>11</v>
      </c>
      <c r="B11" s="7"/>
      <c r="C11" s="7"/>
      <c r="D11" s="37"/>
      <c r="E11" s="7"/>
      <c r="F11" s="7"/>
      <c r="G11" s="8"/>
    </row>
    <row r="12" customFormat="false" ht="12.75" hidden="false" customHeight="true" outlineLevel="0" collapsed="false">
      <c r="A12" s="38"/>
      <c r="B12" s="39" t="s">
        <v>12</v>
      </c>
      <c r="C12" s="39" t="s">
        <v>13</v>
      </c>
      <c r="D12" s="39" t="s">
        <v>14</v>
      </c>
      <c r="E12" s="39" t="s">
        <v>15</v>
      </c>
      <c r="F12" s="40"/>
      <c r="G12" s="41"/>
    </row>
    <row r="13" customFormat="false" ht="12.75" hidden="false" customHeight="true" outlineLevel="0" collapsed="false">
      <c r="A13" s="42" t="s">
        <v>16</v>
      </c>
      <c r="B13" s="43"/>
      <c r="C13" s="43"/>
      <c r="D13" s="43"/>
      <c r="E13" s="12"/>
      <c r="F13" s="12"/>
      <c r="G13" s="25"/>
    </row>
    <row r="14" customFormat="false" ht="12.75" hidden="false" customHeight="true" outlineLevel="0" collapsed="false">
      <c r="A14" s="44" t="s">
        <v>17</v>
      </c>
      <c r="B14" s="2"/>
      <c r="C14" s="45" t="n">
        <v>36892</v>
      </c>
      <c r="D14" s="12"/>
      <c r="E14" s="12"/>
      <c r="F14" s="12"/>
      <c r="G14" s="25"/>
    </row>
    <row r="15" customFormat="false" ht="12.75" hidden="false" customHeight="true" outlineLevel="0" collapsed="false">
      <c r="A15" s="44" t="s">
        <v>18</v>
      </c>
      <c r="B15" s="46" t="n">
        <v>0</v>
      </c>
      <c r="C15" s="46" t="n">
        <v>114987</v>
      </c>
      <c r="D15" s="46" t="n">
        <v>240367</v>
      </c>
      <c r="E15" s="47" t="n">
        <f aca="false">SUM(B15:D15)</f>
        <v>355354</v>
      </c>
      <c r="F15" s="48"/>
      <c r="G15" s="49"/>
    </row>
    <row r="16" customFormat="false" ht="12.75" hidden="false" customHeight="true" outlineLevel="0" collapsed="false">
      <c r="A16" s="44" t="s">
        <v>19</v>
      </c>
      <c r="B16" s="50" t="e">
        <f aca="false">Debt!E90</f>
        <v>#N/A</v>
      </c>
      <c r="C16" s="50" t="n">
        <f aca="false">Debt!J90</f>
        <v>9.9958932238193</v>
      </c>
      <c r="D16" s="50" t="n">
        <f aca="false">Debt!O90</f>
        <v>19.9972621492129</v>
      </c>
      <c r="E16" s="51"/>
      <c r="F16" s="48"/>
      <c r="G16" s="49"/>
    </row>
    <row r="17" customFormat="false" ht="12.75" hidden="false" customHeight="true" outlineLevel="0" collapsed="false">
      <c r="A17" s="44" t="s">
        <v>20</v>
      </c>
      <c r="B17" s="45" t="e">
        <f aca="false">NA()</f>
        <v>#N/A</v>
      </c>
      <c r="C17" s="45" t="n">
        <v>40543</v>
      </c>
      <c r="D17" s="45" t="n">
        <v>44196</v>
      </c>
      <c r="E17" s="47"/>
      <c r="F17" s="12"/>
      <c r="G17" s="25"/>
    </row>
    <row r="18" customFormat="false" ht="12.75" hidden="false" customHeight="true" outlineLevel="0" collapsed="false">
      <c r="A18" s="44" t="s">
        <v>21</v>
      </c>
      <c r="B18" s="52" t="str">
        <f aca="false">Debt!E91</f>
        <v/>
      </c>
      <c r="C18" s="52" t="n">
        <f aca="false">Debt!J91</f>
        <v>5.87656454483231</v>
      </c>
      <c r="D18" s="52" t="n">
        <f aca="false">Debt!O91</f>
        <v>15.9577752224504</v>
      </c>
      <c r="E18" s="53"/>
      <c r="F18" s="12"/>
      <c r="G18" s="25"/>
    </row>
    <row r="19" customFormat="false" ht="12.75" hidden="false" customHeight="true" outlineLevel="0" collapsed="false">
      <c r="A19" s="44"/>
      <c r="B19" s="12"/>
      <c r="C19" s="12"/>
      <c r="D19" s="12"/>
      <c r="E19" s="47"/>
      <c r="F19" s="12"/>
      <c r="G19" s="25"/>
    </row>
    <row r="20" customFormat="false" ht="12.75" hidden="false" customHeight="true" outlineLevel="0" collapsed="false">
      <c r="A20" s="38" t="s">
        <v>22</v>
      </c>
      <c r="B20" s="54" t="n">
        <v>0.068</v>
      </c>
      <c r="C20" s="54" t="n">
        <v>0.065</v>
      </c>
      <c r="D20" s="54" t="n">
        <v>0.062</v>
      </c>
      <c r="E20" s="55" t="n">
        <f aca="false">SUMPRODUCT(B20:D20,$B$15:$D$15)/E15</f>
        <v>0.0629707531081682</v>
      </c>
      <c r="F20" s="12"/>
      <c r="G20" s="25"/>
    </row>
    <row r="21" customFormat="false" ht="12.75" hidden="false" customHeight="true" outlineLevel="0" collapsed="false">
      <c r="A21" s="56" t="s">
        <v>23</v>
      </c>
      <c r="B21" s="57" t="n">
        <v>0.0225</v>
      </c>
      <c r="C21" s="57" t="n">
        <v>0.045</v>
      </c>
      <c r="D21" s="57" t="n">
        <v>0.05</v>
      </c>
      <c r="E21" s="58" t="n">
        <f aca="false">SUMPRODUCT(B21:D21,$B$15:$D$15)/E15</f>
        <v>0.048382078153053</v>
      </c>
      <c r="F21" s="12"/>
      <c r="G21" s="25"/>
    </row>
    <row r="22" customFormat="false" ht="12.75" hidden="false" customHeight="true" outlineLevel="0" collapsed="false">
      <c r="A22" s="44" t="s">
        <v>24</v>
      </c>
      <c r="B22" s="59" t="n">
        <f aca="false">SUM(B20:B21)</f>
        <v>0.0905</v>
      </c>
      <c r="C22" s="59" t="n">
        <f aca="false">SUM(C20:C21)</f>
        <v>0.11</v>
      </c>
      <c r="D22" s="59" t="n">
        <f aca="false">SUM(D20:D21)</f>
        <v>0.112</v>
      </c>
      <c r="E22" s="55" t="n">
        <f aca="false">SUMPRODUCT(B22:D22,$B$15:$D$15)/E15</f>
        <v>0.111352831261221</v>
      </c>
      <c r="F22" s="12"/>
      <c r="G22" s="25"/>
    </row>
    <row r="23" customFormat="false" ht="12.75" hidden="false" customHeight="true" outlineLevel="0" collapsed="false">
      <c r="A23" s="38"/>
      <c r="B23" s="12"/>
      <c r="C23" s="12"/>
      <c r="D23" s="12"/>
      <c r="E23" s="59"/>
      <c r="F23" s="12"/>
      <c r="G23" s="25"/>
    </row>
    <row r="24" customFormat="false" ht="12.75" hidden="false" customHeight="true" outlineLevel="0" collapsed="false">
      <c r="A24" s="38" t="s">
        <v>25</v>
      </c>
      <c r="B24" s="60" t="n">
        <v>0.05</v>
      </c>
      <c r="C24" s="12"/>
      <c r="D24" s="12"/>
      <c r="E24" s="61"/>
      <c r="F24" s="62"/>
      <c r="G24" s="63"/>
    </row>
    <row r="25" customFormat="false" ht="12.75" hidden="false" customHeight="true" outlineLevel="0" collapsed="false">
      <c r="A25" s="38"/>
      <c r="B25" s="12"/>
      <c r="C25" s="12"/>
      <c r="D25" s="12"/>
      <c r="E25" s="12"/>
      <c r="F25" s="18"/>
      <c r="G25" s="25"/>
    </row>
    <row r="26" customFormat="false" ht="12.75" hidden="false" customHeight="true" outlineLevel="0" collapsed="false">
      <c r="A26" s="42" t="s">
        <v>26</v>
      </c>
      <c r="B26" s="12"/>
      <c r="C26" s="12"/>
      <c r="D26" s="12"/>
      <c r="E26" s="12"/>
      <c r="F26" s="12"/>
      <c r="G26" s="25"/>
    </row>
    <row r="27" customFormat="false" ht="12.75" hidden="false" customHeight="true" outlineLevel="0" collapsed="false">
      <c r="A27" s="44" t="s">
        <v>27</v>
      </c>
      <c r="B27" s="45" t="n">
        <v>36892</v>
      </c>
      <c r="C27" s="12"/>
      <c r="D27" s="12"/>
      <c r="E27" s="12"/>
      <c r="F27" s="12"/>
      <c r="G27" s="25"/>
    </row>
    <row r="28" customFormat="false" ht="12.75" hidden="false" customHeight="true" outlineLevel="0" collapsed="false">
      <c r="A28" s="44" t="s">
        <v>18</v>
      </c>
      <c r="B28" s="64" t="n">
        <v>448708.06698659</v>
      </c>
      <c r="C28" s="12"/>
      <c r="D28" s="12"/>
      <c r="E28" s="12"/>
      <c r="F28" s="12"/>
      <c r="G28" s="25"/>
    </row>
    <row r="29" customFormat="false" ht="13.5" hidden="false" customHeight="true" outlineLevel="0" collapsed="false">
      <c r="A29" s="65" t="s">
        <v>28</v>
      </c>
      <c r="B29" s="66" t="n">
        <v>0.14</v>
      </c>
      <c r="C29" s="29"/>
      <c r="D29" s="29"/>
      <c r="E29" s="29"/>
      <c r="F29" s="29"/>
      <c r="G29" s="67"/>
    </row>
    <row r="30" customFormat="false" ht="13.5" hidden="false" customHeight="true" outlineLevel="0" collapsed="false">
      <c r="A30" s="12"/>
      <c r="B30" s="12"/>
      <c r="C30" s="12"/>
      <c r="D30" s="12"/>
      <c r="E30" s="12"/>
      <c r="F30" s="12"/>
      <c r="G30" s="12"/>
    </row>
    <row r="31" customFormat="false" ht="12.75" hidden="false" customHeight="true" outlineLevel="0" collapsed="false">
      <c r="A31" s="68" t="s">
        <v>29</v>
      </c>
      <c r="B31" s="6"/>
      <c r="C31" s="69"/>
      <c r="D31" s="69"/>
      <c r="E31" s="7"/>
      <c r="F31" s="7"/>
      <c r="G31" s="8"/>
    </row>
    <row r="32" customFormat="false" ht="12.75" hidden="false" customHeight="true" outlineLevel="0" collapsed="false">
      <c r="A32" s="38"/>
      <c r="B32" s="70" t="s">
        <v>30</v>
      </c>
      <c r="C32" s="70" t="s">
        <v>31</v>
      </c>
      <c r="D32" s="70" t="s">
        <v>32</v>
      </c>
      <c r="E32" s="10" t="s">
        <v>33</v>
      </c>
      <c r="F32" s="2"/>
      <c r="G32" s="25"/>
    </row>
    <row r="33" customFormat="false" ht="12.75" hidden="false" customHeight="true" outlineLevel="0" collapsed="false">
      <c r="A33" s="71" t="s">
        <v>34</v>
      </c>
      <c r="B33" s="12"/>
      <c r="C33" s="72"/>
      <c r="D33" s="72"/>
      <c r="E33" s="12"/>
      <c r="F33" s="2"/>
      <c r="G33" s="25"/>
    </row>
    <row r="34" customFormat="false" ht="12.75" hidden="false" customHeight="true" outlineLevel="0" collapsed="false">
      <c r="A34" s="73" t="s">
        <v>35</v>
      </c>
      <c r="B34" s="36" t="n">
        <f aca="false">G7</f>
        <v>804062.06698659</v>
      </c>
      <c r="C34" s="74" t="n">
        <v>15</v>
      </c>
      <c r="D34" s="75" t="s">
        <v>36</v>
      </c>
      <c r="E34" s="76" t="n">
        <v>0</v>
      </c>
      <c r="F34" s="2"/>
      <c r="G34" s="25"/>
    </row>
    <row r="35" customFormat="false" ht="12.75" hidden="false" customHeight="true" outlineLevel="0" collapsed="false">
      <c r="A35" s="73"/>
      <c r="B35" s="36"/>
      <c r="C35" s="74"/>
      <c r="D35" s="75"/>
      <c r="E35" s="76"/>
      <c r="F35" s="2"/>
      <c r="G35" s="25"/>
    </row>
    <row r="36" customFormat="false" ht="12.75" hidden="false" customHeight="true" outlineLevel="0" collapsed="false">
      <c r="A36" s="71" t="s">
        <v>37</v>
      </c>
      <c r="B36" s="77"/>
      <c r="C36" s="78"/>
      <c r="D36" s="78"/>
      <c r="E36" s="76"/>
      <c r="F36" s="2"/>
      <c r="G36" s="25"/>
    </row>
    <row r="37" customFormat="false" ht="13.5" hidden="false" customHeight="true" outlineLevel="0" collapsed="false">
      <c r="A37" s="79" t="s">
        <v>35</v>
      </c>
      <c r="B37" s="80" t="n">
        <f aca="false">G7</f>
        <v>804062.06698659</v>
      </c>
      <c r="C37" s="81" t="n">
        <v>30</v>
      </c>
      <c r="D37" s="82" t="s">
        <v>38</v>
      </c>
      <c r="E37" s="83" t="n">
        <v>0.1</v>
      </c>
      <c r="F37" s="82"/>
      <c r="G37" s="67"/>
    </row>
    <row r="38" customFormat="false" ht="13.5" hidden="false" customHeight="true" outlineLevel="0" collapsed="false">
      <c r="A38" s="2"/>
      <c r="B38" s="2"/>
      <c r="C38" s="2"/>
      <c r="D38" s="2"/>
      <c r="E38" s="2"/>
      <c r="F38" s="2"/>
      <c r="G38" s="2"/>
    </row>
    <row r="39" customFormat="false" ht="12.75" hidden="false" customHeight="true" outlineLevel="0" collapsed="false">
      <c r="A39" s="5" t="s">
        <v>39</v>
      </c>
      <c r="B39" s="7"/>
      <c r="C39" s="7"/>
      <c r="D39" s="7"/>
      <c r="E39" s="7"/>
      <c r="F39" s="7"/>
      <c r="G39" s="8"/>
    </row>
    <row r="40" customFormat="false" ht="12.75" hidden="false" customHeight="true" outlineLevel="0" collapsed="false">
      <c r="A40" s="38"/>
      <c r="B40" s="12"/>
      <c r="C40" s="12"/>
      <c r="D40" s="12"/>
      <c r="E40" s="12"/>
      <c r="F40" s="12"/>
      <c r="G40" s="25"/>
    </row>
    <row r="41" customFormat="false" ht="12.75" hidden="false" customHeight="true" outlineLevel="0" collapsed="false">
      <c r="A41" s="56" t="s">
        <v>40</v>
      </c>
      <c r="B41" s="84"/>
      <c r="C41" s="12"/>
      <c r="D41" s="10" t="s">
        <v>41</v>
      </c>
      <c r="E41" s="10" t="s">
        <v>42</v>
      </c>
      <c r="F41" s="12"/>
      <c r="G41" s="25"/>
    </row>
    <row r="42" customFormat="false" ht="12.75" hidden="false" customHeight="true" outlineLevel="0" collapsed="false">
      <c r="A42" s="38" t="s">
        <v>43</v>
      </c>
      <c r="B42" s="12"/>
      <c r="C42" s="12"/>
      <c r="D42" s="85" t="n">
        <f aca="false">Debt!B80</f>
        <v>2.25593638626867</v>
      </c>
      <c r="E42" s="85" t="n">
        <f aca="false">Debt!B81</f>
        <v>3.24787487512786</v>
      </c>
      <c r="F42" s="12"/>
      <c r="G42" s="25"/>
    </row>
    <row r="43" customFormat="false" ht="12.75" hidden="false" customHeight="true" outlineLevel="0" collapsed="false">
      <c r="A43" s="38"/>
      <c r="B43" s="12"/>
      <c r="C43" s="12"/>
      <c r="D43" s="12"/>
      <c r="E43" s="12"/>
      <c r="F43" s="12"/>
      <c r="G43" s="25"/>
    </row>
    <row r="44" customFormat="false" ht="12.75" hidden="false" customHeight="true" outlineLevel="0" collapsed="false">
      <c r="A44" s="38" t="s">
        <v>44</v>
      </c>
      <c r="B44" s="12"/>
      <c r="C44" s="12"/>
      <c r="D44" s="36" t="n">
        <f aca="false">SUMPRODUCT(Assumptions!C9:E9,Assumptions!C10:E10)/SUM(Assumptions!C9:E9)</f>
        <v>11421.0135970334</v>
      </c>
      <c r="E44" s="2"/>
      <c r="F44" s="36"/>
      <c r="G44" s="25"/>
    </row>
    <row r="45" customFormat="false" ht="12.75" hidden="false" customHeight="true" outlineLevel="0" collapsed="false">
      <c r="A45" s="38"/>
      <c r="B45" s="12"/>
      <c r="C45" s="12"/>
      <c r="D45" s="12"/>
      <c r="E45" s="2"/>
      <c r="F45" s="12"/>
      <c r="G45" s="25"/>
    </row>
    <row r="46" customFormat="false" ht="12.75" hidden="false" customHeight="true" outlineLevel="0" collapsed="false">
      <c r="A46" s="38" t="s">
        <v>45</v>
      </c>
      <c r="B46" s="12"/>
      <c r="C46" s="12"/>
      <c r="D46" s="36" t="n">
        <f aca="false">SUM(Assumptions!C9:E9)</f>
        <v>1618</v>
      </c>
      <c r="E46" s="2"/>
      <c r="F46" s="36"/>
      <c r="G46" s="25"/>
    </row>
    <row r="47" customFormat="false" ht="12.75" hidden="false" customHeight="true" outlineLevel="0" collapsed="false">
      <c r="A47" s="38"/>
      <c r="B47" s="12"/>
      <c r="C47" s="12"/>
      <c r="D47" s="36"/>
      <c r="E47" s="36"/>
      <c r="F47" s="36"/>
      <c r="G47" s="25"/>
    </row>
    <row r="48" customFormat="false" ht="12.75" hidden="false" customHeight="true" outlineLevel="0" collapsed="false">
      <c r="A48" s="38" t="s">
        <v>46</v>
      </c>
      <c r="B48" s="12"/>
      <c r="C48" s="12"/>
      <c r="D48" s="36" t="n">
        <f aca="false">CF!V30/D46</f>
        <v>199.007213291156</v>
      </c>
      <c r="E48" s="12"/>
      <c r="F48" s="12"/>
      <c r="G48" s="25"/>
    </row>
    <row r="49" customFormat="false" ht="12.75" hidden="false" customHeight="true" outlineLevel="0" collapsed="false">
      <c r="A49" s="38"/>
      <c r="B49" s="12"/>
      <c r="C49" s="12"/>
      <c r="D49" s="12"/>
      <c r="E49" s="12"/>
      <c r="F49" s="12"/>
      <c r="G49" s="25"/>
    </row>
    <row r="50" customFormat="false" ht="12.75" hidden="false" customHeight="true" outlineLevel="0" collapsed="false">
      <c r="A50" s="38" t="s">
        <v>47</v>
      </c>
      <c r="B50" s="12"/>
      <c r="C50" s="12"/>
      <c r="D50" s="86" t="n">
        <f aca="false">CF!B32</f>
        <v>0.140382973056834</v>
      </c>
      <c r="E50" s="12"/>
      <c r="F50" s="12"/>
      <c r="G50" s="25"/>
    </row>
    <row r="51" customFormat="false" ht="12.75" hidden="false" customHeight="true" outlineLevel="0" collapsed="false">
      <c r="A51" s="38"/>
      <c r="B51" s="72"/>
      <c r="C51" s="87"/>
      <c r="D51" s="88"/>
      <c r="E51" s="12"/>
      <c r="F51" s="12"/>
      <c r="G51" s="25"/>
    </row>
    <row r="52" customFormat="false" ht="12.75" hidden="false" customHeight="true" outlineLevel="0" collapsed="false">
      <c r="A52" s="38"/>
      <c r="B52" s="10" t="n">
        <v>2001</v>
      </c>
      <c r="C52" s="10" t="n">
        <v>2002</v>
      </c>
      <c r="D52" s="10" t="n">
        <v>2003</v>
      </c>
      <c r="E52" s="10" t="n">
        <v>2004</v>
      </c>
      <c r="F52" s="10" t="n">
        <v>2005</v>
      </c>
      <c r="G52" s="25"/>
    </row>
    <row r="53" customFormat="false" ht="12.75" hidden="false" customHeight="true" outlineLevel="0" collapsed="false">
      <c r="A53" s="38" t="s">
        <v>48</v>
      </c>
      <c r="B53" s="36" t="n">
        <f aca="false">IS!B27</f>
        <v>104396.791444587</v>
      </c>
      <c r="C53" s="36" t="n">
        <f aca="false">IS!C27</f>
        <v>109598.946012898</v>
      </c>
      <c r="D53" s="36" t="n">
        <f aca="false">IS!D27</f>
        <v>115076.913611894</v>
      </c>
      <c r="E53" s="36" t="n">
        <f aca="false">IS!E27</f>
        <v>120948.440640661</v>
      </c>
      <c r="F53" s="36" t="n">
        <f aca="false">IS!F27</f>
        <v>127148.836495571</v>
      </c>
      <c r="G53" s="25"/>
    </row>
    <row r="54" customFormat="false" ht="12.75" hidden="false" customHeight="true" outlineLevel="0" collapsed="false">
      <c r="A54" s="38" t="s">
        <v>49</v>
      </c>
      <c r="B54" s="36" t="n">
        <f aca="false">IS!B40</f>
        <v>25094.3547666141</v>
      </c>
      <c r="C54" s="36" t="n">
        <f aca="false">IS!C40</f>
        <v>28695.2702252101</v>
      </c>
      <c r="D54" s="36" t="n">
        <f aca="false">IS!D40</f>
        <v>32598.474388984</v>
      </c>
      <c r="E54" s="36" t="n">
        <f aca="false">IS!E40</f>
        <v>36761.5410330418</v>
      </c>
      <c r="F54" s="36" t="n">
        <f aca="false">IS!F40</f>
        <v>41349.2027099053</v>
      </c>
      <c r="G54" s="25"/>
    </row>
    <row r="55" customFormat="false" ht="12.75" hidden="false" customHeight="true" outlineLevel="0" collapsed="false">
      <c r="A55" s="38" t="s">
        <v>50</v>
      </c>
      <c r="B55" s="36" t="n">
        <f aca="false">CF!C17</f>
        <v>58237.5749460014</v>
      </c>
      <c r="C55" s="36" t="n">
        <f aca="false">CF!D17</f>
        <v>63374.7727937219</v>
      </c>
      <c r="D55" s="36" t="n">
        <f aca="false">CF!E17</f>
        <v>68528.2390374323</v>
      </c>
      <c r="E55" s="36" t="n">
        <f aca="false">CF!F17</f>
        <v>73806.6996144599</v>
      </c>
      <c r="F55" s="36" t="n">
        <f aca="false">CF!G17</f>
        <v>79627.3708553519</v>
      </c>
      <c r="G55" s="25"/>
    </row>
    <row r="56" customFormat="false" ht="13.5" hidden="false" customHeight="true" outlineLevel="0" collapsed="false">
      <c r="A56" s="89" t="s">
        <v>51</v>
      </c>
      <c r="B56" s="80" t="n">
        <f aca="false">CF!C22</f>
        <v>48269.9632090733</v>
      </c>
      <c r="C56" s="80" t="n">
        <f aca="false">CF!D22</f>
        <v>62815.0167817304</v>
      </c>
      <c r="D56" s="80" t="n">
        <f aca="false">CF!E22</f>
        <v>66857.1683744554</v>
      </c>
      <c r="E56" s="80" t="n">
        <f aca="false">CF!F22</f>
        <v>64969.4785420104</v>
      </c>
      <c r="F56" s="80" t="n">
        <f aca="false">CF!G22</f>
        <v>65285.0441837889</v>
      </c>
      <c r="G56" s="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&amp;L&amp;12Enron's Generation&amp;RCONFIDENTIAL</oddHeader>
    <oddFooter>&amp;L&amp;D&amp;C&amp;F&amp;RPage &amp;P of &amp;N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22">
              <controlPr defaultSize="0" print="false" autoFill="0" autoPict="0" macro="Module2.Equity">
                <anchor moveWithCells="true" sizeWithCells="false">
                  <from>
                    <xdr:col>2</xdr:col>
                    <xdr:colOff>342360</xdr:colOff>
                    <xdr:row>26</xdr:row>
                    <xdr:rowOff>19080</xdr:rowOff>
                  </from>
                  <to>
                    <xdr:col>3</xdr:col>
                    <xdr:colOff>564120</xdr:colOff>
                    <xdr:row>28</xdr:row>
                    <xdr:rowOff>171360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90"/>
  <sheetViews>
    <sheetView showFormulas="false" showGridLines="true" showRowColHeaders="true" showZeros="true" rightToLeft="false" tabSelected="false" showOutlineSymbols="true" defaultGridColor="true" view="normal" topLeftCell="A72" colorId="64" zoomScale="100" zoomScaleNormal="100" zoomScalePageLayoutView="100" workbookViewId="0">
      <selection pane="topLeft" activeCell="D101" activeCellId="0" sqref="D10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5.13"/>
    <col collapsed="false" customWidth="true" hidden="false" outlineLevel="0" max="21" min="2" style="0" width="8.99"/>
    <col collapsed="false" customWidth="true" hidden="false" outlineLevel="0" max="23" min="23" style="0" width="10.99"/>
    <col collapsed="false" customWidth="true" hidden="false" outlineLevel="0" max="26" min="26" style="0" width="7.85"/>
  </cols>
  <sheetData>
    <row r="1" customFormat="false" ht="12.75" hidden="false" customHeight="true" outlineLevel="0" collapsed="false">
      <c r="A1" s="4"/>
      <c r="B1" s="4"/>
      <c r="C1" s="4"/>
      <c r="D1" s="4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</row>
    <row r="2" customFormat="false" ht="18" hidden="false" customHeight="true" outlineLevel="0" collapsed="false">
      <c r="A2" s="144" t="s">
        <v>219</v>
      </c>
      <c r="B2" s="300"/>
      <c r="C2" s="300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</row>
    <row r="3" customFormat="false" ht="12.75" hidden="false" customHeight="tru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</row>
    <row r="4" customFormat="false" ht="12.75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</row>
    <row r="5" customFormat="false" ht="13.5" hidden="false" customHeight="true" outlineLevel="0" collapsed="false">
      <c r="A5" s="149" t="s">
        <v>100</v>
      </c>
      <c r="B5" s="150" t="n">
        <v>2001</v>
      </c>
      <c r="C5" s="150" t="n">
        <v>2002</v>
      </c>
      <c r="D5" s="150" t="n">
        <v>2003</v>
      </c>
      <c r="E5" s="150" t="n">
        <v>2004</v>
      </c>
      <c r="F5" s="150" t="n">
        <v>2005</v>
      </c>
      <c r="G5" s="150" t="n">
        <v>2006</v>
      </c>
      <c r="H5" s="150" t="n">
        <v>2007</v>
      </c>
      <c r="I5" s="150" t="n">
        <v>2008</v>
      </c>
      <c r="J5" s="150" t="n">
        <v>2009</v>
      </c>
      <c r="K5" s="150" t="n">
        <v>2010</v>
      </c>
      <c r="L5" s="150" t="n">
        <v>2011</v>
      </c>
      <c r="M5" s="150" t="n">
        <v>2012</v>
      </c>
      <c r="N5" s="150" t="n">
        <v>2013</v>
      </c>
      <c r="O5" s="150" t="n">
        <v>2014</v>
      </c>
      <c r="P5" s="150" t="n">
        <v>2015</v>
      </c>
      <c r="Q5" s="150" t="n">
        <v>2016</v>
      </c>
      <c r="R5" s="150" t="n">
        <v>2017</v>
      </c>
      <c r="S5" s="150" t="n">
        <v>2018</v>
      </c>
      <c r="T5" s="150" t="n">
        <v>2019</v>
      </c>
      <c r="U5" s="150" t="n">
        <v>2020</v>
      </c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</row>
    <row r="6" customFormat="false" ht="12.75" hidden="false" customHeight="true" outlineLevel="0" collapsed="false">
      <c r="A6" s="154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92"/>
      <c r="W6" s="92"/>
      <c r="X6" s="92"/>
      <c r="Y6" s="152" t="n">
        <f aca="false">SUM(Z6:AS6)-SUM(Z7:AS7)</f>
        <v>0</v>
      </c>
      <c r="Z6" s="153" t="n">
        <f aca="false">B9</f>
        <v>1579.95631053572</v>
      </c>
      <c r="AA6" s="153" t="n">
        <f aca="false">C9</f>
        <v>1627.35499985179</v>
      </c>
      <c r="AB6" s="153" t="n">
        <f aca="false">D9</f>
        <v>1676.17564984734</v>
      </c>
      <c r="AC6" s="153" t="n">
        <f aca="false">E9</f>
        <v>1726.46091934276</v>
      </c>
      <c r="AD6" s="153" t="n">
        <f aca="false">F9</f>
        <v>1778.25474692304</v>
      </c>
      <c r="AE6" s="153" t="n">
        <f aca="false">G9</f>
        <v>1831.60238933074</v>
      </c>
      <c r="AF6" s="153" t="n">
        <f aca="false">H9</f>
        <v>1886.55046101066</v>
      </c>
      <c r="AG6" s="153" t="n">
        <f aca="false">I9</f>
        <v>1943.14697484098</v>
      </c>
      <c r="AH6" s="153" t="n">
        <f aca="false">J9</f>
        <v>2001.44138408621</v>
      </c>
      <c r="AI6" s="153" t="n">
        <f aca="false">K9</f>
        <v>2061.48462560879</v>
      </c>
      <c r="AJ6" s="153" t="n">
        <f aca="false">L9</f>
        <v>2123.32916437706</v>
      </c>
      <c r="AK6" s="153" t="n">
        <f aca="false">M9</f>
        <v>2187.02903930837</v>
      </c>
      <c r="AL6" s="153" t="n">
        <f aca="false">N9</f>
        <v>2252.63991048762</v>
      </c>
      <c r="AM6" s="153" t="n">
        <f aca="false">O9</f>
        <v>2320.21910780225</v>
      </c>
      <c r="AN6" s="153" t="n">
        <f aca="false">P9</f>
        <v>2389.82568103632</v>
      </c>
      <c r="AO6" s="153" t="n">
        <f aca="false">Q9</f>
        <v>2461.52045146741</v>
      </c>
      <c r="AP6" s="153" t="n">
        <f aca="false">R9</f>
        <v>2535.36606501143</v>
      </c>
      <c r="AQ6" s="153" t="n">
        <f aca="false">S9</f>
        <v>2611.42704696177</v>
      </c>
      <c r="AR6" s="153" t="n">
        <f aca="false">T9</f>
        <v>2689.76985837062</v>
      </c>
      <c r="AS6" s="153" t="n">
        <f aca="false">U9</f>
        <v>2770.46295412174</v>
      </c>
    </row>
    <row r="7" customFormat="false" ht="12.75" hidden="false" customHeight="true" outlineLevel="0" collapsed="false">
      <c r="A7" s="158" t="s">
        <v>101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301"/>
      <c r="W7" s="301"/>
      <c r="X7" s="301"/>
      <c r="Y7" s="302" t="n">
        <v>0</v>
      </c>
      <c r="Z7" s="303" t="n">
        <f aca="false">B15+1/3*B16</f>
        <v>1579.95631053572</v>
      </c>
      <c r="AA7" s="303" t="n">
        <f aca="false">C15+1/3*C16</f>
        <v>1627.35499985179</v>
      </c>
      <c r="AB7" s="303" t="n">
        <f aca="false">D15+1/3*D16</f>
        <v>1676.17564984734</v>
      </c>
      <c r="AC7" s="303" t="n">
        <f aca="false">E15+1/3*E16</f>
        <v>1726.46091934276</v>
      </c>
      <c r="AD7" s="303" t="n">
        <f aca="false">F15+1/3*F16</f>
        <v>1778.25474692304</v>
      </c>
      <c r="AE7" s="303" t="n">
        <f aca="false">G15+1/3*G16</f>
        <v>1831.60238933074</v>
      </c>
      <c r="AF7" s="303" t="n">
        <f aca="false">H15+1/3*H16</f>
        <v>1886.55046101066</v>
      </c>
      <c r="AG7" s="303" t="n">
        <f aca="false">I15+1/3*I16</f>
        <v>1943.14697484098</v>
      </c>
      <c r="AH7" s="303" t="n">
        <f aca="false">J15+1/3*J16</f>
        <v>2001.44138408621</v>
      </c>
      <c r="AI7" s="303" t="n">
        <f aca="false">K15+1/3*K16</f>
        <v>2061.48462560879</v>
      </c>
      <c r="AJ7" s="303" t="n">
        <f aca="false">L15+1/3*L16</f>
        <v>2123.32916437706</v>
      </c>
      <c r="AK7" s="303" t="n">
        <f aca="false">M15+1/3*M16</f>
        <v>2187.02903930837</v>
      </c>
      <c r="AL7" s="303" t="n">
        <f aca="false">N15+1/3*N16</f>
        <v>2252.63991048762</v>
      </c>
      <c r="AM7" s="303" t="n">
        <f aca="false">O15+1/3*O16</f>
        <v>2320.21910780225</v>
      </c>
      <c r="AN7" s="303" t="n">
        <f aca="false">P15+1/3*P16</f>
        <v>2389.82568103632</v>
      </c>
      <c r="AO7" s="303" t="n">
        <f aca="false">Q15+1/3*Q16</f>
        <v>2461.52045146741</v>
      </c>
      <c r="AP7" s="303" t="n">
        <f aca="false">R15+1/3*R16</f>
        <v>2535.36606501143</v>
      </c>
      <c r="AQ7" s="303" t="n">
        <f aca="false">S15+1/3*S16</f>
        <v>2611.42704696177</v>
      </c>
      <c r="AR7" s="303" t="n">
        <f aca="false">T15+1/3*T16</f>
        <v>2689.76985837062</v>
      </c>
      <c r="AS7" s="303" t="n">
        <f aca="false">U15+1/3*U16</f>
        <v>2770.46295412174</v>
      </c>
    </row>
    <row r="8" customFormat="false" ht="12.75" hidden="false" customHeight="true" outlineLevel="0" collapsed="false">
      <c r="A8" s="164" t="s">
        <v>103</v>
      </c>
      <c r="B8" s="167" t="n">
        <f aca="false">'Power Curves'!C32*Assumptions!$D$9*12</f>
        <v>33399.5029986383</v>
      </c>
      <c r="C8" s="167" t="n">
        <f aca="false">'Power Curves'!D32*Assumptions!$D$9*12</f>
        <v>35170.3205648732</v>
      </c>
      <c r="D8" s="167" t="n">
        <f aca="false">'Power Curves'!E32*Assumptions!$D$9*12</f>
        <v>37035.0256016197</v>
      </c>
      <c r="E8" s="167" t="n">
        <f aca="false">'Power Curves'!F32*Assumptions!$D$9*12</f>
        <v>38998.5959548667</v>
      </c>
      <c r="F8" s="167" t="n">
        <f aca="false">'Power Curves'!G32*Assumptions!$D$9*12</f>
        <v>41066.273392408</v>
      </c>
      <c r="G8" s="167" t="n">
        <f aca="false">'Power Curves'!H32*Assumptions!$D$9*12</f>
        <v>41900.4015817994</v>
      </c>
      <c r="H8" s="167" t="n">
        <f aca="false">'Power Curves'!I32*Assumptions!$D$9*12</f>
        <v>42751.4723807549</v>
      </c>
      <c r="I8" s="167" t="n">
        <f aca="false">'Power Curves'!J32*Assumptions!$D$9*12</f>
        <v>43619.8299234524</v>
      </c>
      <c r="J8" s="167" t="n">
        <f aca="false">'Power Curves'!K32*Assumptions!$D$9*12</f>
        <v>44505.82533404</v>
      </c>
      <c r="K8" s="167" t="n">
        <f aca="false">'Power Curves'!L32*Assumptions!$D$9*12</f>
        <v>45409.8168686144</v>
      </c>
      <c r="L8" s="167" t="n">
        <f aca="false">'Power Curves'!M32*Assumptions!$D$9*12</f>
        <v>45992.1390219535</v>
      </c>
      <c r="M8" s="167" t="n">
        <f aca="false">'Power Curves'!N32*Assumptions!$D$9*12</f>
        <v>46581.928703542</v>
      </c>
      <c r="N8" s="167" t="n">
        <f aca="false">'Power Curves'!O32*Assumptions!$D$9*12</f>
        <v>47179.2816747688</v>
      </c>
      <c r="O8" s="167" t="n">
        <f aca="false">'Power Curves'!P32*Assumptions!$D$9*12</f>
        <v>47784.2949250387</v>
      </c>
      <c r="P8" s="167" t="n">
        <f aca="false">'Power Curves'!Q32*Assumptions!$D$9*12</f>
        <v>48397.0666875201</v>
      </c>
      <c r="Q8" s="167" t="n">
        <f aca="false">'Power Curves'!R32*Assumptions!$D$9*12</f>
        <v>49128.835213274</v>
      </c>
      <c r="R8" s="167" t="n">
        <f aca="false">'Power Curves'!S32*Assumptions!$D$9*12</f>
        <v>49871.6681528847</v>
      </c>
      <c r="S8" s="167" t="n">
        <f aca="false">'Power Curves'!T32*Assumptions!$D$9*12</f>
        <v>50625.7328014047</v>
      </c>
      <c r="T8" s="167" t="n">
        <f aca="false">'Power Curves'!U32*Assumptions!$D$9*12</f>
        <v>51391.1989834048</v>
      </c>
      <c r="U8" s="167" t="n">
        <f aca="false">'Power Curves'!V32*Assumptions!$D$9*12</f>
        <v>52168.23909122</v>
      </c>
      <c r="V8" s="304"/>
      <c r="W8" s="159" t="n">
        <f aca="false">SUM(B8:U8)</f>
        <v>892977.449856078</v>
      </c>
      <c r="X8" s="2"/>
      <c r="Y8" s="152"/>
      <c r="Z8" s="305" t="n">
        <f aca="false">Z6-Z7</f>
        <v>0</v>
      </c>
      <c r="AA8" s="305" t="n">
        <f aca="false">AA6-AA7</f>
        <v>0</v>
      </c>
      <c r="AB8" s="305" t="n">
        <f aca="false">AB6-AB7</f>
        <v>0</v>
      </c>
      <c r="AC8" s="305" t="n">
        <f aca="false">AC6-AC7</f>
        <v>0</v>
      </c>
      <c r="AD8" s="305" t="n">
        <f aca="false">AD6-AD7</f>
        <v>0</v>
      </c>
      <c r="AE8" s="305" t="n">
        <f aca="false">AE6-AE7</f>
        <v>0</v>
      </c>
      <c r="AF8" s="305" t="n">
        <f aca="false">AF6-AF7</f>
        <v>0</v>
      </c>
      <c r="AG8" s="305" t="n">
        <f aca="false">AG6-AG7</f>
        <v>0</v>
      </c>
      <c r="AH8" s="305" t="n">
        <f aca="false">AH6-AH7</f>
        <v>0</v>
      </c>
      <c r="AI8" s="305" t="n">
        <f aca="false">AI6-AI7</f>
        <v>0</v>
      </c>
      <c r="AJ8" s="305" t="n">
        <f aca="false">AJ6-AJ7</f>
        <v>0</v>
      </c>
      <c r="AK8" s="305" t="n">
        <f aca="false">AK6-AK7</f>
        <v>0</v>
      </c>
      <c r="AL8" s="305" t="n">
        <f aca="false">AL6-AL7</f>
        <v>0</v>
      </c>
      <c r="AM8" s="305" t="n">
        <f aca="false">AM6-AM7</f>
        <v>0</v>
      </c>
      <c r="AN8" s="305" t="n">
        <f aca="false">AN6-AN7</f>
        <v>0</v>
      </c>
      <c r="AO8" s="305" t="n">
        <f aca="false">AO6-AO7</f>
        <v>0</v>
      </c>
      <c r="AP8" s="305" t="n">
        <f aca="false">AP6-AP7</f>
        <v>0</v>
      </c>
      <c r="AQ8" s="305" t="n">
        <f aca="false">AQ6-AQ7</f>
        <v>0</v>
      </c>
      <c r="AR8" s="305" t="n">
        <f aca="false">AR6-AR7</f>
        <v>0</v>
      </c>
      <c r="AS8" s="305" t="n">
        <f aca="false">AS6-AS7</f>
        <v>0</v>
      </c>
    </row>
    <row r="9" customFormat="false" ht="12.75" hidden="false" customHeight="true" outlineLevel="0" collapsed="false">
      <c r="A9" s="164" t="s">
        <v>104</v>
      </c>
      <c r="B9" s="148" t="n">
        <f aca="false">1/3*Assumptions!$D$17*Assumptions!$D$11*Assumptions!$D$8/1000*(1+Assumptions!$D$24)^(B5-2000)+Assumptions!$D$18*Assumptions!$D$16*(1+Assumptions!$D$24)^(B5-2000)/1000</f>
        <v>1579.95631053572</v>
      </c>
      <c r="C9" s="148" t="n">
        <f aca="false">1/3*Assumptions!$D$17*Assumptions!$D$11*Assumptions!$D$8/1000*(1+Assumptions!$D$24)^(C5-2000)+Assumptions!$D$18*Assumptions!$D$16*(1+Assumptions!$D$24)^(C5-2000)/1000</f>
        <v>1627.35499985179</v>
      </c>
      <c r="D9" s="148" t="n">
        <f aca="false">1/3*Assumptions!$D$17*Assumptions!$D$11*Assumptions!$D$8/1000*(1+Assumptions!$D$24)^(D5-2000)+Assumptions!$D$18*Assumptions!$D$16*(1+Assumptions!$D$24)^(D5-2000)/1000</f>
        <v>1676.17564984734</v>
      </c>
      <c r="E9" s="148" t="n">
        <f aca="false">1/3*Assumptions!$D$17*Assumptions!$D$11*Assumptions!$D$8/1000*(1+Assumptions!$D$24)^(E5-2000)+Assumptions!$D$18*Assumptions!$D$16*(1+Assumptions!$D$24)^(E5-2000)/1000</f>
        <v>1726.46091934276</v>
      </c>
      <c r="F9" s="148" t="n">
        <f aca="false">1/3*Assumptions!$D$17*Assumptions!$D$11*Assumptions!$D$8/1000*(1+Assumptions!$D$24)^(F5-2000)+Assumptions!$D$18*Assumptions!$D$16*(1+Assumptions!$D$24)^(F5-2000)/1000</f>
        <v>1778.25474692304</v>
      </c>
      <c r="G9" s="148" t="n">
        <f aca="false">1/3*Assumptions!$D$17*Assumptions!$D$11*Assumptions!$D$8/1000*(1+Assumptions!$D$24)^(G5-2000)+Assumptions!$D$18*Assumptions!$D$16*(1+Assumptions!$D$24)^(G5-2000)/1000</f>
        <v>1831.60238933074</v>
      </c>
      <c r="H9" s="148" t="n">
        <f aca="false">1/3*Assumptions!$D$17*Assumptions!$D$11*Assumptions!$D$8/1000*(1+Assumptions!$D$24)^(H5-2000)+Assumptions!$D$18*Assumptions!$D$16*(1+Assumptions!$D$24)^(H5-2000)/1000</f>
        <v>1886.55046101066</v>
      </c>
      <c r="I9" s="148" t="n">
        <f aca="false">1/3*Assumptions!$D$17*Assumptions!$D$11*Assumptions!$D$8/1000*(1+Assumptions!$D$24)^(I5-2000)+Assumptions!$D$18*Assumptions!$D$16*(1+Assumptions!$D$24)^(I5-2000)/1000</f>
        <v>1943.14697484098</v>
      </c>
      <c r="J9" s="148" t="n">
        <f aca="false">1/3*Assumptions!$D$17*Assumptions!$D$11*Assumptions!$D$8/1000*(1+Assumptions!$D$24)^(J5-2000)+Assumptions!$D$18*Assumptions!$D$16*(1+Assumptions!$D$24)^(J5-2000)/1000</f>
        <v>2001.44138408621</v>
      </c>
      <c r="K9" s="148" t="n">
        <f aca="false">1/3*Assumptions!$D$17*Assumptions!$D$11*Assumptions!$D$8/1000*(1+Assumptions!$D$24)^(K5-2000)+Assumptions!$D$18*Assumptions!$D$16*(1+Assumptions!$D$24)^(K5-2000)/1000</f>
        <v>2061.48462560879</v>
      </c>
      <c r="L9" s="148" t="n">
        <f aca="false">1/3*Assumptions!$D$17*Assumptions!$D$11*Assumptions!$D$8/1000*(1+Assumptions!$D$24)^(L5-2000)+Assumptions!$D$18*Assumptions!$D$16*(1+Assumptions!$D$24)^(L5-2000)/1000</f>
        <v>2123.32916437706</v>
      </c>
      <c r="M9" s="148" t="n">
        <f aca="false">1/3*Assumptions!$D$17*Assumptions!$D$11*Assumptions!$D$8/1000*(1+Assumptions!$D$24)^(M5-2000)+Assumptions!$D$18*Assumptions!$D$16*(1+Assumptions!$D$24)^(M5-2000)/1000</f>
        <v>2187.02903930837</v>
      </c>
      <c r="N9" s="148" t="n">
        <f aca="false">1/3*Assumptions!$D$17*Assumptions!$D$11*Assumptions!$D$8/1000*(1+Assumptions!$D$24)^(N5-2000)+Assumptions!$D$18*Assumptions!$D$16*(1+Assumptions!$D$24)^(N5-2000)/1000</f>
        <v>2252.63991048762</v>
      </c>
      <c r="O9" s="148" t="n">
        <f aca="false">1/3*Assumptions!$D$17*Assumptions!$D$11*Assumptions!$D$8/1000*(1+Assumptions!$D$24)^(O5-2000)+Assumptions!$D$18*Assumptions!$D$16*(1+Assumptions!$D$24)^(O5-2000)/1000</f>
        <v>2320.21910780225</v>
      </c>
      <c r="P9" s="148" t="n">
        <f aca="false">1/3*Assumptions!$D$17*Assumptions!$D$11*Assumptions!$D$8/1000*(1+Assumptions!$D$24)^(P5-2000)+Assumptions!$D$18*Assumptions!$D$16*(1+Assumptions!$D$24)^(P5-2000)/1000</f>
        <v>2389.82568103632</v>
      </c>
      <c r="Q9" s="148" t="n">
        <f aca="false">1/3*Assumptions!$D$17*Assumptions!$D$11*Assumptions!$D$8/1000*(1+Assumptions!$D$24)^(Q5-2000)+Assumptions!$D$18*Assumptions!$D$16*(1+Assumptions!$D$24)^(Q5-2000)/1000</f>
        <v>2461.52045146741</v>
      </c>
      <c r="R9" s="148" t="n">
        <f aca="false">1/3*Assumptions!$D$17*Assumptions!$D$11*Assumptions!$D$8/1000*(1+Assumptions!$D$24)^(R5-2000)+Assumptions!$D$18*Assumptions!$D$16*(1+Assumptions!$D$24)^(R5-2000)/1000</f>
        <v>2535.36606501143</v>
      </c>
      <c r="S9" s="148" t="n">
        <f aca="false">1/3*Assumptions!$D$17*Assumptions!$D$11*Assumptions!$D$8/1000*(1+Assumptions!$D$24)^(S5-2000)+Assumptions!$D$18*Assumptions!$D$16*(1+Assumptions!$D$24)^(S5-2000)/1000</f>
        <v>2611.42704696177</v>
      </c>
      <c r="T9" s="148" t="n">
        <f aca="false">1/3*Assumptions!$D$17*Assumptions!$D$11*Assumptions!$D$8/1000*(1+Assumptions!$D$24)^(T5-2000)+Assumptions!$D$18*Assumptions!$D$16*(1+Assumptions!$D$24)^(T5-2000)/1000</f>
        <v>2689.76985837062</v>
      </c>
      <c r="U9" s="148" t="n">
        <f aca="false">1/3*Assumptions!$D$17*Assumptions!$D$11*Assumptions!$D$8/1000*(1+Assumptions!$D$24)^(U5-2000)+Assumptions!$D$18*Assumptions!$D$16*(1+Assumptions!$D$24)^(U5-2000)/1000</f>
        <v>2770.46295412174</v>
      </c>
      <c r="V9" s="304"/>
      <c r="W9" s="159" t="n">
        <f aca="false">SUM(B9:U9)</f>
        <v>42454.0177403226</v>
      </c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2"/>
    </row>
    <row r="10" customFormat="false" ht="12.75" hidden="false" customHeight="true" outlineLevel="0" collapsed="false">
      <c r="A10" s="164" t="s">
        <v>105</v>
      </c>
      <c r="B10" s="249" t="n">
        <f aca="false">(SUM(B8:B9)-SUM(B14:B19))*'Summary Output'!$B$24/4</f>
        <v>390.172290732979</v>
      </c>
      <c r="C10" s="249" t="n">
        <f aca="false">(SUM(C8:C9)-SUM(C14:C19))*'Summary Output'!$B$24/4</f>
        <v>410.013027908415</v>
      </c>
      <c r="D10" s="249" t="n">
        <f aca="false">(SUM(D8:D9)-SUM(D14:D19))*'Summary Output'!$B$24/4</f>
        <v>431.241906618172</v>
      </c>
      <c r="E10" s="249" t="n">
        <f aca="false">(SUM(E8:E9)-SUM(E14:E19))*'Summary Output'!$B$24/4</f>
        <v>453.927699756696</v>
      </c>
      <c r="F10" s="249" t="n">
        <f aca="false">(SUM(F8:F9)-SUM(F14:F19))*'Summary Output'!$B$24/4</f>
        <v>478.249694610588</v>
      </c>
      <c r="G10" s="249" t="n">
        <f aca="false">(SUM(G8:G9)-SUM(G14:G19))*'Summary Output'!$B$24/4</f>
        <v>486.223704419146</v>
      </c>
      <c r="H10" s="249" t="n">
        <f aca="false">(SUM(H8:H9)-SUM(H14:H19))*'Summary Output'!$B$24/4</f>
        <v>493.756871320489</v>
      </c>
      <c r="I10" s="249" t="n">
        <f aca="false">(SUM(I8:I9)-SUM(I14:I19))*'Summary Output'!$B$24/4</f>
        <v>502.230479226039</v>
      </c>
      <c r="J10" s="249" t="n">
        <f aca="false">(SUM(J8:J9)-SUM(J14:J19))*'Summary Output'!$B$24/4</f>
        <v>512.146512013871</v>
      </c>
      <c r="K10" s="249" t="n">
        <f aca="false">(SUM(K8:K9)-SUM(K14:K19))*'Summary Output'!$B$24/4</f>
        <v>523.233629556202</v>
      </c>
      <c r="L10" s="249" t="n">
        <f aca="false">(SUM(L8:L9)-SUM(L14:L19))*'Summary Output'!$B$24/4</f>
        <v>527.504768283896</v>
      </c>
      <c r="M10" s="249" t="n">
        <f aca="false">(SUM(M8:M9)-SUM(M14:M19))*'Summary Output'!$B$24/4</f>
        <v>533.776017594037</v>
      </c>
      <c r="N10" s="249" t="n">
        <f aca="false">(SUM(N8:N9)-SUM(N14:N19))*'Summary Output'!$B$24/4</f>
        <v>540.108349498365</v>
      </c>
      <c r="O10" s="249" t="n">
        <f aca="false">(SUM(O8:O9)-SUM(O14:O19))*'Summary Output'!$B$24/4</f>
        <v>546.502397483651</v>
      </c>
      <c r="P10" s="249" t="n">
        <f aca="false">(SUM(P8:P9)-SUM(P14:P19))*'Summary Output'!$B$24/4</f>
        <v>552.958368342289</v>
      </c>
      <c r="Q10" s="249" t="n">
        <f aca="false">(SUM(Q8:Q9)-SUM(Q14:Q19))*'Summary Output'!$B$24/4</f>
        <v>560.865688456661</v>
      </c>
      <c r="R10" s="249" t="n">
        <f aca="false">(SUM(R8:R9)-SUM(R14:R19))*'Summary Output'!$B$24/4</f>
        <v>568.874120150517</v>
      </c>
      <c r="S10" s="249" t="n">
        <f aca="false">(SUM(S8:S9)-SUM(S14:S19))*'Summary Output'!$B$24/4</f>
        <v>576.984638804201</v>
      </c>
      <c r="T10" s="249" t="n">
        <f aca="false">(SUM(T8:T9)-SUM(T14:T19))*'Summary Output'!$B$24/4</f>
        <v>585.198217942801</v>
      </c>
      <c r="U10" s="249" t="n">
        <f aca="false">(SUM(U8:U9)-SUM(U14:U19))*'Summary Output'!$B$24/4</f>
        <v>593.515828709999</v>
      </c>
      <c r="V10" s="304"/>
      <c r="W10" s="159" t="n">
        <f aca="false">SUM(B10:U10)</f>
        <v>10267.484211429</v>
      </c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12"/>
    </row>
    <row r="11" customFormat="false" ht="12.75" hidden="false" customHeight="true" outlineLevel="0" collapsed="false">
      <c r="A11" s="164" t="s">
        <v>106</v>
      </c>
      <c r="B11" s="167" t="n">
        <f aca="false">SUM(B8:B10)</f>
        <v>35369.631599907</v>
      </c>
      <c r="C11" s="167" t="n">
        <f aca="false">SUM(C8:C10)</f>
        <v>37207.6885926334</v>
      </c>
      <c r="D11" s="167" t="n">
        <f aca="false">SUM(D8:D10)</f>
        <v>39142.4431580852</v>
      </c>
      <c r="E11" s="167" t="n">
        <f aca="false">SUM(E8:E10)</f>
        <v>41178.9845739661</v>
      </c>
      <c r="F11" s="167" t="n">
        <f aca="false">SUM(F8:F10)</f>
        <v>43322.7778339416</v>
      </c>
      <c r="G11" s="167" t="n">
        <f aca="false">SUM(G8:G10)</f>
        <v>44218.2276755493</v>
      </c>
      <c r="H11" s="167" t="n">
        <f aca="false">SUM(H8:H10)</f>
        <v>45131.779713086</v>
      </c>
      <c r="I11" s="167" t="n">
        <f aca="false">SUM(I8:I10)</f>
        <v>46065.2073775194</v>
      </c>
      <c r="J11" s="167" t="n">
        <f aca="false">SUM(J8:J10)</f>
        <v>47019.4132301401</v>
      </c>
      <c r="K11" s="167" t="n">
        <f aca="false">SUM(K8:K10)</f>
        <v>47994.5351237794</v>
      </c>
      <c r="L11" s="167" t="n">
        <f aca="false">SUM(L8:L10)</f>
        <v>48642.9729546144</v>
      </c>
      <c r="M11" s="167" t="n">
        <f aca="false">SUM(M8:M10)</f>
        <v>49302.7337604444</v>
      </c>
      <c r="N11" s="167" t="n">
        <f aca="false">SUM(N8:N10)</f>
        <v>49972.0299347548</v>
      </c>
      <c r="O11" s="167" t="n">
        <f aca="false">SUM(O8:O10)</f>
        <v>50651.0164303246</v>
      </c>
      <c r="P11" s="167" t="n">
        <f aca="false">SUM(P8:P10)</f>
        <v>51339.8507368987</v>
      </c>
      <c r="Q11" s="167" t="n">
        <f aca="false">SUM(Q8:Q10)</f>
        <v>52151.2213531981</v>
      </c>
      <c r="R11" s="167" t="n">
        <f aca="false">SUM(R8:R10)</f>
        <v>52975.9083380466</v>
      </c>
      <c r="S11" s="167" t="n">
        <f aca="false">SUM(S8:S10)</f>
        <v>53814.1444871707</v>
      </c>
      <c r="T11" s="167" t="n">
        <f aca="false">SUM(T8:T10)</f>
        <v>54666.1670597182</v>
      </c>
      <c r="U11" s="167" t="n">
        <f aca="false">SUM(U8:U10)</f>
        <v>55532.2178740518</v>
      </c>
      <c r="V11" s="304"/>
      <c r="W11" s="159" t="n">
        <f aca="false">SUM(B11:U11)</f>
        <v>945698.95180783</v>
      </c>
      <c r="X11" s="2"/>
      <c r="Y11" s="2"/>
      <c r="Z11" s="2"/>
      <c r="AA11" s="2"/>
      <c r="AB11" s="12"/>
      <c r="AC11" s="1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</row>
    <row r="12" customFormat="false" ht="12.75" hidden="false" customHeight="true" outlineLevel="0" collapsed="false">
      <c r="A12" s="306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304"/>
      <c r="W12" s="159"/>
      <c r="X12" s="2"/>
      <c r="Y12" s="2"/>
      <c r="Z12" s="2"/>
      <c r="AA12" s="2"/>
      <c r="AB12" s="12"/>
      <c r="AC12" s="1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</row>
    <row r="13" customFormat="false" ht="12.75" hidden="false" customHeight="true" outlineLevel="0" collapsed="false">
      <c r="A13" s="158" t="s">
        <v>107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92"/>
      <c r="W13" s="159"/>
      <c r="X13" s="2"/>
      <c r="Y13" s="2"/>
      <c r="Z13" s="2"/>
      <c r="AA13" s="2"/>
      <c r="AB13" s="12"/>
      <c r="AC13" s="1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</row>
    <row r="14" customFormat="false" ht="12.75" hidden="false" customHeight="true" outlineLevel="0" collapsed="false">
      <c r="A14" s="164" t="s">
        <v>70</v>
      </c>
      <c r="B14" s="148" t="n">
        <f aca="false">Assumptions!D27*(1+Assumptions!$D$24)</f>
        <v>1561.26399428571</v>
      </c>
      <c r="C14" s="159" t="n">
        <f aca="false">B14*(1+Assumptions!$D$24)</f>
        <v>1608.10191411429</v>
      </c>
      <c r="D14" s="159" t="n">
        <f aca="false">C14*(1+Assumptions!$D$24)</f>
        <v>1656.34497153771</v>
      </c>
      <c r="E14" s="159" t="n">
        <f aca="false">D14*(1+Assumptions!$D$24)</f>
        <v>1706.03532068385</v>
      </c>
      <c r="F14" s="159" t="n">
        <f aca="false">E14*(1+Assumptions!$D$24)</f>
        <v>1757.21638030436</v>
      </c>
      <c r="G14" s="159" t="n">
        <f aca="false">F14*(1+Assumptions!$D$24)</f>
        <v>1809.93287171349</v>
      </c>
      <c r="H14" s="159" t="n">
        <f aca="false">G14*(1+Assumptions!$D$24)</f>
        <v>1864.2308578649</v>
      </c>
      <c r="I14" s="159" t="n">
        <f aca="false">H14*(1+Assumptions!$D$24)</f>
        <v>1920.15778360084</v>
      </c>
      <c r="J14" s="159" t="n">
        <f aca="false">I14*(1+Assumptions!$D$24)</f>
        <v>1977.76251710887</v>
      </c>
      <c r="K14" s="159" t="n">
        <f aca="false">J14*(1+Assumptions!$D$24)</f>
        <v>2037.09539262214</v>
      </c>
      <c r="L14" s="159" t="n">
        <f aca="false">K14*(1+Assumptions!$D$24)</f>
        <v>2098.2082544008</v>
      </c>
      <c r="M14" s="159" t="n">
        <f aca="false">L14*(1+Assumptions!$D$24)</f>
        <v>2161.15450203282</v>
      </c>
      <c r="N14" s="159" t="n">
        <f aca="false">M14*(1+Assumptions!$D$24)</f>
        <v>2225.98913709381</v>
      </c>
      <c r="O14" s="159" t="n">
        <f aca="false">N14*(1+Assumptions!$D$24)</f>
        <v>2292.76881120662</v>
      </c>
      <c r="P14" s="159" t="n">
        <f aca="false">O14*(1+Assumptions!$D$24)</f>
        <v>2361.55187554282</v>
      </c>
      <c r="Q14" s="159" t="n">
        <f aca="false">P14*(1+Assumptions!$D$24)</f>
        <v>2432.39843180911</v>
      </c>
      <c r="R14" s="159" t="n">
        <f aca="false">Q14*(1+Assumptions!$D$24)</f>
        <v>2505.37038476338</v>
      </c>
      <c r="S14" s="159" t="n">
        <f aca="false">R14*(1+Assumptions!$D$24)</f>
        <v>2580.53149630628</v>
      </c>
      <c r="T14" s="159" t="n">
        <f aca="false">S14*(1+Assumptions!$D$24)</f>
        <v>2657.94744119547</v>
      </c>
      <c r="U14" s="159" t="n">
        <f aca="false">T14*(1+Assumptions!$D$24)</f>
        <v>2737.68586443133</v>
      </c>
      <c r="V14" s="92"/>
      <c r="W14" s="159" t="n">
        <f aca="false">SUM(B14:U14)</f>
        <v>41951.7482026186</v>
      </c>
      <c r="X14" s="2"/>
      <c r="Y14" s="2"/>
      <c r="Z14" s="2"/>
      <c r="AA14" s="2"/>
      <c r="AB14" s="12"/>
      <c r="AC14" s="1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</row>
    <row r="15" customFormat="false" ht="12.75" hidden="false" customHeight="true" outlineLevel="0" collapsed="false">
      <c r="A15" s="164" t="s">
        <v>71</v>
      </c>
      <c r="B15" s="148" t="n">
        <f aca="false">Assumptions!$D$28*(1+Assumptions!$D$24)</f>
        <v>1425.45631053572</v>
      </c>
      <c r="C15" s="167" t="n">
        <f aca="false">B15*(1+Assumptions!$D$24)</f>
        <v>1468.21999985179</v>
      </c>
      <c r="D15" s="167" t="n">
        <f aca="false">C15*(1+Assumptions!$D$24)</f>
        <v>1512.26659984734</v>
      </c>
      <c r="E15" s="148" t="n">
        <f aca="false">Assumptions!$D$18*Assumptions!$D$22*(1+Assumptions!$D$24)^(E5-2000)/1000</f>
        <v>1557.63459784276</v>
      </c>
      <c r="F15" s="148" t="n">
        <f aca="false">Assumptions!$D$18*Assumptions!$D$22*(1+Assumptions!$D$24)^(F5-2000)/1000</f>
        <v>1604.36363577804</v>
      </c>
      <c r="G15" s="148" t="n">
        <f aca="false">Assumptions!$D$18*Assumptions!$D$22*(1+Assumptions!$D$24)^(G5-2000)/1000</f>
        <v>1652.49454485139</v>
      </c>
      <c r="H15" s="148" t="n">
        <f aca="false">Assumptions!$D$18*Assumptions!$D$22*(1+Assumptions!$D$24)^(H5-2000)/1000</f>
        <v>1702.06938119693</v>
      </c>
      <c r="I15" s="148" t="n">
        <f aca="false">Assumptions!$D$18*Assumptions!$D$22*(1+Assumptions!$D$24)^(I5-2000)/1000</f>
        <v>1753.13146263283</v>
      </c>
      <c r="J15" s="148" t="n">
        <f aca="false">Assumptions!$D$18*Assumptions!$D$22*(1+Assumptions!$D$24)^(J5-2000)/1000</f>
        <v>1805.72540651182</v>
      </c>
      <c r="K15" s="148" t="n">
        <f aca="false">Assumptions!$D$18*Assumptions!$D$22*(1+Assumptions!$D$24)^(K5-2000)/1000</f>
        <v>1859.89716870717</v>
      </c>
      <c r="L15" s="148" t="n">
        <f aca="false">Assumptions!$D$18*Assumptions!$D$22*(1+Assumptions!$D$24)^(L5-2000)/1000</f>
        <v>1915.69408376839</v>
      </c>
      <c r="M15" s="148" t="n">
        <f aca="false">Assumptions!$D$18*Assumptions!$D$22*(1+Assumptions!$D$24)^(M5-2000)/1000</f>
        <v>1973.16490628144</v>
      </c>
      <c r="N15" s="148" t="n">
        <f aca="false">Assumptions!$D$18*Assumptions!$D$22*(1+Assumptions!$D$24)^(N5-2000)/1000</f>
        <v>2032.35985346988</v>
      </c>
      <c r="O15" s="148" t="n">
        <f aca="false">Assumptions!$D$18*Assumptions!$D$22*(1+Assumptions!$D$24)^(O5-2000)/1000</f>
        <v>2093.33064907398</v>
      </c>
      <c r="P15" s="148" t="n">
        <f aca="false">Assumptions!$D$18*Assumptions!$D$22*(1+Assumptions!$D$24)^(P5-2000)/1000</f>
        <v>2156.1305685462</v>
      </c>
      <c r="Q15" s="148" t="n">
        <f aca="false">Assumptions!$D$18*Assumptions!$D$22*(1+Assumptions!$D$24)^(Q5-2000)/1000</f>
        <v>2220.81448560259</v>
      </c>
      <c r="R15" s="148" t="n">
        <f aca="false">Assumptions!$D$18*Assumptions!$D$22*(1+Assumptions!$D$24)^(R5-2000)/1000</f>
        <v>2287.43892017066</v>
      </c>
      <c r="S15" s="148" t="n">
        <f aca="false">Assumptions!$D$18*Assumptions!$D$22*(1+Assumptions!$D$24)^(S5-2000)/1000</f>
        <v>2356.06208777578</v>
      </c>
      <c r="T15" s="148" t="n">
        <f aca="false">Assumptions!$D$18*Assumptions!$D$22*(1+Assumptions!$D$24)^(T5-2000)/1000</f>
        <v>2426.74395040906</v>
      </c>
      <c r="U15" s="148" t="n">
        <f aca="false">Assumptions!$D$18*Assumptions!$D$22*(1+Assumptions!$D$24)^(U5-2000)/1000</f>
        <v>2499.54626892133</v>
      </c>
      <c r="V15" s="92"/>
      <c r="W15" s="159" t="n">
        <f aca="false">SUM(B15:U15)</f>
        <v>38302.5448817751</v>
      </c>
      <c r="X15" s="2"/>
      <c r="Y15" s="2"/>
      <c r="Z15" s="2"/>
      <c r="AA15" s="2"/>
      <c r="AB15" s="12"/>
      <c r="AC15" s="1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</row>
    <row r="16" customFormat="false" ht="12.75" hidden="false" customHeight="true" outlineLevel="0" collapsed="false">
      <c r="A16" s="164" t="s">
        <v>108</v>
      </c>
      <c r="B16" s="148" t="n">
        <f aca="false">Assumptions!$D$23*Assumptions!$D$11*Assumptions!$D$8/1000*(1+Assumptions!$D$24)</f>
        <v>463.5</v>
      </c>
      <c r="C16" s="159" t="n">
        <f aca="false">B16*(1+Assumptions!$D$24)</f>
        <v>477.405</v>
      </c>
      <c r="D16" s="159" t="n">
        <f aca="false">C16*(1+Assumptions!$D$24)</f>
        <v>491.72715</v>
      </c>
      <c r="E16" s="159" t="n">
        <f aca="false">D16*(1+Assumptions!$D$24)</f>
        <v>506.4789645</v>
      </c>
      <c r="F16" s="159" t="n">
        <f aca="false">E16*(1+Assumptions!$D$24)</f>
        <v>521.673333435</v>
      </c>
      <c r="G16" s="159" t="n">
        <f aca="false">F16*(1+Assumptions!$D$24)</f>
        <v>537.32353343805</v>
      </c>
      <c r="H16" s="159" t="n">
        <f aca="false">G16*(1+Assumptions!$D$24)</f>
        <v>553.443239441192</v>
      </c>
      <c r="I16" s="159" t="n">
        <f aca="false">H16*(1+Assumptions!$D$24)</f>
        <v>570.046536624428</v>
      </c>
      <c r="J16" s="159" t="n">
        <f aca="false">I16*(1+Assumptions!$D$24)</f>
        <v>587.14793272316</v>
      </c>
      <c r="K16" s="159" t="n">
        <f aca="false">J16*(1+Assumptions!$D$24)</f>
        <v>604.762370704855</v>
      </c>
      <c r="L16" s="159" t="n">
        <f aca="false">K16*(1+Assumptions!$D$24)</f>
        <v>622.905241826001</v>
      </c>
      <c r="M16" s="159" t="n">
        <f aca="false">L16*(1+Assumptions!$D$24)</f>
        <v>641.592399080781</v>
      </c>
      <c r="N16" s="159" t="n">
        <f aca="false">M16*(1+Assumptions!$D$24)</f>
        <v>660.840171053204</v>
      </c>
      <c r="O16" s="159" t="n">
        <f aca="false">N16*(1+Assumptions!$D$24)</f>
        <v>680.6653761848</v>
      </c>
      <c r="P16" s="159" t="n">
        <f aca="false">O16*(1+Assumptions!$D$24)</f>
        <v>701.085337470344</v>
      </c>
      <c r="Q16" s="159" t="n">
        <f aca="false">P16*(1+Assumptions!$D$24)</f>
        <v>722.117897594455</v>
      </c>
      <c r="R16" s="159" t="n">
        <f aca="false">Q16*(1+Assumptions!$D$24)</f>
        <v>743.781434522288</v>
      </c>
      <c r="S16" s="159" t="n">
        <f aca="false">R16*(1+Assumptions!$D$24)</f>
        <v>766.094877557957</v>
      </c>
      <c r="T16" s="159" t="n">
        <f aca="false">S16*(1+Assumptions!$D$24)</f>
        <v>789.077723884696</v>
      </c>
      <c r="U16" s="159" t="n">
        <f aca="false">T16*(1+Assumptions!$D$24)</f>
        <v>812.750055601237</v>
      </c>
      <c r="V16" s="92"/>
      <c r="W16" s="159" t="n">
        <f aca="false">SUM(B16:U16)</f>
        <v>12454.4185756424</v>
      </c>
      <c r="X16" s="2"/>
      <c r="Y16" s="2"/>
      <c r="Z16" s="2"/>
      <c r="AA16" s="2"/>
      <c r="AB16" s="12"/>
      <c r="AC16" s="1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</row>
    <row r="17" customFormat="false" ht="12.75" hidden="false" customHeight="true" outlineLevel="0" collapsed="false">
      <c r="A17" s="164" t="s">
        <v>73</v>
      </c>
      <c r="B17" s="148" t="n">
        <f aca="false">Assumptions!D30*(1+Assumptions!$D$24)</f>
        <v>315.455745714286</v>
      </c>
      <c r="C17" s="159" t="n">
        <f aca="false">B17*(1+Assumptions!$D$24)</f>
        <v>324.919418085714</v>
      </c>
      <c r="D17" s="159" t="n">
        <f aca="false">C17*(1+Assumptions!$D$24)</f>
        <v>334.667000628286</v>
      </c>
      <c r="E17" s="159" t="n">
        <f aca="false">D17*(1+Assumptions!$D$24)</f>
        <v>344.707010647134</v>
      </c>
      <c r="F17" s="159" t="n">
        <f aca="false">E17*(1+Assumptions!$D$24)</f>
        <v>355.048220966548</v>
      </c>
      <c r="G17" s="159" t="n">
        <f aca="false">F17*(1+Assumptions!$D$24)</f>
        <v>365.699667595545</v>
      </c>
      <c r="H17" s="159" t="n">
        <f aca="false">G17*(1+Assumptions!$D$24)</f>
        <v>376.670657623411</v>
      </c>
      <c r="I17" s="159" t="n">
        <f aca="false">H17*(1+Assumptions!$D$24)</f>
        <v>387.970777352113</v>
      </c>
      <c r="J17" s="159" t="n">
        <f aca="false">I17*(1+Assumptions!$D$24)</f>
        <v>399.609900672677</v>
      </c>
      <c r="K17" s="159" t="n">
        <f aca="false">J17*(1+Assumptions!$D$24)</f>
        <v>411.598197692857</v>
      </c>
      <c r="L17" s="159" t="n">
        <f aca="false">K17*(1+Assumptions!$D$24)</f>
        <v>423.946143623643</v>
      </c>
      <c r="M17" s="159" t="n">
        <f aca="false">L17*(1+Assumptions!$D$24)</f>
        <v>436.664527932352</v>
      </c>
      <c r="N17" s="159" t="n">
        <f aca="false">M17*(1+Assumptions!$D$24)</f>
        <v>449.764463770323</v>
      </c>
      <c r="O17" s="159" t="n">
        <f aca="false">N17*(1+Assumptions!$D$24)</f>
        <v>463.257397683432</v>
      </c>
      <c r="P17" s="159" t="n">
        <f aca="false">O17*(1+Assumptions!$D$24)</f>
        <v>477.155119613935</v>
      </c>
      <c r="Q17" s="159" t="n">
        <f aca="false">P17*(1+Assumptions!$D$24)</f>
        <v>491.469773202354</v>
      </c>
      <c r="R17" s="159" t="n">
        <f aca="false">Q17*(1+Assumptions!$D$24)</f>
        <v>506.213866398424</v>
      </c>
      <c r="S17" s="159" t="n">
        <f aca="false">R17*(1+Assumptions!$D$24)</f>
        <v>521.400282390377</v>
      </c>
      <c r="T17" s="159" t="n">
        <f aca="false">S17*(1+Assumptions!$D$24)</f>
        <v>537.042290862088</v>
      </c>
      <c r="U17" s="159" t="n">
        <f aca="false">T17*(1+Assumptions!$D$24)</f>
        <v>553.153559587951</v>
      </c>
      <c r="V17" s="92"/>
      <c r="W17" s="159" t="n">
        <f aca="false">SUM(B17:U17)</f>
        <v>8476.41402204345</v>
      </c>
      <c r="X17" s="2"/>
      <c r="Y17" s="2"/>
      <c r="Z17" s="2"/>
      <c r="AA17" s="2"/>
      <c r="AB17" s="12"/>
      <c r="AC17" s="1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</row>
    <row r="18" customFormat="false" ht="12.75" hidden="false" customHeight="true" outlineLevel="0" collapsed="false">
      <c r="A18" s="164" t="s">
        <v>191</v>
      </c>
      <c r="B18" s="307" t="n">
        <v>0</v>
      </c>
      <c r="C18" s="307" t="n">
        <v>117.987</v>
      </c>
      <c r="D18" s="307" t="n">
        <v>216.843</v>
      </c>
      <c r="E18" s="307" t="n">
        <v>295.985</v>
      </c>
      <c r="F18" s="307" t="n">
        <v>346.251</v>
      </c>
      <c r="G18" s="307" t="n">
        <v>468.657</v>
      </c>
      <c r="H18" s="307" t="n">
        <v>641.059</v>
      </c>
      <c r="I18" s="307" t="n">
        <v>753.232</v>
      </c>
      <c r="J18" s="307" t="n">
        <v>765.3</v>
      </c>
      <c r="K18" s="307" t="n">
        <v>699.258</v>
      </c>
      <c r="L18" s="307" t="n">
        <v>854.333</v>
      </c>
      <c r="M18" s="307" t="n">
        <v>854.3</v>
      </c>
      <c r="N18" s="307" t="n">
        <v>854.3</v>
      </c>
      <c r="O18" s="307" t="n">
        <v>854.3</v>
      </c>
      <c r="P18" s="307" t="n">
        <v>854.3</v>
      </c>
      <c r="Q18" s="307" t="n">
        <v>854.3</v>
      </c>
      <c r="R18" s="307" t="n">
        <v>854.3</v>
      </c>
      <c r="S18" s="307" t="n">
        <v>854.3</v>
      </c>
      <c r="T18" s="307" t="n">
        <v>854.3</v>
      </c>
      <c r="U18" s="307" t="n">
        <v>854.3</v>
      </c>
      <c r="V18" s="92"/>
      <c r="W18" s="159" t="n">
        <f aca="false">SUM(B18:U18)</f>
        <v>12847.605</v>
      </c>
      <c r="X18" s="304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  <c r="AJ18" s="304"/>
      <c r="AK18" s="304"/>
      <c r="AL18" s="304"/>
      <c r="AM18" s="304"/>
      <c r="AN18" s="304"/>
      <c r="AO18" s="304"/>
      <c r="AP18" s="304"/>
      <c r="AQ18" s="304"/>
      <c r="AR18" s="304"/>
      <c r="AS18" s="304"/>
    </row>
    <row r="19" customFormat="false" ht="12.75" hidden="false" customHeight="true" outlineLevel="0" collapsed="false">
      <c r="A19" s="164" t="s">
        <v>192</v>
      </c>
      <c r="B19" s="166" t="n">
        <v>0</v>
      </c>
      <c r="C19" s="166" t="n">
        <v>0</v>
      </c>
      <c r="D19" s="166" t="n">
        <v>0</v>
      </c>
      <c r="E19" s="166" t="n">
        <v>0</v>
      </c>
      <c r="F19" s="166" t="n">
        <v>0</v>
      </c>
      <c r="G19" s="166" t="n">
        <v>0</v>
      </c>
      <c r="H19" s="166" t="n">
        <v>0</v>
      </c>
      <c r="I19" s="166" t="n">
        <v>0</v>
      </c>
      <c r="J19" s="166" t="n">
        <v>0</v>
      </c>
      <c r="K19" s="166" t="n">
        <v>0</v>
      </c>
      <c r="L19" s="166" t="n">
        <v>0</v>
      </c>
      <c r="M19" s="166" t="n">
        <v>0</v>
      </c>
      <c r="N19" s="166" t="n">
        <v>0</v>
      </c>
      <c r="O19" s="166" t="n">
        <v>0</v>
      </c>
      <c r="P19" s="166" t="n">
        <v>0</v>
      </c>
      <c r="Q19" s="166" t="n">
        <v>0</v>
      </c>
      <c r="R19" s="166" t="n">
        <v>0</v>
      </c>
      <c r="S19" s="166" t="n">
        <v>0</v>
      </c>
      <c r="T19" s="166" t="n">
        <v>0</v>
      </c>
      <c r="U19" s="166" t="n">
        <v>0</v>
      </c>
      <c r="V19" s="159"/>
      <c r="W19" s="159" t="n">
        <f aca="false">SUM(B19:U19)</f>
        <v>0</v>
      </c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</row>
    <row r="20" customFormat="false" ht="12.75" hidden="false" customHeight="true" outlineLevel="0" collapsed="false">
      <c r="A20" s="164" t="s">
        <v>111</v>
      </c>
      <c r="B20" s="148" t="n">
        <f aca="false">SUM(B14:B19)</f>
        <v>3765.67605053572</v>
      </c>
      <c r="C20" s="148" t="n">
        <f aca="false">SUM(C14:C19)</f>
        <v>3996.63333205179</v>
      </c>
      <c r="D20" s="148" t="n">
        <f aca="false">SUM(D14:D19)</f>
        <v>4211.84872201334</v>
      </c>
      <c r="E20" s="148" t="n">
        <f aca="false">SUM(E14:E19)</f>
        <v>4410.84089367374</v>
      </c>
      <c r="F20" s="148" t="n">
        <f aca="false">SUM(F14:F19)</f>
        <v>4584.55257048395</v>
      </c>
      <c r="G20" s="148" t="n">
        <f aca="false">SUM(G14:G19)</f>
        <v>4834.10761759847</v>
      </c>
      <c r="H20" s="148" t="n">
        <f aca="false">SUM(H14:H19)</f>
        <v>5137.47313612643</v>
      </c>
      <c r="I20" s="148" t="n">
        <f aca="false">SUM(I14:I19)</f>
        <v>5384.53856021022</v>
      </c>
      <c r="J20" s="148" t="n">
        <f aca="false">SUM(J14:J19)</f>
        <v>5535.54575701653</v>
      </c>
      <c r="K20" s="148" t="n">
        <f aca="false">SUM(K14:K19)</f>
        <v>5612.61112972702</v>
      </c>
      <c r="L20" s="148" t="n">
        <f aca="false">SUM(L14:L19)</f>
        <v>5915.08672361883</v>
      </c>
      <c r="M20" s="148" t="n">
        <f aca="false">SUM(M14:M19)</f>
        <v>6066.8763353274</v>
      </c>
      <c r="N20" s="148" t="n">
        <f aca="false">SUM(N14:N19)</f>
        <v>6223.25362538722</v>
      </c>
      <c r="O20" s="148" t="n">
        <f aca="false">SUM(O14:O19)</f>
        <v>6384.32223414884</v>
      </c>
      <c r="P20" s="148" t="n">
        <f aca="false">SUM(P14:P19)</f>
        <v>6550.2229011733</v>
      </c>
      <c r="Q20" s="148" t="n">
        <f aca="false">SUM(Q14:Q19)</f>
        <v>6721.1005882085</v>
      </c>
      <c r="R20" s="148" t="n">
        <f aca="false">SUM(R14:R19)</f>
        <v>6897.10460585476</v>
      </c>
      <c r="S20" s="148" t="n">
        <f aca="false">SUM(S14:S19)</f>
        <v>7078.3887440304</v>
      </c>
      <c r="T20" s="148" t="n">
        <f aca="false">SUM(T14:T19)</f>
        <v>7265.11140635131</v>
      </c>
      <c r="U20" s="148" t="n">
        <f aca="false">SUM(U14:U19)</f>
        <v>7457.43574854185</v>
      </c>
      <c r="V20" s="92"/>
      <c r="W20" s="159" t="n">
        <f aca="false">SUM(B20:U20)</f>
        <v>114032.73068208</v>
      </c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</row>
    <row r="21" customFormat="false" ht="12.75" hidden="false" customHeight="true" outlineLevel="0" collapsed="false">
      <c r="A21" s="170"/>
      <c r="B21" s="308"/>
      <c r="C21" s="308"/>
      <c r="D21" s="308"/>
      <c r="E21" s="308"/>
      <c r="F21" s="308"/>
      <c r="G21" s="308"/>
      <c r="H21" s="308"/>
      <c r="I21" s="308"/>
      <c r="J21" s="308"/>
      <c r="K21" s="308"/>
      <c r="L21" s="308"/>
      <c r="M21" s="308"/>
      <c r="N21" s="308"/>
      <c r="O21" s="308"/>
      <c r="P21" s="308"/>
      <c r="Q21" s="308"/>
      <c r="R21" s="308"/>
      <c r="S21" s="308"/>
      <c r="T21" s="308"/>
      <c r="U21" s="308"/>
      <c r="V21" s="304"/>
      <c r="W21" s="159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</row>
    <row r="22" customFormat="false" ht="12.75" hidden="false" customHeight="true" outlineLevel="0" collapsed="false">
      <c r="A22" s="158" t="s">
        <v>112</v>
      </c>
      <c r="B22" s="155" t="n">
        <f aca="false">B11-B20</f>
        <v>31603.9555493713</v>
      </c>
      <c r="C22" s="155" t="n">
        <f aca="false">C11-C20</f>
        <v>33211.0552605817</v>
      </c>
      <c r="D22" s="155" t="n">
        <f aca="false">D11-D20</f>
        <v>34930.5944360719</v>
      </c>
      <c r="E22" s="155" t="n">
        <f aca="false">E11-E20</f>
        <v>36768.1436802924</v>
      </c>
      <c r="F22" s="155" t="n">
        <f aca="false">F11-F20</f>
        <v>38738.2252634576</v>
      </c>
      <c r="G22" s="155" t="n">
        <f aca="false">G11-G20</f>
        <v>39384.1200579508</v>
      </c>
      <c r="H22" s="155" t="n">
        <f aca="false">H11-H20</f>
        <v>39994.3065769596</v>
      </c>
      <c r="I22" s="155" t="n">
        <f aca="false">I11-I20</f>
        <v>40680.6688173092</v>
      </c>
      <c r="J22" s="155" t="n">
        <f aca="false">J11-J20</f>
        <v>41483.8674731236</v>
      </c>
      <c r="K22" s="155" t="n">
        <f aca="false">K11-K20</f>
        <v>42381.9239940524</v>
      </c>
      <c r="L22" s="155" t="n">
        <f aca="false">L11-L20</f>
        <v>42727.8862309956</v>
      </c>
      <c r="M22" s="155" t="n">
        <f aca="false">M11-M20</f>
        <v>43235.857425117</v>
      </c>
      <c r="N22" s="155" t="n">
        <f aca="false">N11-N20</f>
        <v>43748.7763093676</v>
      </c>
      <c r="O22" s="155" t="n">
        <f aca="false">O11-O20</f>
        <v>44266.6941961758</v>
      </c>
      <c r="P22" s="155" t="n">
        <f aca="false">P11-P20</f>
        <v>44789.6278357254</v>
      </c>
      <c r="Q22" s="155" t="n">
        <f aca="false">Q11-Q20</f>
        <v>45430.1207649896</v>
      </c>
      <c r="R22" s="155" t="n">
        <f aca="false">R11-R20</f>
        <v>46078.8037321919</v>
      </c>
      <c r="S22" s="155" t="n">
        <f aca="false">S11-S20</f>
        <v>46735.7557431403</v>
      </c>
      <c r="T22" s="155" t="n">
        <f aca="false">T11-T20</f>
        <v>47401.0556533669</v>
      </c>
      <c r="U22" s="155" t="n">
        <f aca="false">U11-U20</f>
        <v>48074.7821255099</v>
      </c>
      <c r="V22" s="281"/>
      <c r="W22" s="159" t="n">
        <f aca="false">SUM(B22:U22)</f>
        <v>831666.22112575</v>
      </c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</row>
    <row r="23" customFormat="false" ht="12.75" hidden="false" customHeight="true" outlineLevel="0" collapsed="false">
      <c r="A23" s="158"/>
      <c r="B23" s="309"/>
      <c r="C23" s="310"/>
      <c r="D23" s="309"/>
      <c r="E23" s="309"/>
      <c r="F23" s="309"/>
      <c r="G23" s="309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281"/>
      <c r="W23" s="159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</row>
    <row r="24" customFormat="false" ht="12.75" hidden="false" customHeight="true" outlineLevel="0" collapsed="false">
      <c r="A24" s="164" t="s">
        <v>113</v>
      </c>
      <c r="B24" s="148" t="n">
        <f aca="false">Depreciation!C21</f>
        <v>6513.77402774738</v>
      </c>
      <c r="C24" s="148" t="n">
        <f aca="false">Depreciation!D21</f>
        <v>6513.77402774738</v>
      </c>
      <c r="D24" s="148" t="n">
        <f aca="false">Depreciation!E21</f>
        <v>6513.77402774738</v>
      </c>
      <c r="E24" s="148" t="n">
        <f aca="false">Depreciation!F21</f>
        <v>6513.77402774738</v>
      </c>
      <c r="F24" s="148" t="n">
        <f aca="false">Depreciation!G21</f>
        <v>6513.77402774738</v>
      </c>
      <c r="G24" s="148" t="n">
        <f aca="false">Depreciation!H21</f>
        <v>6513.77402774738</v>
      </c>
      <c r="H24" s="148" t="n">
        <f aca="false">Depreciation!I21</f>
        <v>6513.77402774738</v>
      </c>
      <c r="I24" s="148" t="n">
        <f aca="false">Depreciation!J21</f>
        <v>6513.77402774738</v>
      </c>
      <c r="J24" s="148" t="n">
        <f aca="false">Depreciation!K21</f>
        <v>6513.77402774738</v>
      </c>
      <c r="K24" s="148" t="n">
        <f aca="false">Depreciation!L21</f>
        <v>6513.77402774738</v>
      </c>
      <c r="L24" s="148" t="n">
        <f aca="false">Depreciation!M21</f>
        <v>6513.77402774738</v>
      </c>
      <c r="M24" s="148" t="n">
        <f aca="false">Depreciation!N21</f>
        <v>6513.77402774738</v>
      </c>
      <c r="N24" s="148" t="n">
        <f aca="false">Depreciation!O21</f>
        <v>6513.77402774738</v>
      </c>
      <c r="O24" s="148" t="n">
        <f aca="false">Depreciation!P21</f>
        <v>6513.77402774738</v>
      </c>
      <c r="P24" s="148" t="n">
        <f aca="false">Depreciation!Q21</f>
        <v>6513.77402774738</v>
      </c>
      <c r="Q24" s="148" t="n">
        <f aca="false">Depreciation!R21</f>
        <v>6513.77402774738</v>
      </c>
      <c r="R24" s="148" t="n">
        <f aca="false">Depreciation!S21</f>
        <v>6513.77402774738</v>
      </c>
      <c r="S24" s="148" t="n">
        <f aca="false">Depreciation!T21</f>
        <v>6513.77402774738</v>
      </c>
      <c r="T24" s="148" t="n">
        <f aca="false">Depreciation!U21</f>
        <v>6513.77402774738</v>
      </c>
      <c r="U24" s="148" t="n">
        <f aca="false">Depreciation!V21</f>
        <v>6513.77402774738</v>
      </c>
      <c r="V24" s="92"/>
      <c r="W24" s="159" t="n">
        <f aca="false">SUM(B24:U24)</f>
        <v>130275.480554948</v>
      </c>
      <c r="X24" s="2"/>
      <c r="Y24" s="2"/>
      <c r="Z24" s="2"/>
      <c r="AA24" s="2"/>
      <c r="AB24" s="12"/>
      <c r="AC24" s="1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</row>
    <row r="25" customFormat="false" ht="12.75" hidden="false" customHeight="true" outlineLevel="0" collapsed="false">
      <c r="A25" s="164"/>
      <c r="B25" s="148"/>
      <c r="C25" s="159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92"/>
      <c r="W25" s="159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</row>
    <row r="26" customFormat="false" ht="12.75" hidden="false" customHeight="true" outlineLevel="0" collapsed="false">
      <c r="A26" s="158" t="s">
        <v>114</v>
      </c>
      <c r="B26" s="309" t="n">
        <f aca="false">B22-B24</f>
        <v>25090.1815216239</v>
      </c>
      <c r="C26" s="309" t="n">
        <f aca="false">C22-C24</f>
        <v>26697.2812328343</v>
      </c>
      <c r="D26" s="309" t="n">
        <f aca="false">D22-D24</f>
        <v>28416.8204083245</v>
      </c>
      <c r="E26" s="309" t="n">
        <f aca="false">E22-E24</f>
        <v>30254.369652545</v>
      </c>
      <c r="F26" s="309" t="n">
        <f aca="false">F22-F24</f>
        <v>32224.4512357103</v>
      </c>
      <c r="G26" s="309" t="n">
        <f aca="false">G22-G24</f>
        <v>32870.3460302034</v>
      </c>
      <c r="H26" s="309" t="n">
        <f aca="false">H22-H24</f>
        <v>33480.5325492122</v>
      </c>
      <c r="I26" s="309" t="n">
        <f aca="false">I22-I24</f>
        <v>34166.8947895618</v>
      </c>
      <c r="J26" s="309" t="n">
        <f aca="false">J22-J24</f>
        <v>34970.0934453762</v>
      </c>
      <c r="K26" s="309" t="n">
        <f aca="false">K22-K24</f>
        <v>35868.149966305</v>
      </c>
      <c r="L26" s="309" t="n">
        <f aca="false">L22-L24</f>
        <v>36214.1122032482</v>
      </c>
      <c r="M26" s="309" t="n">
        <f aca="false">M22-M24</f>
        <v>36722.0833973696</v>
      </c>
      <c r="N26" s="309" t="n">
        <f aca="false">N22-N24</f>
        <v>37235.0022816202</v>
      </c>
      <c r="O26" s="309" t="n">
        <f aca="false">O22-O24</f>
        <v>37752.9201684284</v>
      </c>
      <c r="P26" s="309" t="n">
        <f aca="false">P22-P24</f>
        <v>38275.853807978</v>
      </c>
      <c r="Q26" s="309" t="n">
        <f aca="false">Q22-Q24</f>
        <v>38916.3467372422</v>
      </c>
      <c r="R26" s="309" t="n">
        <f aca="false">R22-R24</f>
        <v>39565.0297044445</v>
      </c>
      <c r="S26" s="309" t="n">
        <f aca="false">S22-S24</f>
        <v>40221.9817153929</v>
      </c>
      <c r="T26" s="309" t="n">
        <f aca="false">T22-T24</f>
        <v>40887.2816256195</v>
      </c>
      <c r="U26" s="309" t="n">
        <f aca="false">U22-U24</f>
        <v>41561.0080977625</v>
      </c>
      <c r="V26" s="281"/>
      <c r="W26" s="159" t="n">
        <f aca="false">SUM(B26:U26)</f>
        <v>701390.740570803</v>
      </c>
      <c r="X26" s="304"/>
      <c r="Y26" s="304"/>
      <c r="Z26" s="304"/>
      <c r="AA26" s="304"/>
      <c r="AB26" s="304"/>
      <c r="AC26" s="304"/>
      <c r="AD26" s="304"/>
      <c r="AE26" s="304"/>
      <c r="AF26" s="304"/>
      <c r="AG26" s="304"/>
      <c r="AH26" s="304"/>
      <c r="AI26" s="304"/>
      <c r="AJ26" s="304"/>
      <c r="AK26" s="304"/>
      <c r="AL26" s="304"/>
      <c r="AM26" s="304"/>
      <c r="AN26" s="304"/>
      <c r="AO26" s="304"/>
      <c r="AP26" s="304"/>
      <c r="AQ26" s="304"/>
      <c r="AR26" s="304"/>
      <c r="AS26" s="304"/>
    </row>
    <row r="27" customFormat="false" ht="12.75" hidden="false" customHeight="true" outlineLevel="0" collapsed="false">
      <c r="A27" s="158"/>
      <c r="B27" s="309"/>
      <c r="C27" s="309"/>
      <c r="D27" s="309"/>
      <c r="E27" s="309"/>
      <c r="F27" s="309"/>
      <c r="G27" s="309"/>
      <c r="H27" s="309"/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09"/>
      <c r="T27" s="309"/>
      <c r="U27" s="309"/>
      <c r="V27" s="281"/>
      <c r="W27" s="159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4"/>
      <c r="AP27" s="304"/>
      <c r="AQ27" s="304"/>
      <c r="AR27" s="304"/>
      <c r="AS27" s="304"/>
    </row>
    <row r="28" customFormat="false" ht="12.75" hidden="false" customHeight="true" outlineLevel="0" collapsed="false">
      <c r="A28" s="4" t="s">
        <v>115</v>
      </c>
      <c r="B28" s="148" t="n">
        <f aca="false">IS!B33*Allocation!$E$7</f>
        <v>11823.2611122564</v>
      </c>
      <c r="C28" s="148" t="n">
        <f aca="false">IS!C33*Allocation!$E$7</f>
        <v>11614.9486386932</v>
      </c>
      <c r="D28" s="148" t="n">
        <f aca="false">IS!D33*Allocation!$E$7</f>
        <v>11341.22717196</v>
      </c>
      <c r="E28" s="148" t="n">
        <f aca="false">IS!E33*Allocation!$E$7</f>
        <v>11058.1396942073</v>
      </c>
      <c r="F28" s="148" t="n">
        <f aca="false">IS!F33*Allocation!$E$7</f>
        <v>10664.9986880333</v>
      </c>
      <c r="G28" s="148" t="n">
        <f aca="false">IS!G33*Allocation!$E$7</f>
        <v>10258.987798996</v>
      </c>
      <c r="H28" s="148" t="n">
        <f aca="false">IS!H33*Allocation!$E$7</f>
        <v>9842.49242386987</v>
      </c>
      <c r="I28" s="148" t="n">
        <f aca="false">IS!I33*Allocation!$E$7</f>
        <v>9436.65465317441</v>
      </c>
      <c r="J28" s="148" t="n">
        <f aca="false">IS!J33*Allocation!$E$7</f>
        <v>8958.62770827661</v>
      </c>
      <c r="K28" s="148" t="n">
        <f aca="false">IS!K33*Allocation!$E$7</f>
        <v>8480.40241704634</v>
      </c>
      <c r="L28" s="148" t="n">
        <f aca="false">IS!L33*Allocation!$E$7</f>
        <v>7969.20438923779</v>
      </c>
      <c r="M28" s="148" t="n">
        <f aca="false">IS!M33*Allocation!$E$7</f>
        <v>7436.60047083857</v>
      </c>
      <c r="N28" s="148" t="n">
        <f aca="false">IS!N33*Allocation!$E$7</f>
        <v>6820.7991210697</v>
      </c>
      <c r="O28" s="148" t="n">
        <f aca="false">IS!O33*Allocation!$E$7</f>
        <v>6178.28096228431</v>
      </c>
      <c r="P28" s="148" t="n">
        <f aca="false">IS!P33*Allocation!$E$7</f>
        <v>5481.03665156332</v>
      </c>
      <c r="Q28" s="148" t="n">
        <f aca="false">IS!Q33*Allocation!$E$7</f>
        <v>4735.65766764</v>
      </c>
      <c r="R28" s="148" t="n">
        <f aca="false">IS!R33*Allocation!$E$7</f>
        <v>3890.72248133989</v>
      </c>
      <c r="S28" s="148" t="n">
        <f aca="false">IS!S33*Allocation!$E$7</f>
        <v>2980.6364796359</v>
      </c>
      <c r="T28" s="148" t="n">
        <f aca="false">IS!T33*Allocation!$E$7</f>
        <v>1981.76539140967</v>
      </c>
      <c r="U28" s="148" t="n">
        <f aca="false">IS!U33*Allocation!$E$7</f>
        <v>885.994235767896</v>
      </c>
      <c r="V28" s="92"/>
      <c r="W28" s="159" t="n">
        <f aca="false">SUM(B28:U28)</f>
        <v>151840.4381573</v>
      </c>
      <c r="X28" s="281"/>
      <c r="Y28" s="281"/>
      <c r="Z28" s="281"/>
      <c r="AA28" s="281"/>
      <c r="AB28" s="281"/>
      <c r="AC28" s="281"/>
      <c r="AD28" s="281"/>
      <c r="AE28" s="281"/>
      <c r="AF28" s="281"/>
      <c r="AG28" s="281"/>
      <c r="AH28" s="281"/>
      <c r="AI28" s="281"/>
      <c r="AJ28" s="281"/>
      <c r="AK28" s="281"/>
      <c r="AL28" s="281"/>
      <c r="AM28" s="281"/>
      <c r="AN28" s="281"/>
      <c r="AO28" s="281"/>
      <c r="AP28" s="281"/>
      <c r="AQ28" s="281"/>
      <c r="AR28" s="281"/>
      <c r="AS28" s="281"/>
    </row>
    <row r="29" customFormat="false" ht="12.75" hidden="false" customHeight="true" outlineLevel="0" collapsed="false">
      <c r="A29" s="4"/>
      <c r="B29" s="248"/>
      <c r="C29" s="248"/>
      <c r="D29" s="248"/>
      <c r="E29" s="248"/>
      <c r="F29" s="248"/>
      <c r="G29" s="248"/>
      <c r="H29" s="248"/>
      <c r="I29" s="248"/>
      <c r="J29" s="248"/>
      <c r="K29" s="248"/>
      <c r="L29" s="248"/>
      <c r="M29" s="248"/>
      <c r="N29" s="248"/>
      <c r="O29" s="248"/>
      <c r="P29" s="248"/>
      <c r="Q29" s="248"/>
      <c r="R29" s="248"/>
      <c r="S29" s="248"/>
      <c r="T29" s="248"/>
      <c r="U29" s="248"/>
      <c r="V29" s="92"/>
      <c r="W29" s="159"/>
      <c r="X29" s="281"/>
      <c r="Y29" s="281"/>
      <c r="Z29" s="281"/>
      <c r="AA29" s="281"/>
      <c r="AB29" s="281"/>
      <c r="AC29" s="281"/>
      <c r="AD29" s="281"/>
      <c r="AE29" s="281"/>
      <c r="AF29" s="281"/>
      <c r="AG29" s="281"/>
      <c r="AH29" s="281"/>
      <c r="AI29" s="281"/>
      <c r="AJ29" s="281"/>
      <c r="AK29" s="281"/>
      <c r="AL29" s="281"/>
      <c r="AM29" s="281"/>
      <c r="AN29" s="281"/>
      <c r="AO29" s="281"/>
      <c r="AP29" s="281"/>
      <c r="AQ29" s="281"/>
      <c r="AR29" s="281"/>
      <c r="AS29" s="281"/>
    </row>
    <row r="30" customFormat="false" ht="12.75" hidden="false" customHeight="true" outlineLevel="0" collapsed="false">
      <c r="A30" s="158" t="s">
        <v>116</v>
      </c>
      <c r="B30" s="309" t="n">
        <f aca="false">B26-B28</f>
        <v>13266.9204093675</v>
      </c>
      <c r="C30" s="309" t="n">
        <f aca="false">C26-C28</f>
        <v>15082.3325941411</v>
      </c>
      <c r="D30" s="309" t="n">
        <f aca="false">D26-D28</f>
        <v>17075.5932363645</v>
      </c>
      <c r="E30" s="309" t="n">
        <f aca="false">E26-E28</f>
        <v>19196.2299583378</v>
      </c>
      <c r="F30" s="309" t="n">
        <f aca="false">F26-F28</f>
        <v>21559.4525476769</v>
      </c>
      <c r="G30" s="309" t="n">
        <f aca="false">G26-G28</f>
        <v>22611.3582312074</v>
      </c>
      <c r="H30" s="309" t="n">
        <f aca="false">H26-H28</f>
        <v>23638.0401253423</v>
      </c>
      <c r="I30" s="309" t="n">
        <f aca="false">I26-I28</f>
        <v>24730.2401363874</v>
      </c>
      <c r="J30" s="309" t="n">
        <f aca="false">J26-J28</f>
        <v>26011.4657370996</v>
      </c>
      <c r="K30" s="309" t="n">
        <f aca="false">K26-K28</f>
        <v>27387.7475492587</v>
      </c>
      <c r="L30" s="309" t="n">
        <f aca="false">L26-L28</f>
        <v>28244.9078140104</v>
      </c>
      <c r="M30" s="309" t="n">
        <f aca="false">M26-M28</f>
        <v>29285.482926531</v>
      </c>
      <c r="N30" s="309" t="n">
        <f aca="false">N26-N28</f>
        <v>30414.2031605505</v>
      </c>
      <c r="O30" s="309" t="n">
        <f aca="false">O26-O28</f>
        <v>31574.6392061441</v>
      </c>
      <c r="P30" s="309" t="n">
        <f aca="false">P26-P28</f>
        <v>32794.8171564147</v>
      </c>
      <c r="Q30" s="309" t="n">
        <f aca="false">Q26-Q28</f>
        <v>34180.6890696022</v>
      </c>
      <c r="R30" s="309" t="n">
        <f aca="false">R26-R28</f>
        <v>35674.3072231046</v>
      </c>
      <c r="S30" s="309" t="n">
        <f aca="false">S26-S28</f>
        <v>37241.345235757</v>
      </c>
      <c r="T30" s="309" t="n">
        <f aca="false">T26-T28</f>
        <v>38905.5162342098</v>
      </c>
      <c r="U30" s="309" t="n">
        <f aca="false">U26-U28</f>
        <v>40675.0138619946</v>
      </c>
      <c r="V30" s="281"/>
      <c r="W30" s="159" t="n">
        <f aca="false">SUM(B30:U30)</f>
        <v>549550.302413502</v>
      </c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</row>
    <row r="31" customFormat="false" ht="12.75" hidden="false" customHeight="true" outlineLevel="0" collapsed="false">
      <c r="A31" s="158"/>
      <c r="B31" s="309"/>
      <c r="C31" s="309"/>
      <c r="D31" s="309"/>
      <c r="E31" s="309"/>
      <c r="F31" s="309"/>
      <c r="G31" s="309"/>
      <c r="H31" s="309"/>
      <c r="I31" s="309"/>
      <c r="J31" s="309"/>
      <c r="K31" s="309"/>
      <c r="L31" s="309"/>
      <c r="M31" s="309"/>
      <c r="N31" s="309"/>
      <c r="O31" s="309"/>
      <c r="P31" s="309"/>
      <c r="Q31" s="309"/>
      <c r="R31" s="309"/>
      <c r="S31" s="309"/>
      <c r="T31" s="309"/>
      <c r="U31" s="309"/>
      <c r="V31" s="281"/>
      <c r="W31" s="159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</row>
    <row r="32" customFormat="false" ht="12.75" hidden="false" customHeight="true" outlineLevel="0" collapsed="false">
      <c r="A32" s="164" t="s">
        <v>193</v>
      </c>
      <c r="B32" s="148" t="n">
        <f aca="false">B30*-Assumptions!$D$37</f>
        <v>-597.011418421539</v>
      </c>
      <c r="C32" s="148" t="n">
        <f aca="false">C30*-Assumptions!$D$37</f>
        <v>-678.70496673635</v>
      </c>
      <c r="D32" s="148" t="n">
        <f aca="false">D30*-Assumptions!$D$37</f>
        <v>-768.401695636403</v>
      </c>
      <c r="E32" s="148" t="n">
        <f aca="false">E30*-Assumptions!$D$37</f>
        <v>-863.8303481252</v>
      </c>
      <c r="F32" s="148" t="n">
        <f aca="false">F30*-Assumptions!$D$37</f>
        <v>-970.175364645462</v>
      </c>
      <c r="G32" s="148" t="n">
        <f aca="false">G30*-Assumptions!$D$37</f>
        <v>-1017.51112040433</v>
      </c>
      <c r="H32" s="148" t="n">
        <f aca="false">H30*-Assumptions!$D$37</f>
        <v>-1063.7118056404</v>
      </c>
      <c r="I32" s="148" t="n">
        <f aca="false">I30*-Assumptions!$D$37</f>
        <v>-1112.86080613743</v>
      </c>
      <c r="J32" s="148" t="n">
        <f aca="false">J30*-Assumptions!$D$37</f>
        <v>-1170.51595816948</v>
      </c>
      <c r="K32" s="148" t="n">
        <f aca="false">K30*-Assumptions!$D$37</f>
        <v>-1232.44863971664</v>
      </c>
      <c r="L32" s="148" t="n">
        <f aca="false">L30*-Assumptions!$D$37</f>
        <v>-1271.02085163047</v>
      </c>
      <c r="M32" s="148" t="n">
        <f aca="false">M30*-Assumptions!$D$37</f>
        <v>-1317.8467316939</v>
      </c>
      <c r="N32" s="148" t="n">
        <f aca="false">N30*-Assumptions!$D$37</f>
        <v>-1368.63914222477</v>
      </c>
      <c r="O32" s="148" t="n">
        <f aca="false">O30*-Assumptions!$D$37</f>
        <v>-1420.85876427648</v>
      </c>
      <c r="P32" s="148" t="n">
        <f aca="false">P30*-Assumptions!$D$37</f>
        <v>-1475.76677203866</v>
      </c>
      <c r="Q32" s="148" t="n">
        <f aca="false">Q30*-Assumptions!$D$37</f>
        <v>-1538.1310081321</v>
      </c>
      <c r="R32" s="148" t="n">
        <f aca="false">R30*-Assumptions!$D$37</f>
        <v>-1605.34382503971</v>
      </c>
      <c r="S32" s="148" t="n">
        <f aca="false">S30*-Assumptions!$D$37</f>
        <v>-1675.86053560907</v>
      </c>
      <c r="T32" s="148" t="n">
        <f aca="false">T30*-Assumptions!$D$37</f>
        <v>-1750.74823053944</v>
      </c>
      <c r="U32" s="148" t="n">
        <f aca="false">U30*-Assumptions!$D$37</f>
        <v>-1830.37562378976</v>
      </c>
      <c r="V32" s="92"/>
      <c r="W32" s="159" t="n">
        <f aca="false">SUM(B32:U32)</f>
        <v>-24729.7636086076</v>
      </c>
      <c r="X32" s="281"/>
      <c r="Y32" s="281"/>
      <c r="Z32" s="281"/>
      <c r="AA32" s="281"/>
      <c r="AB32" s="281"/>
      <c r="AC32" s="281"/>
      <c r="AD32" s="281"/>
      <c r="AE32" s="281"/>
      <c r="AF32" s="281"/>
      <c r="AG32" s="281"/>
      <c r="AH32" s="281"/>
      <c r="AI32" s="281"/>
      <c r="AJ32" s="281"/>
      <c r="AK32" s="281"/>
      <c r="AL32" s="281"/>
      <c r="AM32" s="281"/>
      <c r="AN32" s="281"/>
      <c r="AO32" s="281"/>
      <c r="AP32" s="281"/>
      <c r="AQ32" s="281"/>
      <c r="AR32" s="281"/>
      <c r="AS32" s="281"/>
    </row>
    <row r="33" customFormat="false" ht="12.75" hidden="false" customHeight="true" outlineLevel="0" collapsed="false">
      <c r="A33" s="164" t="s">
        <v>194</v>
      </c>
      <c r="B33" s="311" t="n">
        <f aca="false">(B30+B32)*-Assumptions!$D$36</f>
        <v>-4434.4681468311</v>
      </c>
      <c r="C33" s="311" t="n">
        <f aca="false">(C30+C32)*-Assumptions!$D$36</f>
        <v>-5041.26966959166</v>
      </c>
      <c r="D33" s="311" t="n">
        <f aca="false">(D30+D32)*-Assumptions!$D$36</f>
        <v>-5707.51703925484</v>
      </c>
      <c r="E33" s="311" t="n">
        <f aca="false">(E30+E32)*-Assumptions!$D$36</f>
        <v>-6416.3398635744</v>
      </c>
      <c r="F33" s="311" t="n">
        <f aca="false">(F30+F32)*-Assumptions!$D$36</f>
        <v>-7206.24701406102</v>
      </c>
      <c r="G33" s="311" t="n">
        <f aca="false">(G30+G32)*-Assumptions!$D$36</f>
        <v>-7557.84648878108</v>
      </c>
      <c r="H33" s="311" t="n">
        <f aca="false">(H30+H32)*-Assumptions!$D$36</f>
        <v>-7901.01491189567</v>
      </c>
      <c r="I33" s="311" t="n">
        <f aca="false">(I30+I32)*-Assumptions!$D$36</f>
        <v>-8266.08276558749</v>
      </c>
      <c r="J33" s="311" t="n">
        <f aca="false">(J30+J32)*-Assumptions!$D$36</f>
        <v>-8694.33242262554</v>
      </c>
      <c r="K33" s="311" t="n">
        <f aca="false">(K30+K32)*-Assumptions!$D$36</f>
        <v>-9154.35461833971</v>
      </c>
      <c r="L33" s="311" t="n">
        <f aca="false">(L30+L32)*-Assumptions!$D$36</f>
        <v>-9440.86043683298</v>
      </c>
      <c r="M33" s="311" t="n">
        <f aca="false">(M30+M32)*-Assumptions!$D$36</f>
        <v>-9788.672668193</v>
      </c>
      <c r="N33" s="311" t="n">
        <f aca="false">(N30+N32)*-Assumptions!$D$36</f>
        <v>-10165.947406414</v>
      </c>
      <c r="O33" s="311" t="n">
        <f aca="false">(O30+O32)*-Assumptions!$D$36</f>
        <v>-10553.8231546537</v>
      </c>
      <c r="P33" s="311" t="n">
        <f aca="false">(P30+P32)*-Assumptions!$D$36</f>
        <v>-10961.6676345316</v>
      </c>
      <c r="Q33" s="311" t="n">
        <f aca="false">(Q30+Q32)*-Assumptions!$D$36</f>
        <v>-11424.8953215145</v>
      </c>
      <c r="R33" s="311" t="n">
        <f aca="false">(R30+R32)*-Assumptions!$D$36</f>
        <v>-11924.1371893227</v>
      </c>
      <c r="S33" s="311" t="n">
        <f aca="false">(S30+S32)*-Assumptions!$D$36</f>
        <v>-12447.9196450518</v>
      </c>
      <c r="T33" s="311" t="n">
        <f aca="false">(T30+T32)*-Assumptions!$D$36</f>
        <v>-13004.1688012846</v>
      </c>
      <c r="U33" s="311" t="n">
        <f aca="false">(U30+U32)*-Assumptions!$D$36</f>
        <v>-13595.6233833717</v>
      </c>
      <c r="V33" s="92"/>
      <c r="W33" s="159" t="n">
        <f aca="false">SUM(B33:U33)</f>
        <v>-183687.188581713</v>
      </c>
      <c r="X33" s="281"/>
      <c r="Y33" s="281"/>
      <c r="Z33" s="281"/>
      <c r="AA33" s="281"/>
      <c r="AB33" s="281"/>
      <c r="AC33" s="281"/>
      <c r="AD33" s="281"/>
      <c r="AE33" s="281"/>
      <c r="AF33" s="281"/>
      <c r="AG33" s="281"/>
      <c r="AH33" s="281"/>
      <c r="AI33" s="281"/>
      <c r="AJ33" s="281"/>
      <c r="AK33" s="281"/>
      <c r="AL33" s="281"/>
      <c r="AM33" s="281"/>
      <c r="AN33" s="281"/>
      <c r="AO33" s="281"/>
      <c r="AP33" s="281"/>
      <c r="AQ33" s="281"/>
      <c r="AR33" s="281"/>
      <c r="AS33" s="281"/>
    </row>
    <row r="34" customFormat="false" ht="12.75" hidden="false" customHeight="true" outlineLevel="0" collapsed="false">
      <c r="A34" s="4"/>
      <c r="B34" s="148"/>
      <c r="C34" s="159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92"/>
      <c r="W34" s="159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</row>
    <row r="35" customFormat="false" ht="15.75" hidden="false" customHeight="true" outlineLevel="0" collapsed="false">
      <c r="A35" s="173" t="s">
        <v>195</v>
      </c>
      <c r="B35" s="312" t="n">
        <f aca="false">SUM(B30:B33)</f>
        <v>8235.4408441149</v>
      </c>
      <c r="C35" s="312" t="n">
        <f aca="false">SUM(C30:C33)</f>
        <v>9362.35795781309</v>
      </c>
      <c r="D35" s="312" t="n">
        <f aca="false">SUM(D30:D33)</f>
        <v>10599.6745014733</v>
      </c>
      <c r="E35" s="312" t="n">
        <f aca="false">SUM(E30:E33)</f>
        <v>11916.0597466382</v>
      </c>
      <c r="F35" s="312" t="n">
        <f aca="false">SUM(F30:F33)</f>
        <v>13383.0301689705</v>
      </c>
      <c r="G35" s="312" t="n">
        <f aca="false">SUM(G30:G33)</f>
        <v>14036.000622022</v>
      </c>
      <c r="H35" s="312" t="n">
        <f aca="false">SUM(H30:H33)</f>
        <v>14673.3134078062</v>
      </c>
      <c r="I35" s="312" t="n">
        <f aca="false">SUM(I30:I33)</f>
        <v>15351.2965646625</v>
      </c>
      <c r="J35" s="312" t="n">
        <f aca="false">SUM(J30:J33)</f>
        <v>16146.6173563046</v>
      </c>
      <c r="K35" s="312" t="n">
        <f aca="false">SUM(K30:K33)</f>
        <v>17000.9442912023</v>
      </c>
      <c r="L35" s="312" t="n">
        <f aca="false">SUM(L30:L33)</f>
        <v>17533.026525547</v>
      </c>
      <c r="M35" s="312" t="n">
        <f aca="false">SUM(M30:M33)</f>
        <v>18178.9635266441</v>
      </c>
      <c r="N35" s="312" t="n">
        <f aca="false">SUM(N30:N33)</f>
        <v>18879.6166119117</v>
      </c>
      <c r="O35" s="312" t="n">
        <f aca="false">SUM(O30:O33)</f>
        <v>19599.9572872139</v>
      </c>
      <c r="P35" s="312" t="n">
        <f aca="false">SUM(P30:P33)</f>
        <v>20357.3827498444</v>
      </c>
      <c r="Q35" s="312" t="n">
        <f aca="false">SUM(Q30:Q33)</f>
        <v>21217.6627399556</v>
      </c>
      <c r="R35" s="312" t="n">
        <f aca="false">SUM(R30:R33)</f>
        <v>22144.8262087422</v>
      </c>
      <c r="S35" s="312" t="n">
        <f aca="false">SUM(S30:S33)</f>
        <v>23117.5650550962</v>
      </c>
      <c r="T35" s="312" t="n">
        <f aca="false">SUM(T30:T33)</f>
        <v>24150.5992023857</v>
      </c>
      <c r="U35" s="312" t="n">
        <f aca="false">SUM(U30:U33)</f>
        <v>25249.0148548332</v>
      </c>
      <c r="V35" s="313"/>
      <c r="W35" s="159" t="n">
        <f aca="false">SUM(B35:U35)</f>
        <v>341133.350223182</v>
      </c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</row>
    <row r="36" customFormat="false" ht="12.75" hidden="false" customHeight="true" outlineLevel="0" collapsed="false">
      <c r="A36" s="306"/>
      <c r="B36" s="332"/>
      <c r="C36" s="332"/>
      <c r="D36" s="332"/>
      <c r="E36" s="332"/>
      <c r="F36" s="332"/>
      <c r="G36" s="332"/>
      <c r="H36" s="332"/>
      <c r="I36" s="332"/>
      <c r="J36" s="332"/>
      <c r="K36" s="332"/>
      <c r="L36" s="332"/>
      <c r="M36" s="332"/>
      <c r="N36" s="332"/>
      <c r="O36" s="332"/>
      <c r="P36" s="332"/>
      <c r="Q36" s="332"/>
      <c r="R36" s="332"/>
      <c r="S36" s="332"/>
      <c r="T36" s="332"/>
      <c r="U36" s="332"/>
      <c r="V36" s="304"/>
      <c r="W36" s="304"/>
      <c r="X36" s="281"/>
      <c r="Y36" s="281"/>
      <c r="Z36" s="281"/>
      <c r="AA36" s="281"/>
      <c r="AB36" s="281"/>
      <c r="AC36" s="281"/>
      <c r="AD36" s="281"/>
      <c r="AE36" s="281"/>
      <c r="AF36" s="281"/>
      <c r="AG36" s="281"/>
      <c r="AH36" s="281"/>
      <c r="AI36" s="281"/>
      <c r="AJ36" s="281"/>
      <c r="AK36" s="281"/>
      <c r="AL36" s="281"/>
      <c r="AM36" s="281"/>
      <c r="AN36" s="281"/>
      <c r="AO36" s="281"/>
      <c r="AP36" s="281"/>
      <c r="AQ36" s="281"/>
      <c r="AR36" s="281"/>
      <c r="AS36" s="281"/>
    </row>
    <row r="37" customFormat="false" ht="18" hidden="false" customHeight="true" outlineLevel="0" collapsed="false">
      <c r="A37" s="314" t="s">
        <v>220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</row>
    <row r="38" customFormat="false" ht="12.75" hidden="false" customHeight="true" outlineLevel="0" collapsed="false">
      <c r="A38" s="158"/>
      <c r="B38" s="167"/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92"/>
      <c r="W38" s="92"/>
      <c r="X38" s="304"/>
      <c r="Y38" s="304"/>
      <c r="Z38" s="304"/>
      <c r="AA38" s="304"/>
      <c r="AB38" s="304"/>
      <c r="AC38" s="304"/>
      <c r="AD38" s="304"/>
      <c r="AE38" s="304"/>
      <c r="AF38" s="304"/>
      <c r="AG38" s="304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</row>
    <row r="39" customFormat="false" ht="13.5" hidden="false" customHeight="true" outlineLevel="0" collapsed="false">
      <c r="A39" s="149" t="s">
        <v>100</v>
      </c>
      <c r="B39" s="150" t="n">
        <v>2001</v>
      </c>
      <c r="C39" s="150" t="n">
        <f aca="false">B39+1</f>
        <v>2002</v>
      </c>
      <c r="D39" s="150" t="n">
        <f aca="false">C39+1</f>
        <v>2003</v>
      </c>
      <c r="E39" s="150" t="n">
        <f aca="false">D39+1</f>
        <v>2004</v>
      </c>
      <c r="F39" s="150" t="n">
        <f aca="false">E39+1</f>
        <v>2005</v>
      </c>
      <c r="G39" s="150" t="n">
        <f aca="false">F39+1</f>
        <v>2006</v>
      </c>
      <c r="H39" s="150" t="n">
        <f aca="false">G39+1</f>
        <v>2007</v>
      </c>
      <c r="I39" s="150" t="n">
        <f aca="false">H39+1</f>
        <v>2008</v>
      </c>
      <c r="J39" s="150" t="n">
        <f aca="false">I39+1</f>
        <v>2009</v>
      </c>
      <c r="K39" s="150" t="n">
        <f aca="false">J39+1</f>
        <v>2010</v>
      </c>
      <c r="L39" s="150" t="n">
        <f aca="false">K39+1</f>
        <v>2011</v>
      </c>
      <c r="M39" s="150" t="n">
        <f aca="false">L39+1</f>
        <v>2012</v>
      </c>
      <c r="N39" s="150" t="n">
        <f aca="false">M39+1</f>
        <v>2013</v>
      </c>
      <c r="O39" s="150" t="n">
        <f aca="false">N39+1</f>
        <v>2014</v>
      </c>
      <c r="P39" s="150" t="n">
        <f aca="false">O39+1</f>
        <v>2015</v>
      </c>
      <c r="Q39" s="150" t="n">
        <f aca="false">P39+1</f>
        <v>2016</v>
      </c>
      <c r="R39" s="150" t="n">
        <f aca="false">Q39+1</f>
        <v>2017</v>
      </c>
      <c r="S39" s="150" t="n">
        <f aca="false">R39+1</f>
        <v>2018</v>
      </c>
      <c r="T39" s="150" t="n">
        <f aca="false">S39+1</f>
        <v>2019</v>
      </c>
      <c r="U39" s="150" t="n">
        <f aca="false">T39+1</f>
        <v>2020</v>
      </c>
      <c r="V39" s="92"/>
      <c r="W39" s="278" t="s">
        <v>122</v>
      </c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</row>
    <row r="40" customFormat="false" ht="12.75" hidden="false" customHeight="true" outlineLevel="0" collapsed="false">
      <c r="A40" s="243"/>
      <c r="B40" s="167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92"/>
      <c r="W40" s="255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</row>
    <row r="41" customFormat="false" ht="12.75" hidden="false" customHeight="true" outlineLevel="0" collapsed="false">
      <c r="A41" s="247" t="s">
        <v>112</v>
      </c>
      <c r="B41" s="167" t="n">
        <f aca="false">B22</f>
        <v>31603.9555493713</v>
      </c>
      <c r="C41" s="167" t="n">
        <f aca="false">C22</f>
        <v>33211.0552605817</v>
      </c>
      <c r="D41" s="167" t="n">
        <f aca="false">D22</f>
        <v>34930.5944360719</v>
      </c>
      <c r="E41" s="167" t="n">
        <f aca="false">E22</f>
        <v>36768.1436802924</v>
      </c>
      <c r="F41" s="167" t="n">
        <f aca="false">F22</f>
        <v>38738.2252634576</v>
      </c>
      <c r="G41" s="167" t="n">
        <f aca="false">G22</f>
        <v>39384.1200579508</v>
      </c>
      <c r="H41" s="167" t="n">
        <f aca="false">H22</f>
        <v>39994.3065769596</v>
      </c>
      <c r="I41" s="167" t="n">
        <f aca="false">I22</f>
        <v>40680.6688173092</v>
      </c>
      <c r="J41" s="167" t="n">
        <f aca="false">J22</f>
        <v>41483.8674731236</v>
      </c>
      <c r="K41" s="167" t="n">
        <f aca="false">K22</f>
        <v>42381.9239940524</v>
      </c>
      <c r="L41" s="167" t="n">
        <f aca="false">L22</f>
        <v>42727.8862309956</v>
      </c>
      <c r="M41" s="167" t="n">
        <f aca="false">M22</f>
        <v>43235.857425117</v>
      </c>
      <c r="N41" s="167" t="n">
        <f aca="false">N22</f>
        <v>43748.7763093676</v>
      </c>
      <c r="O41" s="167" t="n">
        <f aca="false">O22</f>
        <v>44266.6941961758</v>
      </c>
      <c r="P41" s="167" t="n">
        <f aca="false">P22</f>
        <v>44789.6278357254</v>
      </c>
      <c r="Q41" s="167" t="n">
        <f aca="false">Q22</f>
        <v>45430.1207649896</v>
      </c>
      <c r="R41" s="167" t="n">
        <f aca="false">R22</f>
        <v>46078.8037321919</v>
      </c>
      <c r="S41" s="167" t="n">
        <f aca="false">S22</f>
        <v>46735.7557431403</v>
      </c>
      <c r="T41" s="167" t="n">
        <f aca="false">T22</f>
        <v>47401.0556533669</v>
      </c>
      <c r="U41" s="167" t="n">
        <f aca="false">U22</f>
        <v>48074.7821255099</v>
      </c>
      <c r="V41" s="92"/>
      <c r="W41" s="165" t="n">
        <f aca="false">SUM(B41:U41)</f>
        <v>831666.22112575</v>
      </c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</row>
    <row r="42" customFormat="false" ht="12.75" hidden="false" customHeight="true" outlineLevel="0" collapsed="false">
      <c r="A42" s="247" t="s">
        <v>145</v>
      </c>
      <c r="B42" s="248" t="n">
        <f aca="false">B18</f>
        <v>0</v>
      </c>
      <c r="C42" s="248" t="n">
        <f aca="false">C18</f>
        <v>117.987</v>
      </c>
      <c r="D42" s="248" t="n">
        <f aca="false">D18</f>
        <v>216.843</v>
      </c>
      <c r="E42" s="248" t="n">
        <f aca="false">E18</f>
        <v>295.985</v>
      </c>
      <c r="F42" s="248" t="n">
        <f aca="false">F18</f>
        <v>346.251</v>
      </c>
      <c r="G42" s="248" t="n">
        <f aca="false">G18</f>
        <v>468.657</v>
      </c>
      <c r="H42" s="248" t="n">
        <f aca="false">H18</f>
        <v>641.059</v>
      </c>
      <c r="I42" s="248" t="n">
        <f aca="false">I18</f>
        <v>753.232</v>
      </c>
      <c r="J42" s="248" t="n">
        <f aca="false">J18</f>
        <v>765.3</v>
      </c>
      <c r="K42" s="248" t="n">
        <f aca="false">K18</f>
        <v>699.258</v>
      </c>
      <c r="L42" s="248" t="n">
        <f aca="false">L18</f>
        <v>854.333</v>
      </c>
      <c r="M42" s="248" t="n">
        <f aca="false">M18</f>
        <v>854.3</v>
      </c>
      <c r="N42" s="248" t="n">
        <f aca="false">N18</f>
        <v>854.3</v>
      </c>
      <c r="O42" s="248" t="n">
        <f aca="false">O18</f>
        <v>854.3</v>
      </c>
      <c r="P42" s="248" t="n">
        <f aca="false">P18</f>
        <v>854.3</v>
      </c>
      <c r="Q42" s="248" t="n">
        <f aca="false">Q18</f>
        <v>854.3</v>
      </c>
      <c r="R42" s="248" t="n">
        <f aca="false">R18</f>
        <v>854.3</v>
      </c>
      <c r="S42" s="248" t="n">
        <f aca="false">S18</f>
        <v>854.3</v>
      </c>
      <c r="T42" s="248" t="n">
        <f aca="false">T18</f>
        <v>854.3</v>
      </c>
      <c r="U42" s="248" t="n">
        <f aca="false">U18</f>
        <v>854.3</v>
      </c>
      <c r="V42" s="92"/>
      <c r="W42" s="165" t="n">
        <f aca="false">SUM(B42:U42)</f>
        <v>12847.605</v>
      </c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</row>
    <row r="43" customFormat="false" ht="12.75" hidden="false" customHeight="true" outlineLevel="0" collapsed="false">
      <c r="A43" s="247" t="s">
        <v>146</v>
      </c>
      <c r="B43" s="315" t="n">
        <v>-203.273</v>
      </c>
      <c r="C43" s="248" t="n">
        <f aca="false">-B42</f>
        <v>-0</v>
      </c>
      <c r="D43" s="248" t="n">
        <f aca="false">-C42</f>
        <v>-117.987</v>
      </c>
      <c r="E43" s="248" t="n">
        <f aca="false">-D42</f>
        <v>-216.843</v>
      </c>
      <c r="F43" s="248" t="n">
        <f aca="false">-E42</f>
        <v>-295.985</v>
      </c>
      <c r="G43" s="248" t="n">
        <f aca="false">-F42</f>
        <v>-346.251</v>
      </c>
      <c r="H43" s="248" t="n">
        <f aca="false">-G42</f>
        <v>-468.657</v>
      </c>
      <c r="I43" s="248" t="n">
        <f aca="false">-H42</f>
        <v>-641.059</v>
      </c>
      <c r="J43" s="248" t="n">
        <f aca="false">-I42</f>
        <v>-753.232</v>
      </c>
      <c r="K43" s="248" t="n">
        <f aca="false">-J42</f>
        <v>-765.3</v>
      </c>
      <c r="L43" s="248" t="n">
        <f aca="false">-K42</f>
        <v>-699.258</v>
      </c>
      <c r="M43" s="248" t="n">
        <f aca="false">-L42</f>
        <v>-854.333</v>
      </c>
      <c r="N43" s="248" t="n">
        <f aca="false">-M42</f>
        <v>-854.3</v>
      </c>
      <c r="O43" s="248" t="n">
        <f aca="false">-N42</f>
        <v>-854.3</v>
      </c>
      <c r="P43" s="248" t="n">
        <f aca="false">-O42</f>
        <v>-854.3</v>
      </c>
      <c r="Q43" s="248" t="n">
        <f aca="false">-P42</f>
        <v>-854.3</v>
      </c>
      <c r="R43" s="248" t="n">
        <f aca="false">-Q42</f>
        <v>-854.3</v>
      </c>
      <c r="S43" s="248" t="n">
        <f aca="false">-R42</f>
        <v>-854.3</v>
      </c>
      <c r="T43" s="248" t="n">
        <f aca="false">-S42</f>
        <v>-854.3</v>
      </c>
      <c r="U43" s="248" t="n">
        <f aca="false">-T42</f>
        <v>-854.3</v>
      </c>
      <c r="V43" s="92"/>
      <c r="W43" s="165" t="n">
        <f aca="false">SUM(B43:U43)</f>
        <v>-12196.578</v>
      </c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</row>
    <row r="44" customFormat="false" ht="12.75" hidden="false" customHeight="true" outlineLevel="0" collapsed="false">
      <c r="A44" s="247" t="s">
        <v>197</v>
      </c>
      <c r="B44" s="316" t="n">
        <f aca="false">-Debt!B77*Allocation!$E$7</f>
        <v>-13943.6547038271</v>
      </c>
      <c r="C44" s="316" t="n">
        <f aca="false">-Debt!C77*Allocation!$E$7</f>
        <v>-14019.4472539711</v>
      </c>
      <c r="D44" s="316" t="n">
        <f aca="false">-Debt!D77*Allocation!$E$7</f>
        <v>-14085.2659375221</v>
      </c>
      <c r="E44" s="316" t="n">
        <f aca="false">-Debt!E77*Allocation!$E$7</f>
        <v>-14231.8006907412</v>
      </c>
      <c r="F44" s="316" t="n">
        <f aca="false">-Debt!F77*Allocation!$E$7</f>
        <v>-14337.5758237604</v>
      </c>
      <c r="G44" s="316" t="n">
        <f aca="false">-Debt!G77*Allocation!$E$7</f>
        <v>-14014.7176245886</v>
      </c>
      <c r="H44" s="316" t="n">
        <f aca="false">-Debt!H77*Allocation!$E$7</f>
        <v>-13729.8806750828</v>
      </c>
      <c r="I44" s="316" t="n">
        <f aca="false">-Debt!I77*Allocation!$E$7</f>
        <v>-13490.3482841184</v>
      </c>
      <c r="J44" s="316" t="n">
        <f aca="false">-Debt!J77*Allocation!$E$7</f>
        <v>-13240.9912363508</v>
      </c>
      <c r="K44" s="316" t="n">
        <f aca="false">-Debt!K77*Allocation!$E$7</f>
        <v>-13033.0121871835</v>
      </c>
      <c r="L44" s="316" t="n">
        <f aca="false">-Debt!L77*Allocation!$E$7</f>
        <v>-12821.709072842</v>
      </c>
      <c r="M44" s="316" t="n">
        <f aca="false">-Debt!M77*Allocation!$E$7</f>
        <v>-12651.2323696371</v>
      </c>
      <c r="N44" s="316" t="n">
        <f aca="false">-Debt!N77*Allocation!$E$7</f>
        <v>-12441.0135008859</v>
      </c>
      <c r="O44" s="316" t="n">
        <f aca="false">-Debt!O77*Allocation!$E$7</f>
        <v>-12276.5032661571</v>
      </c>
      <c r="P44" s="316" t="n">
        <f aca="false">-Debt!P77*Allocation!$E$7</f>
        <v>-12100.7221453159</v>
      </c>
      <c r="Q44" s="316" t="n">
        <f aca="false">-Debt!Q77*Allocation!$E$7</f>
        <v>-11992.6870601347</v>
      </c>
      <c r="R44" s="316" t="n">
        <f aca="false">-Debt!R77*Allocation!$E$7</f>
        <v>-11828.5510383999</v>
      </c>
      <c r="S44" s="316" t="n">
        <f aca="false">-Debt!S77*Allocation!$E$7</f>
        <v>-11686.1747329079</v>
      </c>
      <c r="T44" s="316" t="n">
        <f aca="false">-Debt!T77*Allocation!$E$7</f>
        <v>-11556.4089611481</v>
      </c>
      <c r="U44" s="316" t="n">
        <f aca="false">-Debt!U77*Allocation!$E$7</f>
        <v>-11431.1387422272</v>
      </c>
      <c r="V44" s="92"/>
      <c r="W44" s="165" t="n">
        <f aca="false">SUM(B44:U44)</f>
        <v>-258912.835306802</v>
      </c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</row>
    <row r="45" customFormat="false" ht="12.75" hidden="false" customHeight="true" outlineLevel="0" collapsed="false">
      <c r="A45" s="247"/>
      <c r="B45" s="317"/>
      <c r="C45" s="317"/>
      <c r="D45" s="317"/>
      <c r="E45" s="317"/>
      <c r="F45" s="317"/>
      <c r="G45" s="317"/>
      <c r="H45" s="317"/>
      <c r="I45" s="317"/>
      <c r="J45" s="317"/>
      <c r="K45" s="317"/>
      <c r="L45" s="317"/>
      <c r="M45" s="317"/>
      <c r="N45" s="317"/>
      <c r="O45" s="317"/>
      <c r="P45" s="317"/>
      <c r="Q45" s="317"/>
      <c r="R45" s="317"/>
      <c r="S45" s="317"/>
      <c r="T45" s="317"/>
      <c r="U45" s="317"/>
      <c r="V45" s="92"/>
      <c r="W45" s="240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</row>
    <row r="46" customFormat="false" ht="12.75" hidden="false" customHeight="true" outlineLevel="0" collapsed="false">
      <c r="A46" s="243" t="s">
        <v>198</v>
      </c>
      <c r="B46" s="155" t="n">
        <f aca="false">SUM(B41:B44)</f>
        <v>17457.0278455442</v>
      </c>
      <c r="C46" s="155" t="n">
        <f aca="false">SUM(C41:C44)</f>
        <v>19309.5950066106</v>
      </c>
      <c r="D46" s="155" t="n">
        <f aca="false">SUM(D41:D44)</f>
        <v>20944.1844985498</v>
      </c>
      <c r="E46" s="155" t="n">
        <f aca="false">SUM(E41:E44)</f>
        <v>22615.4849895512</v>
      </c>
      <c r="F46" s="155" t="n">
        <f aca="false">SUM(F41:F44)</f>
        <v>24450.9154396973</v>
      </c>
      <c r="G46" s="155" t="n">
        <f aca="false">SUM(G41:G44)</f>
        <v>25491.8084333622</v>
      </c>
      <c r="H46" s="155" t="n">
        <f aca="false">SUM(H41:H44)</f>
        <v>26436.8279018767</v>
      </c>
      <c r="I46" s="155" t="n">
        <f aca="false">SUM(I41:I44)</f>
        <v>27302.4935331908</v>
      </c>
      <c r="J46" s="155" t="n">
        <f aca="false">SUM(J41:J44)</f>
        <v>28254.9442367728</v>
      </c>
      <c r="K46" s="155" t="n">
        <f aca="false">SUM(K41:K44)</f>
        <v>29282.8698068689</v>
      </c>
      <c r="L46" s="155" t="n">
        <f aca="false">SUM(L41:L44)</f>
        <v>30061.2521581536</v>
      </c>
      <c r="M46" s="155" t="n">
        <f aca="false">SUM(M41:M44)</f>
        <v>30584.5920554799</v>
      </c>
      <c r="N46" s="155" t="n">
        <f aca="false">SUM(N41:N44)</f>
        <v>31307.7628084816</v>
      </c>
      <c r="O46" s="155" t="n">
        <f aca="false">SUM(O41:O44)</f>
        <v>31990.1909300187</v>
      </c>
      <c r="P46" s="155" t="n">
        <f aca="false">SUM(P41:P44)</f>
        <v>32688.9056904094</v>
      </c>
      <c r="Q46" s="155" t="n">
        <f aca="false">SUM(Q41:Q44)</f>
        <v>33437.4337048549</v>
      </c>
      <c r="R46" s="155" t="n">
        <f aca="false">SUM(R41:R44)</f>
        <v>34250.252693792</v>
      </c>
      <c r="S46" s="155" t="n">
        <f aca="false">SUM(S41:S44)</f>
        <v>35049.5810102324</v>
      </c>
      <c r="T46" s="155" t="n">
        <f aca="false">SUM(T41:T44)</f>
        <v>35844.6466922187</v>
      </c>
      <c r="U46" s="155" t="n">
        <f aca="false">SUM(U41:U44)</f>
        <v>36643.6433832827</v>
      </c>
      <c r="V46" s="281"/>
      <c r="W46" s="165" t="n">
        <f aca="false">SUM(B46:U46)</f>
        <v>573404.412818948</v>
      </c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</row>
    <row r="47" customFormat="false" ht="12.75" hidden="false" customHeight="true" outlineLevel="0" collapsed="false">
      <c r="A47" s="243"/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92"/>
      <c r="W47" s="240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</row>
    <row r="48" customFormat="false" ht="15" hidden="false" customHeight="true" outlineLevel="0" collapsed="false">
      <c r="A48" s="247" t="s">
        <v>199</v>
      </c>
      <c r="B48" s="317" t="n">
        <f aca="false">-B89</f>
        <v>-852.673491507615</v>
      </c>
      <c r="C48" s="317" t="n">
        <f aca="false">-C89</f>
        <v>-556.411307231779</v>
      </c>
      <c r="D48" s="317" t="n">
        <f aca="false">-D89</f>
        <v>-806.700177862827</v>
      </c>
      <c r="E48" s="317" t="n">
        <f aca="false">-E89</f>
        <v>-1057.28109775249</v>
      </c>
      <c r="F48" s="317" t="n">
        <f aca="false">-F89</f>
        <v>-1319.20977233077</v>
      </c>
      <c r="G48" s="317" t="n">
        <f aca="false">-G89</f>
        <v>-1470.70494862103</v>
      </c>
      <c r="H48" s="317" t="n">
        <f aca="false">-H89</f>
        <v>-1584.05599969503</v>
      </c>
      <c r="I48" s="317" t="n">
        <f aca="false">-I89</f>
        <v>-1669.36273446343</v>
      </c>
      <c r="J48" s="317" t="n">
        <f aca="false">-J89</f>
        <v>-1771.55662302386</v>
      </c>
      <c r="K48" s="317" t="n">
        <f aca="false">-K89</f>
        <v>-1879.30582008026</v>
      </c>
      <c r="L48" s="317" t="n">
        <f aca="false">-L89</f>
        <v>-1947.99854709981</v>
      </c>
      <c r="M48" s="317" t="n">
        <f aca="false">-M89</f>
        <v>-2029.22691488478</v>
      </c>
      <c r="N48" s="317" t="n">
        <f aca="false">-N89</f>
        <v>-2119.37287947648</v>
      </c>
      <c r="O48" s="317" t="n">
        <f aca="false">-O89</f>
        <v>-2210.07026097421</v>
      </c>
      <c r="P48" s="317" t="n">
        <f aca="false">-P89</f>
        <v>-2307.44138514975</v>
      </c>
      <c r="Q48" s="317" t="n">
        <f aca="false">-Q89</f>
        <v>-2416.92526629156</v>
      </c>
      <c r="R48" s="317" t="n">
        <f aca="false">-R89</f>
        <v>-3111.3901018739</v>
      </c>
      <c r="S48" s="317" t="n">
        <f aca="false">-S89</f>
        <v>-3235.18610487344</v>
      </c>
      <c r="T48" s="317" t="n">
        <f aca="false">-T89</f>
        <v>-3366.65561375121</v>
      </c>
      <c r="U48" s="317" t="n">
        <f aca="false">-U89</f>
        <v>-3506.44592634621</v>
      </c>
      <c r="V48" s="92"/>
      <c r="W48" s="165" t="n">
        <f aca="false">SUM(B48:U48)</f>
        <v>-39217.9749732904</v>
      </c>
      <c r="X48" s="2"/>
      <c r="Y48" s="2"/>
      <c r="Z48" s="2"/>
      <c r="AA48" s="2"/>
      <c r="AB48" s="12"/>
      <c r="AC48" s="1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</row>
    <row r="49" customFormat="false" ht="12.75" hidden="false" customHeight="true" outlineLevel="0" collapsed="false">
      <c r="A49" s="247" t="s">
        <v>200</v>
      </c>
      <c r="B49" s="319" t="n">
        <f aca="false">-Allocation!$E$7*Tax!B24</f>
        <v>-2431.53197632487</v>
      </c>
      <c r="C49" s="319" t="n">
        <f aca="false">-Allocation!$E$7*Tax!C24</f>
        <v>-0</v>
      </c>
      <c r="D49" s="319" t="n">
        <f aca="false">-Allocation!$E$7*Tax!D24</f>
        <v>-182.430946172092</v>
      </c>
      <c r="E49" s="319" t="n">
        <f aca="false">-Allocation!$E$7*Tax!E24</f>
        <v>-2190.05711422141</v>
      </c>
      <c r="F49" s="319" t="n">
        <f aca="false">-Allocation!$E$7*Tax!F24</f>
        <v>-3519.05886363986</v>
      </c>
      <c r="G49" s="319" t="n">
        <f aca="false">-Allocation!$E$7*Tax!G24</f>
        <v>-4389.01330271833</v>
      </c>
      <c r="H49" s="319" t="n">
        <f aca="false">-Allocation!$E$7*Tax!H24</f>
        <v>-4993.23048968954</v>
      </c>
      <c r="I49" s="319" t="n">
        <f aca="false">-Allocation!$E$7*Tax!I24</f>
        <v>-5333.0442742001</v>
      </c>
      <c r="J49" s="319" t="n">
        <f aca="false">-Allocation!$E$7*Tax!J24</f>
        <v>-5726.01755333726</v>
      </c>
      <c r="K49" s="319" t="n">
        <f aca="false">-Allocation!$E$7*Tax!K24</f>
        <v>-6114.78312546008</v>
      </c>
      <c r="L49" s="319" t="n">
        <f aca="false">-Allocation!$E$7*Tax!L24</f>
        <v>-6504.24277225196</v>
      </c>
      <c r="M49" s="319" t="n">
        <f aca="false">-Allocation!$E$7*Tax!M24</f>
        <v>-6903.77328112267</v>
      </c>
      <c r="N49" s="319" t="n">
        <f aca="false">-Allocation!$E$7*Tax!N24</f>
        <v>-7315.10873009504</v>
      </c>
      <c r="O49" s="319" t="n">
        <f aca="false">-Allocation!$E$7*Tax!O24</f>
        <v>-7758.13184728175</v>
      </c>
      <c r="P49" s="319" t="n">
        <f aca="false">-Allocation!$E$7*Tax!P24</f>
        <v>-8195.06657626767</v>
      </c>
      <c r="Q49" s="319" t="n">
        <f aca="false">-Allocation!$E$7*Tax!Q24</f>
        <v>-8705.22659060884</v>
      </c>
      <c r="R49" s="319" t="n">
        <f aca="false">-Allocation!$E$7*Tax!R24</f>
        <v>-13889.6808204436</v>
      </c>
      <c r="S49" s="319" t="n">
        <f aca="false">-Allocation!$E$7*Tax!S24</f>
        <v>-14400.6472433631</v>
      </c>
      <c r="T49" s="319" t="n">
        <f aca="false">-Allocation!$E$7*Tax!T24</f>
        <v>-14943.2116811618</v>
      </c>
      <c r="U49" s="319" t="n">
        <f aca="false">-Allocation!$E$7*Tax!U24</f>
        <v>-15520.0408629354</v>
      </c>
      <c r="V49" s="92"/>
      <c r="W49" s="165" t="n">
        <f aca="false">SUM(B49:U49)</f>
        <v>-139014.298051295</v>
      </c>
      <c r="X49" s="2"/>
      <c r="Y49" s="2"/>
      <c r="Z49" s="2"/>
      <c r="AA49" s="2"/>
      <c r="AB49" s="12"/>
      <c r="AC49" s="1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</row>
    <row r="50" customFormat="false" ht="12.75" hidden="false" customHeight="true" outlineLevel="0" collapsed="false">
      <c r="A50" s="247"/>
      <c r="B50" s="192"/>
      <c r="C50" s="192"/>
      <c r="D50" s="192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  <c r="R50" s="192"/>
      <c r="S50" s="192"/>
      <c r="T50" s="192"/>
      <c r="U50" s="192"/>
      <c r="V50" s="92"/>
      <c r="W50" s="240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</row>
    <row r="51" customFormat="false" ht="15.75" hidden="false" customHeight="true" outlineLevel="0" collapsed="false">
      <c r="A51" s="320" t="s">
        <v>201</v>
      </c>
      <c r="B51" s="321" t="n">
        <f aca="false">B46+B49+B48</f>
        <v>14172.8223777117</v>
      </c>
      <c r="C51" s="321" t="n">
        <f aca="false">C46+C49+C48</f>
        <v>18753.1836993788</v>
      </c>
      <c r="D51" s="321" t="n">
        <f aca="false">D46+D49+D48</f>
        <v>19955.0533745149</v>
      </c>
      <c r="E51" s="321" t="n">
        <f aca="false">E46+E49+E48</f>
        <v>19368.1467775773</v>
      </c>
      <c r="F51" s="321" t="n">
        <f aca="false">F46+F49+F48</f>
        <v>19612.6468037266</v>
      </c>
      <c r="G51" s="321" t="n">
        <f aca="false">G46+G49+G48</f>
        <v>19632.0901820229</v>
      </c>
      <c r="H51" s="321" t="n">
        <f aca="false">H46+H49+H48</f>
        <v>19859.5414124922</v>
      </c>
      <c r="I51" s="321" t="n">
        <f aca="false">I46+I49+I48</f>
        <v>20300.0865245272</v>
      </c>
      <c r="J51" s="321" t="n">
        <f aca="false">J46+J49+J48</f>
        <v>20757.3700604117</v>
      </c>
      <c r="K51" s="321" t="n">
        <f aca="false">K46+K49+K48</f>
        <v>21288.7808613286</v>
      </c>
      <c r="L51" s="321" t="n">
        <f aca="false">L46+L49+L48</f>
        <v>21609.0108388018</v>
      </c>
      <c r="M51" s="321" t="n">
        <f aca="false">M46+M49+M48</f>
        <v>21651.5918594724</v>
      </c>
      <c r="N51" s="321" t="n">
        <f aca="false">N46+N49+N48</f>
        <v>21873.2811989101</v>
      </c>
      <c r="O51" s="321" t="n">
        <f aca="false">O46+O49+O48</f>
        <v>22021.9888217627</v>
      </c>
      <c r="P51" s="321" t="n">
        <f aca="false">P46+P49+P48</f>
        <v>22186.397728992</v>
      </c>
      <c r="Q51" s="321" t="n">
        <f aca="false">Q46+Q49+Q48</f>
        <v>22315.2818479545</v>
      </c>
      <c r="R51" s="321" t="n">
        <f aca="false">R46+R49+R48</f>
        <v>17249.1817714745</v>
      </c>
      <c r="S51" s="321" t="n">
        <f aca="false">S46+S49+S48</f>
        <v>17413.7476619959</v>
      </c>
      <c r="T51" s="321" t="n">
        <f aca="false">T46+T49+T48</f>
        <v>17534.7793973057</v>
      </c>
      <c r="U51" s="321" t="n">
        <f aca="false">U46+U49+U48</f>
        <v>17617.1565940011</v>
      </c>
      <c r="V51" s="313"/>
      <c r="W51" s="165" t="n">
        <f aca="false">SUM(B51:U51)</f>
        <v>395172.139794363</v>
      </c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2"/>
    </row>
    <row r="52" customFormat="false" ht="12.75" hidden="false" customHeight="true" outlineLevel="0" collapsed="false">
      <c r="A52" s="243"/>
      <c r="B52" s="167"/>
      <c r="C52" s="167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</row>
    <row r="53" customFormat="false" ht="18" hidden="false" customHeight="true" outlineLevel="0" collapsed="false">
      <c r="A53" s="314" t="s">
        <v>221</v>
      </c>
      <c r="B53" s="261"/>
      <c r="C53" s="261"/>
      <c r="D53" s="261"/>
      <c r="E53" s="261"/>
      <c r="F53" s="261"/>
      <c r="G53" s="261"/>
      <c r="H53" s="261"/>
      <c r="I53" s="261"/>
      <c r="J53" s="261"/>
      <c r="K53" s="261"/>
      <c r="L53" s="261"/>
      <c r="M53" s="261"/>
      <c r="N53" s="261"/>
      <c r="O53" s="261"/>
      <c r="P53" s="261"/>
      <c r="Q53" s="261"/>
      <c r="R53" s="261"/>
      <c r="S53" s="261"/>
      <c r="T53" s="261"/>
      <c r="U53" s="261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</row>
    <row r="54" customFormat="false" ht="12.75" hidden="false" customHeight="true" outlineLevel="0" collapsed="false">
      <c r="A54" s="281"/>
      <c r="B54" s="282"/>
      <c r="C54" s="282"/>
      <c r="D54" s="282"/>
      <c r="E54" s="282"/>
      <c r="F54" s="282"/>
      <c r="G54" s="283"/>
      <c r="H54" s="282"/>
      <c r="I54" s="282"/>
      <c r="J54" s="282"/>
      <c r="K54" s="282"/>
      <c r="L54" s="282"/>
      <c r="M54" s="283"/>
      <c r="N54" s="282"/>
      <c r="O54" s="282"/>
      <c r="P54" s="282"/>
      <c r="Q54" s="282"/>
      <c r="R54" s="282"/>
      <c r="S54" s="283"/>
      <c r="T54" s="282"/>
      <c r="U54" s="28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92"/>
      <c r="AR54" s="92"/>
      <c r="AS54" s="92"/>
    </row>
    <row r="55" customFormat="false" ht="13.5" hidden="false" customHeight="true" outlineLevel="0" collapsed="false">
      <c r="A55" s="149" t="s">
        <v>100</v>
      </c>
      <c r="B55" s="150" t="n">
        <v>2001</v>
      </c>
      <c r="C55" s="150" t="n">
        <v>2002</v>
      </c>
      <c r="D55" s="150" t="n">
        <v>2003</v>
      </c>
      <c r="E55" s="150" t="n">
        <v>2004</v>
      </c>
      <c r="F55" s="150" t="n">
        <v>2005</v>
      </c>
      <c r="G55" s="150" t="n">
        <v>2006</v>
      </c>
      <c r="H55" s="150" t="n">
        <v>2007</v>
      </c>
      <c r="I55" s="150" t="n">
        <v>2008</v>
      </c>
      <c r="J55" s="150" t="n">
        <v>2009</v>
      </c>
      <c r="K55" s="150" t="n">
        <v>2010</v>
      </c>
      <c r="L55" s="150" t="n">
        <v>2011</v>
      </c>
      <c r="M55" s="150" t="n">
        <v>2012</v>
      </c>
      <c r="N55" s="150" t="n">
        <v>2013</v>
      </c>
      <c r="O55" s="150" t="n">
        <v>2014</v>
      </c>
      <c r="P55" s="150" t="n">
        <v>2015</v>
      </c>
      <c r="Q55" s="150" t="n">
        <v>2016</v>
      </c>
      <c r="R55" s="150" t="n">
        <v>2017</v>
      </c>
      <c r="S55" s="150" t="n">
        <v>2018</v>
      </c>
      <c r="T55" s="150" t="n">
        <v>2019</v>
      </c>
      <c r="U55" s="150" t="n">
        <v>2020</v>
      </c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  <c r="AS55" s="92"/>
    </row>
    <row r="56" customFormat="false" ht="12.75" hidden="false" customHeight="true" outlineLevel="0" collapsed="false">
      <c r="A56" s="237"/>
      <c r="B56" s="288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1"/>
      <c r="U56" s="151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92"/>
      <c r="AN56" s="92"/>
      <c r="AO56" s="92"/>
      <c r="AP56" s="92"/>
      <c r="AQ56" s="92"/>
      <c r="AR56" s="92"/>
      <c r="AS56" s="92"/>
    </row>
    <row r="57" customFormat="false" ht="12.75" hidden="false" customHeight="true" outlineLevel="0" collapsed="false">
      <c r="A57" s="289" t="s">
        <v>222</v>
      </c>
      <c r="B57" s="288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92"/>
      <c r="AM57" s="92"/>
      <c r="AN57" s="92"/>
      <c r="AO57" s="92"/>
      <c r="AP57" s="92"/>
      <c r="AQ57" s="92"/>
      <c r="AR57" s="92"/>
      <c r="AS57" s="92"/>
    </row>
    <row r="58" customFormat="false" ht="12.75" hidden="false" customHeight="true" outlineLevel="0" collapsed="false">
      <c r="A58" s="237"/>
      <c r="B58" s="288"/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  <c r="R58" s="151"/>
      <c r="S58" s="151"/>
      <c r="T58" s="151"/>
      <c r="U58" s="151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/>
      <c r="AS58" s="92"/>
    </row>
    <row r="59" customFormat="false" ht="12.75" hidden="false" customHeight="true" outlineLevel="0" collapsed="false">
      <c r="A59" s="289" t="s">
        <v>78</v>
      </c>
      <c r="B59" s="333"/>
      <c r="C59" s="333"/>
      <c r="D59" s="334"/>
      <c r="E59" s="334"/>
      <c r="F59" s="334"/>
      <c r="G59" s="334"/>
      <c r="H59" s="334"/>
      <c r="I59" s="334"/>
      <c r="J59" s="334"/>
      <c r="K59" s="334"/>
      <c r="L59" s="334"/>
      <c r="M59" s="334"/>
      <c r="N59" s="334"/>
      <c r="O59" s="334"/>
      <c r="P59" s="334"/>
      <c r="Q59" s="334"/>
      <c r="R59" s="334"/>
      <c r="S59" s="334"/>
      <c r="T59" s="334"/>
      <c r="U59" s="334"/>
      <c r="V59" s="334"/>
      <c r="W59" s="334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92"/>
      <c r="AO59" s="92"/>
      <c r="AP59" s="92"/>
      <c r="AQ59" s="92"/>
      <c r="AR59" s="92"/>
      <c r="AS59" s="92"/>
    </row>
    <row r="60" customFormat="false" ht="12.75" hidden="false" customHeight="true" outlineLevel="0" collapsed="false">
      <c r="A60" s="24" t="s">
        <v>180</v>
      </c>
      <c r="B60" s="87" t="n">
        <f aca="false">B30</f>
        <v>13266.9204093675</v>
      </c>
      <c r="C60" s="87" t="n">
        <f aca="false">C30</f>
        <v>15082.3325941411</v>
      </c>
      <c r="D60" s="87" t="n">
        <f aca="false">D30</f>
        <v>17075.5932363645</v>
      </c>
      <c r="E60" s="87" t="n">
        <f aca="false">E30</f>
        <v>19196.2299583378</v>
      </c>
      <c r="F60" s="87" t="n">
        <f aca="false">F30</f>
        <v>21559.4525476769</v>
      </c>
      <c r="G60" s="87" t="n">
        <f aca="false">G30</f>
        <v>22611.3582312074</v>
      </c>
      <c r="H60" s="87" t="n">
        <f aca="false">H30</f>
        <v>23638.0401253423</v>
      </c>
      <c r="I60" s="87" t="n">
        <f aca="false">I30</f>
        <v>24730.2401363874</v>
      </c>
      <c r="J60" s="87" t="n">
        <f aca="false">J30</f>
        <v>26011.4657370996</v>
      </c>
      <c r="K60" s="87" t="n">
        <f aca="false">K30</f>
        <v>27387.7475492587</v>
      </c>
      <c r="L60" s="87" t="n">
        <f aca="false">L30</f>
        <v>28244.9078140104</v>
      </c>
      <c r="M60" s="87" t="n">
        <f aca="false">M30</f>
        <v>29285.482926531</v>
      </c>
      <c r="N60" s="87" t="n">
        <f aca="false">N30</f>
        <v>30414.2031605505</v>
      </c>
      <c r="O60" s="87" t="n">
        <f aca="false">O30</f>
        <v>31574.6392061441</v>
      </c>
      <c r="P60" s="87" t="n">
        <f aca="false">P30</f>
        <v>32794.8171564147</v>
      </c>
      <c r="Q60" s="87" t="n">
        <f aca="false">Q30</f>
        <v>34180.6890696022</v>
      </c>
      <c r="R60" s="87" t="n">
        <f aca="false">R30</f>
        <v>35674.3072231046</v>
      </c>
      <c r="S60" s="87" t="n">
        <f aca="false">S30</f>
        <v>37241.345235757</v>
      </c>
      <c r="T60" s="87" t="n">
        <f aca="false">T30</f>
        <v>38905.5162342098</v>
      </c>
      <c r="U60" s="87" t="n">
        <f aca="false">U30</f>
        <v>40675.0138619946</v>
      </c>
      <c r="V60" s="335"/>
      <c r="W60" s="335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92"/>
      <c r="AO60" s="92"/>
      <c r="AP60" s="92"/>
      <c r="AQ60" s="92"/>
      <c r="AR60" s="92"/>
      <c r="AS60" s="92"/>
    </row>
    <row r="61" customFormat="false" ht="12.75" hidden="false" customHeight="true" outlineLevel="0" collapsed="false">
      <c r="A61" s="24" t="s">
        <v>223</v>
      </c>
      <c r="B61" s="336" t="n">
        <f aca="false">Assumptions!$D$38</f>
        <v>0.034</v>
      </c>
      <c r="C61" s="336" t="n">
        <f aca="false">Assumptions!$D$38</f>
        <v>0.034</v>
      </c>
      <c r="D61" s="336" t="n">
        <f aca="false">Assumptions!$D$38</f>
        <v>0.034</v>
      </c>
      <c r="E61" s="336" t="n">
        <f aca="false">Assumptions!$D$38</f>
        <v>0.034</v>
      </c>
      <c r="F61" s="336" t="n">
        <f aca="false">Assumptions!$D$38</f>
        <v>0.034</v>
      </c>
      <c r="G61" s="336" t="n">
        <f aca="false">Assumptions!$D$38</f>
        <v>0.034</v>
      </c>
      <c r="H61" s="336" t="n">
        <f aca="false">Assumptions!$D$38</f>
        <v>0.034</v>
      </c>
      <c r="I61" s="336" t="n">
        <f aca="false">Assumptions!$D$38</f>
        <v>0.034</v>
      </c>
      <c r="J61" s="336" t="n">
        <f aca="false">Assumptions!$D$38</f>
        <v>0.034</v>
      </c>
      <c r="K61" s="336" t="n">
        <f aca="false">Assumptions!$D$38</f>
        <v>0.034</v>
      </c>
      <c r="L61" s="336" t="n">
        <f aca="false">Assumptions!$D$38</f>
        <v>0.034</v>
      </c>
      <c r="M61" s="336" t="n">
        <f aca="false">Assumptions!$D$38</f>
        <v>0.034</v>
      </c>
      <c r="N61" s="336" t="n">
        <f aca="false">Assumptions!$D$38</f>
        <v>0.034</v>
      </c>
      <c r="O61" s="336" t="n">
        <f aca="false">Assumptions!$D$38</f>
        <v>0.034</v>
      </c>
      <c r="P61" s="336" t="n">
        <f aca="false">Assumptions!$D$38</f>
        <v>0.034</v>
      </c>
      <c r="Q61" s="336" t="n">
        <f aca="false">Assumptions!$D$38</f>
        <v>0.034</v>
      </c>
      <c r="R61" s="336" t="n">
        <f aca="false">Assumptions!$D$38</f>
        <v>0.034</v>
      </c>
      <c r="S61" s="336" t="n">
        <f aca="false">Assumptions!$D$38</f>
        <v>0.034</v>
      </c>
      <c r="T61" s="336" t="n">
        <f aca="false">Assumptions!$D$38</f>
        <v>0.034</v>
      </c>
      <c r="U61" s="336" t="n">
        <f aca="false">Assumptions!$D$38</f>
        <v>0.034</v>
      </c>
      <c r="V61" s="336"/>
      <c r="W61" s="336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2"/>
      <c r="AK61" s="92"/>
      <c r="AL61" s="92"/>
      <c r="AM61" s="92"/>
      <c r="AN61" s="92"/>
      <c r="AO61" s="92"/>
      <c r="AP61" s="92"/>
      <c r="AQ61" s="92"/>
      <c r="AR61" s="92"/>
      <c r="AS61" s="92"/>
    </row>
    <row r="62" customFormat="false" ht="12.75" hidden="false" customHeight="true" outlineLevel="0" collapsed="false">
      <c r="A62" s="24" t="s">
        <v>224</v>
      </c>
      <c r="B62" s="167" t="n">
        <f aca="false">B60*B61</f>
        <v>451.075293918496</v>
      </c>
      <c r="C62" s="167" t="n">
        <f aca="false">C60*C61</f>
        <v>512.799308200798</v>
      </c>
      <c r="D62" s="167" t="n">
        <f aca="false">D60*D61</f>
        <v>580.570170036393</v>
      </c>
      <c r="E62" s="167" t="n">
        <f aca="false">E60*E61</f>
        <v>652.671818583484</v>
      </c>
      <c r="F62" s="167" t="n">
        <f aca="false">F60*F61</f>
        <v>733.021386621016</v>
      </c>
      <c r="G62" s="167" t="n">
        <f aca="false">G60*G61</f>
        <v>768.786179861052</v>
      </c>
      <c r="H62" s="167" t="n">
        <f aca="false">H60*H61</f>
        <v>803.693364261639</v>
      </c>
      <c r="I62" s="167" t="n">
        <f aca="false">I60*I61</f>
        <v>840.828164637172</v>
      </c>
      <c r="J62" s="167" t="n">
        <f aca="false">J60*J61</f>
        <v>884.389835061386</v>
      </c>
      <c r="K62" s="167" t="n">
        <f aca="false">K60*K61</f>
        <v>931.183416674795</v>
      </c>
      <c r="L62" s="167" t="n">
        <f aca="false">L60*L61</f>
        <v>960.326865676354</v>
      </c>
      <c r="M62" s="167" t="n">
        <f aca="false">M60*M61</f>
        <v>995.706419502055</v>
      </c>
      <c r="N62" s="167" t="n">
        <f aca="false">N60*N61</f>
        <v>1034.08290745872</v>
      </c>
      <c r="O62" s="167" t="n">
        <f aca="false">O60*O61</f>
        <v>1073.5377330089</v>
      </c>
      <c r="P62" s="167" t="n">
        <f aca="false">P60*P61</f>
        <v>1115.0237833181</v>
      </c>
      <c r="Q62" s="167" t="n">
        <f aca="false">Q60*Q61</f>
        <v>1162.14342836647</v>
      </c>
      <c r="R62" s="167" t="n">
        <f aca="false">R60*R61</f>
        <v>1212.92644558556</v>
      </c>
      <c r="S62" s="167" t="n">
        <f aca="false">S60*S61</f>
        <v>1266.20573801574</v>
      </c>
      <c r="T62" s="167" t="n">
        <f aca="false">T60*T61</f>
        <v>1322.78755196313</v>
      </c>
      <c r="U62" s="167" t="n">
        <f aca="false">U60*U61</f>
        <v>1382.95047130782</v>
      </c>
      <c r="V62" s="337"/>
      <c r="W62" s="337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  <c r="AM62" s="92"/>
      <c r="AN62" s="92"/>
      <c r="AO62" s="92"/>
      <c r="AP62" s="92"/>
      <c r="AQ62" s="92"/>
      <c r="AR62" s="92"/>
      <c r="AS62" s="92"/>
    </row>
    <row r="63" customFormat="false" ht="12.75" hidden="false" customHeight="true" outlineLevel="0" collapsed="false">
      <c r="A63" s="333"/>
      <c r="B63" s="12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92"/>
      <c r="AO63" s="92"/>
      <c r="AP63" s="92"/>
      <c r="AQ63" s="92"/>
      <c r="AR63" s="92"/>
      <c r="AS63" s="92"/>
    </row>
    <row r="64" customFormat="false" ht="12.75" hidden="false" customHeight="true" outlineLevel="0" collapsed="false">
      <c r="A64" s="289" t="s">
        <v>225</v>
      </c>
      <c r="B64" s="12"/>
      <c r="C64" s="12"/>
      <c r="D64" s="338"/>
      <c r="E64" s="338"/>
      <c r="F64" s="338"/>
      <c r="G64" s="338"/>
      <c r="H64" s="338"/>
      <c r="I64" s="338"/>
      <c r="J64" s="338"/>
      <c r="K64" s="338"/>
      <c r="L64" s="338"/>
      <c r="M64" s="338"/>
      <c r="N64" s="338"/>
      <c r="O64" s="338"/>
      <c r="P64" s="338"/>
      <c r="Q64" s="338"/>
      <c r="R64" s="338"/>
      <c r="S64" s="338"/>
      <c r="T64" s="338"/>
      <c r="U64" s="338"/>
      <c r="V64" s="338"/>
      <c r="W64" s="338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2"/>
      <c r="AK64" s="92"/>
      <c r="AL64" s="92"/>
      <c r="AM64" s="92"/>
      <c r="AN64" s="92"/>
      <c r="AO64" s="92"/>
      <c r="AP64" s="92"/>
      <c r="AQ64" s="92"/>
      <c r="AR64" s="92"/>
      <c r="AS64" s="92"/>
    </row>
    <row r="65" customFormat="false" ht="12.75" hidden="false" customHeight="true" outlineLevel="0" collapsed="false">
      <c r="A65" s="24" t="s">
        <v>226</v>
      </c>
      <c r="B65" s="339" t="n">
        <f aca="false">B11</f>
        <v>35369.631599907</v>
      </c>
      <c r="C65" s="339" t="n">
        <f aca="false">C11</f>
        <v>37207.6885926334</v>
      </c>
      <c r="D65" s="339" t="n">
        <f aca="false">D11</f>
        <v>39142.4431580852</v>
      </c>
      <c r="E65" s="339" t="n">
        <f aca="false">E11</f>
        <v>41178.9845739661</v>
      </c>
      <c r="F65" s="339" t="n">
        <f aca="false">F11</f>
        <v>43322.7778339416</v>
      </c>
      <c r="G65" s="339" t="n">
        <f aca="false">G11</f>
        <v>44218.2276755493</v>
      </c>
      <c r="H65" s="339" t="n">
        <f aca="false">H11</f>
        <v>45131.779713086</v>
      </c>
      <c r="I65" s="339" t="n">
        <f aca="false">I11</f>
        <v>46065.2073775194</v>
      </c>
      <c r="J65" s="339" t="n">
        <f aca="false">J11</f>
        <v>47019.4132301401</v>
      </c>
      <c r="K65" s="339" t="n">
        <f aca="false">K11</f>
        <v>47994.5351237794</v>
      </c>
      <c r="L65" s="339" t="n">
        <f aca="false">L11</f>
        <v>48642.9729546144</v>
      </c>
      <c r="M65" s="339" t="n">
        <f aca="false">M11</f>
        <v>49302.7337604444</v>
      </c>
      <c r="N65" s="339" t="n">
        <f aca="false">N11</f>
        <v>49972.0299347548</v>
      </c>
      <c r="O65" s="339" t="n">
        <f aca="false">O11</f>
        <v>50651.0164303246</v>
      </c>
      <c r="P65" s="339" t="n">
        <f aca="false">P11</f>
        <v>51339.8507368987</v>
      </c>
      <c r="Q65" s="339" t="n">
        <f aca="false">Q11</f>
        <v>52151.2213531981</v>
      </c>
      <c r="R65" s="339" t="n">
        <f aca="false">R11</f>
        <v>52975.9083380466</v>
      </c>
      <c r="S65" s="339" t="n">
        <f aca="false">S11</f>
        <v>53814.1444871707</v>
      </c>
      <c r="T65" s="339" t="n">
        <f aca="false">T11</f>
        <v>54666.1670597182</v>
      </c>
      <c r="U65" s="339" t="n">
        <f aca="false">U11</f>
        <v>55532.2178740518</v>
      </c>
      <c r="V65" s="335"/>
      <c r="W65" s="335"/>
      <c r="X65" s="334"/>
      <c r="Y65" s="334"/>
      <c r="Z65" s="334"/>
      <c r="AA65" s="334"/>
      <c r="AB65" s="334"/>
      <c r="AC65" s="333"/>
      <c r="AD65" s="333"/>
      <c r="AE65" s="340"/>
      <c r="AF65" s="340"/>
      <c r="AG65" s="340"/>
      <c r="AH65" s="340"/>
      <c r="AI65" s="340"/>
      <c r="AJ65" s="340"/>
      <c r="AK65" s="340"/>
      <c r="AL65" s="340"/>
      <c r="AM65" s="340"/>
      <c r="AN65" s="340"/>
      <c r="AO65" s="340"/>
      <c r="AP65" s="340"/>
      <c r="AQ65" s="340"/>
      <c r="AR65" s="340"/>
      <c r="AS65" s="340"/>
    </row>
    <row r="66" customFormat="false" ht="12.75" hidden="false" customHeight="true" outlineLevel="0" collapsed="false">
      <c r="A66" s="24" t="s">
        <v>80</v>
      </c>
      <c r="B66" s="336" t="n">
        <f aca="false">Assumptions!$D$39</f>
        <v>0.012</v>
      </c>
      <c r="C66" s="336" t="n">
        <f aca="false">Assumptions!$D$39</f>
        <v>0.012</v>
      </c>
      <c r="D66" s="336" t="n">
        <f aca="false">Assumptions!$D$39</f>
        <v>0.012</v>
      </c>
      <c r="E66" s="336" t="n">
        <f aca="false">Assumptions!$D$39</f>
        <v>0.012</v>
      </c>
      <c r="F66" s="336" t="n">
        <f aca="false">Assumptions!$D$39</f>
        <v>0.012</v>
      </c>
      <c r="G66" s="336" t="n">
        <f aca="false">Assumptions!$D$39</f>
        <v>0.012</v>
      </c>
      <c r="H66" s="336" t="n">
        <f aca="false">Assumptions!$D$39</f>
        <v>0.012</v>
      </c>
      <c r="I66" s="336" t="n">
        <f aca="false">Assumptions!$D$39</f>
        <v>0.012</v>
      </c>
      <c r="J66" s="336" t="n">
        <f aca="false">Assumptions!$D$39</f>
        <v>0.012</v>
      </c>
      <c r="K66" s="336" t="n">
        <f aca="false">Assumptions!$D$39</f>
        <v>0.012</v>
      </c>
      <c r="L66" s="336" t="n">
        <f aca="false">Assumptions!$D$39</f>
        <v>0.012</v>
      </c>
      <c r="M66" s="336" t="n">
        <f aca="false">Assumptions!$D$39</f>
        <v>0.012</v>
      </c>
      <c r="N66" s="336" t="n">
        <f aca="false">Assumptions!$D$39</f>
        <v>0.012</v>
      </c>
      <c r="O66" s="336" t="n">
        <f aca="false">Assumptions!$D$39</f>
        <v>0.012</v>
      </c>
      <c r="P66" s="336" t="n">
        <f aca="false">Assumptions!$D$39</f>
        <v>0.012</v>
      </c>
      <c r="Q66" s="336" t="n">
        <f aca="false">Assumptions!$D$39</f>
        <v>0.012</v>
      </c>
      <c r="R66" s="336" t="n">
        <f aca="false">Assumptions!$D$39</f>
        <v>0.012</v>
      </c>
      <c r="S66" s="336" t="n">
        <f aca="false">Assumptions!$D$39</f>
        <v>0.012</v>
      </c>
      <c r="T66" s="336" t="n">
        <f aca="false">Assumptions!$D$39</f>
        <v>0.012</v>
      </c>
      <c r="U66" s="336" t="n">
        <f aca="false">Assumptions!$D$39</f>
        <v>0.012</v>
      </c>
      <c r="V66" s="336"/>
      <c r="W66" s="336"/>
      <c r="X66" s="335"/>
      <c r="Y66" s="335"/>
      <c r="Z66" s="335"/>
      <c r="AA66" s="335"/>
      <c r="AB66" s="335"/>
      <c r="AC66" s="333"/>
      <c r="AD66" s="333"/>
      <c r="AE66" s="340"/>
      <c r="AF66" s="340"/>
      <c r="AG66" s="340"/>
      <c r="AH66" s="340"/>
      <c r="AI66" s="340"/>
      <c r="AJ66" s="340"/>
      <c r="AK66" s="340"/>
      <c r="AL66" s="340"/>
      <c r="AM66" s="340"/>
      <c r="AN66" s="340"/>
      <c r="AO66" s="340"/>
      <c r="AP66" s="340"/>
      <c r="AQ66" s="340"/>
      <c r="AR66" s="340"/>
      <c r="AS66" s="340"/>
    </row>
    <row r="67" customFormat="false" ht="12.75" hidden="false" customHeight="true" outlineLevel="0" collapsed="false">
      <c r="A67" s="24" t="s">
        <v>227</v>
      </c>
      <c r="B67" s="167" t="n">
        <f aca="false">B65*B66</f>
        <v>424.435579198884</v>
      </c>
      <c r="C67" s="167" t="n">
        <f aca="false">C65*C66</f>
        <v>446.492263111601</v>
      </c>
      <c r="D67" s="167" t="n">
        <f aca="false">D65*D66</f>
        <v>469.709317897023</v>
      </c>
      <c r="E67" s="167" t="n">
        <f aca="false">E65*E66</f>
        <v>494.147814887594</v>
      </c>
      <c r="F67" s="167" t="n">
        <f aca="false">F65*F66</f>
        <v>519.873334007299</v>
      </c>
      <c r="G67" s="167" t="n">
        <f aca="false">G65*G66</f>
        <v>530.618732106591</v>
      </c>
      <c r="H67" s="167" t="n">
        <f aca="false">H65*H66</f>
        <v>541.581356557032</v>
      </c>
      <c r="I67" s="167" t="n">
        <f aca="false">I65*I66</f>
        <v>552.782488530233</v>
      </c>
      <c r="J67" s="167" t="n">
        <f aca="false">J65*J66</f>
        <v>564.232958761681</v>
      </c>
      <c r="K67" s="167" t="n">
        <f aca="false">K65*K66</f>
        <v>575.934421485353</v>
      </c>
      <c r="L67" s="167" t="n">
        <f aca="false">L65*L66</f>
        <v>583.715675455373</v>
      </c>
      <c r="M67" s="167" t="n">
        <f aca="false">M65*M66</f>
        <v>591.632805125333</v>
      </c>
      <c r="N67" s="167" t="n">
        <f aca="false">N65*N66</f>
        <v>599.664359217057</v>
      </c>
      <c r="O67" s="167" t="n">
        <f aca="false">O65*O66</f>
        <v>607.812197163895</v>
      </c>
      <c r="P67" s="167" t="n">
        <f aca="false">P65*P66</f>
        <v>616.078208842784</v>
      </c>
      <c r="Q67" s="167" t="n">
        <f aca="false">Q65*Q66</f>
        <v>625.814656238377</v>
      </c>
      <c r="R67" s="167" t="n">
        <f aca="false">R65*R66</f>
        <v>635.71090005656</v>
      </c>
      <c r="S67" s="167" t="n">
        <f aca="false">S65*S66</f>
        <v>645.769733846048</v>
      </c>
      <c r="T67" s="167" t="n">
        <f aca="false">T65*T66</f>
        <v>655.994004716618</v>
      </c>
      <c r="U67" s="167" t="n">
        <f aca="false">U65*U66</f>
        <v>666.386614488621</v>
      </c>
      <c r="V67" s="337"/>
      <c r="W67" s="337"/>
      <c r="X67" s="336"/>
      <c r="Y67" s="336"/>
      <c r="Z67" s="336"/>
      <c r="AA67" s="336"/>
      <c r="AB67" s="336"/>
      <c r="AC67" s="340"/>
      <c r="AD67" s="340"/>
      <c r="AE67" s="340"/>
      <c r="AF67" s="340"/>
      <c r="AG67" s="340"/>
      <c r="AH67" s="340"/>
      <c r="AI67" s="340"/>
      <c r="AJ67" s="340"/>
      <c r="AK67" s="340"/>
      <c r="AL67" s="340"/>
      <c r="AM67" s="340"/>
      <c r="AN67" s="340"/>
      <c r="AO67" s="340"/>
      <c r="AP67" s="340"/>
      <c r="AQ67" s="340"/>
      <c r="AR67" s="340"/>
      <c r="AS67" s="340"/>
    </row>
    <row r="68" customFormat="false" ht="12.75" hidden="false" customHeight="true" outlineLevel="0" collapsed="false">
      <c r="A68" s="24"/>
      <c r="B68" s="40"/>
      <c r="C68" s="40"/>
      <c r="D68" s="337"/>
      <c r="E68" s="337"/>
      <c r="F68" s="337"/>
      <c r="G68" s="337"/>
      <c r="H68" s="337"/>
      <c r="I68" s="337"/>
      <c r="J68" s="337"/>
      <c r="K68" s="337"/>
      <c r="L68" s="337"/>
      <c r="M68" s="337"/>
      <c r="N68" s="337"/>
      <c r="O68" s="337"/>
      <c r="P68" s="337"/>
      <c r="Q68" s="337"/>
      <c r="R68" s="337"/>
      <c r="S68" s="337"/>
      <c r="T68" s="337"/>
      <c r="U68" s="337"/>
      <c r="V68" s="337"/>
      <c r="W68" s="337"/>
      <c r="X68" s="337"/>
      <c r="Y68" s="337"/>
      <c r="Z68" s="337"/>
      <c r="AA68" s="337"/>
      <c r="AB68" s="337"/>
      <c r="AC68" s="333"/>
      <c r="AD68" s="340"/>
      <c r="AE68" s="340"/>
      <c r="AF68" s="340"/>
      <c r="AG68" s="340"/>
      <c r="AH68" s="340"/>
      <c r="AI68" s="340"/>
      <c r="AJ68" s="340"/>
      <c r="AK68" s="340"/>
      <c r="AL68" s="340"/>
      <c r="AM68" s="340"/>
      <c r="AN68" s="340"/>
      <c r="AO68" s="340"/>
      <c r="AP68" s="340"/>
      <c r="AQ68" s="340"/>
      <c r="AR68" s="340"/>
      <c r="AS68" s="340"/>
    </row>
    <row r="69" customFormat="false" ht="12.75" hidden="false" customHeight="true" outlineLevel="0" collapsed="false">
      <c r="A69" s="295" t="s">
        <v>228</v>
      </c>
      <c r="B69" s="341" t="n">
        <f aca="false">MAX(B67,B62)</f>
        <v>451.075293918496</v>
      </c>
      <c r="C69" s="341" t="n">
        <f aca="false">MAX(C67,C62)</f>
        <v>512.799308200798</v>
      </c>
      <c r="D69" s="341" t="n">
        <f aca="false">MAX(D67,D62)</f>
        <v>580.570170036393</v>
      </c>
      <c r="E69" s="341" t="n">
        <f aca="false">MAX(E67,E62)</f>
        <v>652.671818583484</v>
      </c>
      <c r="F69" s="341" t="n">
        <f aca="false">MAX(F67,F62)</f>
        <v>733.021386621016</v>
      </c>
      <c r="G69" s="341" t="n">
        <f aca="false">MAX(G67,G62)</f>
        <v>768.786179861052</v>
      </c>
      <c r="H69" s="341" t="n">
        <f aca="false">MAX(H67,H62)</f>
        <v>803.693364261639</v>
      </c>
      <c r="I69" s="341" t="n">
        <f aca="false">MAX(I67,I62)</f>
        <v>840.828164637172</v>
      </c>
      <c r="J69" s="341" t="n">
        <f aca="false">MAX(J67,J62)</f>
        <v>884.389835061386</v>
      </c>
      <c r="K69" s="341" t="n">
        <f aca="false">MAX(K67,K62)</f>
        <v>931.183416674795</v>
      </c>
      <c r="L69" s="341" t="n">
        <f aca="false">MAX(L67,L62)</f>
        <v>960.326865676354</v>
      </c>
      <c r="M69" s="341" t="n">
        <f aca="false">MAX(M67,M62)</f>
        <v>995.706419502055</v>
      </c>
      <c r="N69" s="341" t="n">
        <f aca="false">MAX(N67,N62)</f>
        <v>1034.08290745872</v>
      </c>
      <c r="O69" s="341" t="n">
        <f aca="false">MAX(O67,O62)</f>
        <v>1073.5377330089</v>
      </c>
      <c r="P69" s="341" t="n">
        <f aca="false">MAX(P67,P62)</f>
        <v>1115.0237833181</v>
      </c>
      <c r="Q69" s="341" t="n">
        <f aca="false">MAX(Q67,Q62)</f>
        <v>1162.14342836647</v>
      </c>
      <c r="R69" s="341" t="n">
        <f aca="false">MAX(R67,R62)</f>
        <v>1212.92644558556</v>
      </c>
      <c r="S69" s="341" t="n">
        <f aca="false">MAX(S67,S62)</f>
        <v>1266.20573801574</v>
      </c>
      <c r="T69" s="341" t="n">
        <f aca="false">MAX(T67,T62)</f>
        <v>1322.78755196313</v>
      </c>
      <c r="U69" s="341" t="n">
        <f aca="false">MAX(U67,U62)</f>
        <v>1382.95047130782</v>
      </c>
      <c r="V69" s="337"/>
      <c r="W69" s="337"/>
      <c r="X69" s="24"/>
      <c r="Y69" s="24"/>
      <c r="Z69" s="24"/>
      <c r="AA69" s="24"/>
      <c r="AB69" s="24"/>
      <c r="AC69" s="342"/>
      <c r="AD69" s="342"/>
      <c r="AE69" s="333"/>
      <c r="AF69" s="333"/>
      <c r="AG69" s="333"/>
      <c r="AH69" s="333"/>
      <c r="AI69" s="333"/>
      <c r="AJ69" s="333"/>
      <c r="AK69" s="333"/>
      <c r="AL69" s="333"/>
      <c r="AM69" s="333"/>
      <c r="AN69" s="333"/>
      <c r="AO69" s="333"/>
      <c r="AP69" s="333"/>
      <c r="AQ69" s="333"/>
      <c r="AR69" s="333"/>
      <c r="AS69" s="333"/>
    </row>
    <row r="70" customFormat="false" ht="12.75" hidden="false" customHeight="true" outlineLevel="0" collapsed="false">
      <c r="A70" s="343"/>
      <c r="B70" s="40"/>
      <c r="C70" s="40"/>
      <c r="D70" s="337"/>
      <c r="E70" s="337"/>
      <c r="F70" s="337"/>
      <c r="G70" s="337"/>
      <c r="H70" s="337"/>
      <c r="I70" s="337"/>
      <c r="J70" s="337"/>
      <c r="K70" s="337"/>
      <c r="L70" s="337"/>
      <c r="M70" s="337"/>
      <c r="N70" s="337"/>
      <c r="O70" s="337"/>
      <c r="P70" s="337"/>
      <c r="Q70" s="337"/>
      <c r="R70" s="337"/>
      <c r="S70" s="337"/>
      <c r="T70" s="337"/>
      <c r="U70" s="337"/>
      <c r="V70" s="337"/>
      <c r="W70" s="337"/>
      <c r="X70" s="338"/>
      <c r="Y70" s="338"/>
      <c r="Z70" s="338"/>
      <c r="AA70" s="338"/>
      <c r="AB70" s="338"/>
      <c r="AC70" s="333"/>
      <c r="AD70" s="333"/>
      <c r="AE70" s="340"/>
      <c r="AF70" s="340"/>
      <c r="AG70" s="340"/>
      <c r="AH70" s="340"/>
      <c r="AI70" s="340"/>
      <c r="AJ70" s="340"/>
      <c r="AK70" s="340"/>
      <c r="AL70" s="340"/>
      <c r="AM70" s="340"/>
      <c r="AN70" s="340"/>
      <c r="AO70" s="340"/>
      <c r="AP70" s="340"/>
      <c r="AQ70" s="340"/>
      <c r="AR70" s="340"/>
      <c r="AS70" s="340"/>
    </row>
    <row r="71" customFormat="false" ht="12.75" hidden="false" customHeight="true" outlineLevel="0" collapsed="false">
      <c r="A71" s="289" t="s">
        <v>177</v>
      </c>
      <c r="B71" s="333"/>
      <c r="C71" s="333"/>
      <c r="D71" s="333"/>
      <c r="E71" s="333"/>
      <c r="F71" s="333"/>
      <c r="G71" s="333"/>
      <c r="H71" s="333"/>
      <c r="I71" s="333"/>
      <c r="J71" s="333"/>
      <c r="K71" s="333"/>
      <c r="L71" s="333"/>
      <c r="M71" s="333"/>
      <c r="N71" s="333"/>
      <c r="O71" s="333"/>
      <c r="P71" s="333"/>
      <c r="Q71" s="333"/>
      <c r="R71" s="333"/>
      <c r="S71" s="333"/>
      <c r="T71" s="333"/>
      <c r="U71" s="333"/>
      <c r="V71" s="333"/>
      <c r="W71" s="333"/>
      <c r="X71" s="336"/>
      <c r="Y71" s="336"/>
      <c r="Z71" s="336"/>
      <c r="AA71" s="336"/>
      <c r="AB71" s="336"/>
      <c r="AC71" s="333"/>
      <c r="AD71" s="333"/>
      <c r="AE71" s="340"/>
      <c r="AF71" s="340"/>
      <c r="AG71" s="340"/>
      <c r="AH71" s="340"/>
      <c r="AI71" s="340"/>
      <c r="AJ71" s="340"/>
      <c r="AK71" s="340"/>
      <c r="AL71" s="340"/>
      <c r="AM71" s="340"/>
      <c r="AN71" s="340"/>
      <c r="AO71" s="340"/>
      <c r="AP71" s="340"/>
      <c r="AQ71" s="340"/>
      <c r="AR71" s="340"/>
      <c r="AS71" s="340"/>
    </row>
    <row r="72" customFormat="false" ht="12.75" hidden="false" customHeight="true" outlineLevel="0" collapsed="false">
      <c r="A72" s="289"/>
      <c r="B72" s="333"/>
      <c r="C72" s="333"/>
      <c r="D72" s="333"/>
      <c r="E72" s="333"/>
      <c r="F72" s="333"/>
      <c r="G72" s="333"/>
      <c r="H72" s="333"/>
      <c r="I72" s="333"/>
      <c r="J72" s="333"/>
      <c r="K72" s="333"/>
      <c r="L72" s="333"/>
      <c r="M72" s="333"/>
      <c r="N72" s="333"/>
      <c r="O72" s="333"/>
      <c r="P72" s="333"/>
      <c r="Q72" s="333"/>
      <c r="R72" s="333"/>
      <c r="S72" s="333"/>
      <c r="T72" s="333"/>
      <c r="U72" s="333"/>
      <c r="V72" s="333"/>
      <c r="W72" s="333"/>
      <c r="X72" s="337"/>
      <c r="Y72" s="337"/>
      <c r="Z72" s="337"/>
      <c r="AA72" s="337"/>
      <c r="AB72" s="337"/>
      <c r="AC72" s="333"/>
      <c r="AD72" s="333"/>
      <c r="AE72" s="340"/>
      <c r="AF72" s="340"/>
      <c r="AG72" s="340"/>
      <c r="AH72" s="340"/>
      <c r="AI72" s="340"/>
      <c r="AJ72" s="340"/>
      <c r="AK72" s="340"/>
      <c r="AL72" s="340"/>
      <c r="AM72" s="340"/>
      <c r="AN72" s="340"/>
      <c r="AO72" s="340"/>
      <c r="AP72" s="340"/>
      <c r="AQ72" s="340"/>
      <c r="AR72" s="340"/>
      <c r="AS72" s="340"/>
    </row>
    <row r="73" customFormat="false" ht="12.75" hidden="false" customHeight="true" outlineLevel="0" collapsed="false">
      <c r="A73" s="24" t="s">
        <v>180</v>
      </c>
      <c r="B73" s="167" t="n">
        <f aca="false">B30</f>
        <v>13266.9204093675</v>
      </c>
      <c r="C73" s="167" t="n">
        <f aca="false">C30</f>
        <v>15082.3325941411</v>
      </c>
      <c r="D73" s="167" t="n">
        <f aca="false">D30</f>
        <v>17075.5932363645</v>
      </c>
      <c r="E73" s="167" t="n">
        <f aca="false">E30</f>
        <v>19196.2299583378</v>
      </c>
      <c r="F73" s="167" t="n">
        <f aca="false">F30</f>
        <v>21559.4525476769</v>
      </c>
      <c r="G73" s="167" t="n">
        <f aca="false">G30</f>
        <v>22611.3582312074</v>
      </c>
      <c r="H73" s="167" t="n">
        <f aca="false">H30</f>
        <v>23638.0401253423</v>
      </c>
      <c r="I73" s="167" t="n">
        <f aca="false">I30</f>
        <v>24730.2401363874</v>
      </c>
      <c r="J73" s="167" t="n">
        <f aca="false">J30</f>
        <v>26011.4657370996</v>
      </c>
      <c r="K73" s="167" t="n">
        <f aca="false">K30</f>
        <v>27387.7475492587</v>
      </c>
      <c r="L73" s="167" t="n">
        <f aca="false">L30</f>
        <v>28244.9078140104</v>
      </c>
      <c r="M73" s="167" t="n">
        <f aca="false">M30</f>
        <v>29285.482926531</v>
      </c>
      <c r="N73" s="167" t="n">
        <f aca="false">N30</f>
        <v>30414.2031605505</v>
      </c>
      <c r="O73" s="167" t="n">
        <f aca="false">O30</f>
        <v>31574.6392061441</v>
      </c>
      <c r="P73" s="167" t="n">
        <f aca="false">P30</f>
        <v>32794.8171564147</v>
      </c>
      <c r="Q73" s="167" t="n">
        <f aca="false">Q30</f>
        <v>34180.6890696022</v>
      </c>
      <c r="R73" s="167" t="n">
        <f aca="false">R30</f>
        <v>35674.3072231046</v>
      </c>
      <c r="S73" s="167" t="n">
        <f aca="false">S30</f>
        <v>37241.345235757</v>
      </c>
      <c r="T73" s="167" t="n">
        <f aca="false">T30</f>
        <v>38905.5162342098</v>
      </c>
      <c r="U73" s="167" t="n">
        <f aca="false">U30</f>
        <v>40675.0138619946</v>
      </c>
      <c r="V73" s="92"/>
      <c r="W73" s="322" t="n">
        <f aca="false">SUM(B73:U73)</f>
        <v>549550.302413502</v>
      </c>
      <c r="X73" s="337"/>
      <c r="Y73" s="337"/>
      <c r="Z73" s="337"/>
      <c r="AA73" s="337"/>
      <c r="AB73" s="337"/>
      <c r="AC73" s="333"/>
      <c r="AD73" s="333"/>
      <c r="AE73" s="340"/>
      <c r="AF73" s="340"/>
      <c r="AG73" s="340"/>
      <c r="AH73" s="340"/>
      <c r="AI73" s="340"/>
      <c r="AJ73" s="340"/>
      <c r="AK73" s="340"/>
      <c r="AL73" s="340"/>
      <c r="AM73" s="340"/>
      <c r="AN73" s="340"/>
      <c r="AO73" s="340"/>
      <c r="AP73" s="340"/>
      <c r="AQ73" s="340"/>
      <c r="AR73" s="340"/>
      <c r="AS73" s="340"/>
    </row>
    <row r="74" customFormat="false" ht="12.75" hidden="false" customHeight="true" outlineLevel="0" collapsed="false">
      <c r="A74" s="24" t="s">
        <v>181</v>
      </c>
      <c r="B74" s="167" t="n">
        <f aca="false">B24</f>
        <v>6513.77402774738</v>
      </c>
      <c r="C74" s="167" t="n">
        <f aca="false">C24</f>
        <v>6513.77402774738</v>
      </c>
      <c r="D74" s="167" t="n">
        <f aca="false">D24</f>
        <v>6513.77402774738</v>
      </c>
      <c r="E74" s="167" t="n">
        <f aca="false">E24</f>
        <v>6513.77402774738</v>
      </c>
      <c r="F74" s="167" t="n">
        <f aca="false">F24</f>
        <v>6513.77402774738</v>
      </c>
      <c r="G74" s="167" t="n">
        <f aca="false">G24</f>
        <v>6513.77402774738</v>
      </c>
      <c r="H74" s="167" t="n">
        <f aca="false">H24</f>
        <v>6513.77402774738</v>
      </c>
      <c r="I74" s="167" t="n">
        <f aca="false">I24</f>
        <v>6513.77402774738</v>
      </c>
      <c r="J74" s="167" t="n">
        <f aca="false">J24</f>
        <v>6513.77402774738</v>
      </c>
      <c r="K74" s="167" t="n">
        <f aca="false">K24</f>
        <v>6513.77402774738</v>
      </c>
      <c r="L74" s="167" t="n">
        <f aca="false">L24</f>
        <v>6513.77402774738</v>
      </c>
      <c r="M74" s="167" t="n">
        <f aca="false">M24</f>
        <v>6513.77402774738</v>
      </c>
      <c r="N74" s="167" t="n">
        <f aca="false">N24</f>
        <v>6513.77402774738</v>
      </c>
      <c r="O74" s="167" t="n">
        <f aca="false">O24</f>
        <v>6513.77402774738</v>
      </c>
      <c r="P74" s="167" t="n">
        <f aca="false">P24</f>
        <v>6513.77402774738</v>
      </c>
      <c r="Q74" s="167" t="n">
        <f aca="false">Q24</f>
        <v>6513.77402774738</v>
      </c>
      <c r="R74" s="167" t="n">
        <f aca="false">R24</f>
        <v>6513.77402774738</v>
      </c>
      <c r="S74" s="167" t="n">
        <f aca="false">S24</f>
        <v>6513.77402774738</v>
      </c>
      <c r="T74" s="167" t="n">
        <f aca="false">T24</f>
        <v>6513.77402774738</v>
      </c>
      <c r="U74" s="167" t="n">
        <f aca="false">U24</f>
        <v>6513.77402774738</v>
      </c>
      <c r="V74" s="92"/>
      <c r="W74" s="322" t="n">
        <f aca="false">SUM(B74:U74)</f>
        <v>130275.480554948</v>
      </c>
      <c r="X74" s="341" t="n">
        <f aca="false">MAX(X72,X68)</f>
        <v>0</v>
      </c>
      <c r="Y74" s="341" t="n">
        <f aca="false">MAX(Y72,Y68)</f>
        <v>0</v>
      </c>
      <c r="Z74" s="341" t="n">
        <f aca="false">MAX(Z72,Z68)</f>
        <v>0</v>
      </c>
      <c r="AA74" s="341" t="n">
        <f aca="false">MAX(AA72,AA68)</f>
        <v>0</v>
      </c>
      <c r="AB74" s="341" t="n">
        <f aca="false">MAX(AB72,AB68)</f>
        <v>0</v>
      </c>
      <c r="AC74" s="341" t="n">
        <f aca="false">MAX(AC72,AC68)</f>
        <v>0</v>
      </c>
      <c r="AD74" s="341" t="n">
        <f aca="false">MAX(AD72,AD68)</f>
        <v>0</v>
      </c>
      <c r="AE74" s="341" t="n">
        <f aca="false">MAX(AE72,AE68)</f>
        <v>0</v>
      </c>
      <c r="AF74" s="341" t="n">
        <f aca="false">MAX(AF72,AF68)</f>
        <v>0</v>
      </c>
      <c r="AG74" s="341" t="n">
        <f aca="false">MAX(AG72,AG68)</f>
        <v>0</v>
      </c>
      <c r="AH74" s="341" t="n">
        <f aca="false">MAX(AH72,AH68)</f>
        <v>0</v>
      </c>
      <c r="AI74" s="341" t="n">
        <f aca="false">MAX(AI72,AI68)</f>
        <v>0</v>
      </c>
      <c r="AJ74" s="341" t="n">
        <f aca="false">MAX(AJ72,AJ68)</f>
        <v>0</v>
      </c>
      <c r="AK74" s="341" t="n">
        <f aca="false">MAX(AK72,AK68)</f>
        <v>0</v>
      </c>
      <c r="AL74" s="341" t="n">
        <f aca="false">MAX(AL72,AL68)</f>
        <v>0</v>
      </c>
      <c r="AM74" s="341" t="n">
        <f aca="false">MAX(AM72,AM68)</f>
        <v>0</v>
      </c>
      <c r="AN74" s="341" t="n">
        <f aca="false">MAX(AN72,AN68)</f>
        <v>0</v>
      </c>
      <c r="AO74" s="341" t="n">
        <f aca="false">MAX(AO72,AO68)</f>
        <v>0</v>
      </c>
      <c r="AP74" s="341" t="n">
        <f aca="false">MAX(AP72,AP68)</f>
        <v>0</v>
      </c>
      <c r="AQ74" s="341" t="n">
        <f aca="false">MAX(AQ72,AQ68)</f>
        <v>0</v>
      </c>
      <c r="AR74" s="340"/>
      <c r="AS74" s="340"/>
    </row>
    <row r="75" customFormat="false" ht="15" hidden="false" customHeight="true" outlineLevel="0" collapsed="false">
      <c r="A75" s="24" t="s">
        <v>212</v>
      </c>
      <c r="B75" s="192" t="n">
        <f aca="false">-Depreciation!C50</f>
        <v>-10856.2900462456</v>
      </c>
      <c r="C75" s="192" t="n">
        <f aca="false">-Depreciation!D50</f>
        <v>-20626.9510878667</v>
      </c>
      <c r="D75" s="192" t="n">
        <f aca="false">-Depreciation!E50</f>
        <v>-18564.25597908</v>
      </c>
      <c r="E75" s="192" t="n">
        <f aca="false">-Depreciation!F50</f>
        <v>-16718.6866712183</v>
      </c>
      <c r="F75" s="192" t="n">
        <f aca="false">-Depreciation!G50</f>
        <v>-15046.8180040964</v>
      </c>
      <c r="G75" s="192" t="n">
        <f aca="false">-Depreciation!H50</f>
        <v>-13526.937397622</v>
      </c>
      <c r="H75" s="192" t="n">
        <f aca="false">-Depreciation!I50</f>
        <v>-12810.4222545698</v>
      </c>
      <c r="I75" s="192" t="n">
        <f aca="false">-Depreciation!J50</f>
        <v>-12832.1348346623</v>
      </c>
      <c r="J75" s="192" t="n">
        <f aca="false">-Depreciation!K50</f>
        <v>-12810.4222545698</v>
      </c>
      <c r="K75" s="192" t="n">
        <f aca="false">-Depreciation!L50</f>
        <v>-12832.1348346623</v>
      </c>
      <c r="L75" s="192" t="n">
        <f aca="false">-Depreciation!M50</f>
        <v>-12810.4222545698</v>
      </c>
      <c r="M75" s="192" t="n">
        <f aca="false">-Depreciation!N50</f>
        <v>-12832.1348346623</v>
      </c>
      <c r="N75" s="192" t="n">
        <f aca="false">-Depreciation!O50</f>
        <v>-12810.4222545698</v>
      </c>
      <c r="O75" s="192" t="n">
        <f aca="false">-Depreciation!P50</f>
        <v>-12832.1348346623</v>
      </c>
      <c r="P75" s="192" t="n">
        <f aca="false">-Depreciation!Q50</f>
        <v>-12810.4222545698</v>
      </c>
      <c r="Q75" s="192" t="n">
        <f aca="false">-Depreciation!R50</f>
        <v>-12810.4222545698</v>
      </c>
      <c r="R75" s="192" t="n">
        <f aca="false">-Depreciation!S50</f>
        <v>-0</v>
      </c>
      <c r="S75" s="192" t="n">
        <f aca="false">-Depreciation!T50</f>
        <v>-0</v>
      </c>
      <c r="T75" s="192" t="n">
        <f aca="false">-Depreciation!U50</f>
        <v>-0</v>
      </c>
      <c r="U75" s="192" t="n">
        <f aca="false">-Depreciation!V50</f>
        <v>-0</v>
      </c>
      <c r="V75" s="92"/>
      <c r="W75" s="329" t="n">
        <f aca="false">SUM(B75:U75)</f>
        <v>-223531.012052197</v>
      </c>
      <c r="X75" s="337"/>
      <c r="Y75" s="337"/>
      <c r="Z75" s="337"/>
      <c r="AA75" s="337"/>
      <c r="AB75" s="337"/>
      <c r="AC75" s="333"/>
      <c r="AD75" s="333"/>
      <c r="AE75" s="340"/>
      <c r="AF75" s="340"/>
      <c r="AG75" s="340"/>
      <c r="AH75" s="340"/>
      <c r="AI75" s="340"/>
      <c r="AJ75" s="340"/>
      <c r="AK75" s="340"/>
      <c r="AL75" s="340"/>
      <c r="AM75" s="340"/>
      <c r="AN75" s="340"/>
      <c r="AO75" s="340"/>
      <c r="AP75" s="340"/>
      <c r="AQ75" s="340"/>
      <c r="AR75" s="340"/>
      <c r="AS75" s="340"/>
    </row>
    <row r="76" customFormat="false" ht="12.75" hidden="false" customHeight="true" outlineLevel="0" collapsed="false">
      <c r="A76" s="295" t="s">
        <v>213</v>
      </c>
      <c r="B76" s="167" t="n">
        <f aca="false">SUM(B73:B75)</f>
        <v>8924.40439086929</v>
      </c>
      <c r="C76" s="167" t="n">
        <f aca="false">SUM(C73:C75)</f>
        <v>969.155534021797</v>
      </c>
      <c r="D76" s="167" t="n">
        <f aca="false">SUM(D73:D75)</f>
        <v>5025.11128503186</v>
      </c>
      <c r="E76" s="167" t="n">
        <f aca="false">SUM(E73:E75)</f>
        <v>8991.31731486688</v>
      </c>
      <c r="F76" s="167" t="n">
        <f aca="false">SUM(F73:F75)</f>
        <v>13026.4085713279</v>
      </c>
      <c r="G76" s="167" t="n">
        <f aca="false">SUM(G73:G75)</f>
        <v>15598.1948613327</v>
      </c>
      <c r="H76" s="167" t="n">
        <f aca="false">SUM(H73:H75)</f>
        <v>17341.3918985199</v>
      </c>
      <c r="I76" s="167" t="n">
        <f aca="false">SUM(I73:I75)</f>
        <v>18411.8793294724</v>
      </c>
      <c r="J76" s="167" t="n">
        <f aca="false">SUM(J73:J75)</f>
        <v>19714.8175102771</v>
      </c>
      <c r="K76" s="167" t="n">
        <f aca="false">SUM(K73:K75)</f>
        <v>21069.3867423437</v>
      </c>
      <c r="L76" s="167" t="n">
        <f aca="false">SUM(L73:L75)</f>
        <v>21948.259587188</v>
      </c>
      <c r="M76" s="167" t="n">
        <f aca="false">SUM(M73:M75)</f>
        <v>22967.1221196161</v>
      </c>
      <c r="N76" s="167" t="n">
        <f aca="false">SUM(N73:N75)</f>
        <v>24117.554933728</v>
      </c>
      <c r="O76" s="167" t="n">
        <f aca="false">SUM(O73:O75)</f>
        <v>25256.2783992291</v>
      </c>
      <c r="P76" s="167" t="n">
        <f aca="false">SUM(P73:P75)</f>
        <v>26498.1689295922</v>
      </c>
      <c r="Q76" s="167" t="n">
        <f aca="false">SUM(Q73:Q75)</f>
        <v>27884.0408427797</v>
      </c>
      <c r="R76" s="167" t="n">
        <f aca="false">SUM(R73:R75)</f>
        <v>42188.081250852</v>
      </c>
      <c r="S76" s="167" t="n">
        <f aca="false">SUM(S73:S75)</f>
        <v>43755.1192635044</v>
      </c>
      <c r="T76" s="167" t="n">
        <f aca="false">SUM(T73:T75)</f>
        <v>45419.2902619572</v>
      </c>
      <c r="U76" s="167" t="n">
        <f aca="false">SUM(U73:U75)</f>
        <v>47188.787889742</v>
      </c>
      <c r="V76" s="92"/>
      <c r="W76" s="322" t="n">
        <f aca="false">SUM(B76:U76)</f>
        <v>456294.770916252</v>
      </c>
      <c r="X76" s="333"/>
      <c r="Y76" s="333"/>
      <c r="Z76" s="333"/>
      <c r="AA76" s="333"/>
      <c r="AB76" s="333"/>
      <c r="AC76" s="333"/>
      <c r="AD76" s="333"/>
      <c r="AE76" s="261"/>
      <c r="AF76" s="261"/>
      <c r="AG76" s="261"/>
      <c r="AH76" s="261"/>
      <c r="AI76" s="261"/>
      <c r="AJ76" s="261"/>
      <c r="AK76" s="261"/>
      <c r="AL76" s="261"/>
      <c r="AM76" s="261"/>
      <c r="AN76" s="261"/>
      <c r="AO76" s="261"/>
      <c r="AP76" s="261"/>
      <c r="AQ76" s="261"/>
      <c r="AR76" s="261"/>
      <c r="AS76" s="261"/>
    </row>
    <row r="77" customFormat="false" ht="12.75" hidden="false" customHeight="true" outlineLevel="0" collapsed="false">
      <c r="A77" s="24"/>
      <c r="B77" s="167"/>
      <c r="C77" s="167"/>
      <c r="D77" s="167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92"/>
      <c r="W77" s="92"/>
      <c r="X77" s="333"/>
      <c r="Y77" s="333"/>
      <c r="Z77" s="333"/>
      <c r="AA77" s="333"/>
      <c r="AB77" s="333"/>
      <c r="AC77" s="333"/>
      <c r="AD77" s="333"/>
      <c r="AE77" s="261"/>
      <c r="AF77" s="261"/>
      <c r="AG77" s="261"/>
      <c r="AH77" s="261"/>
      <c r="AI77" s="261"/>
      <c r="AJ77" s="261"/>
      <c r="AK77" s="261"/>
      <c r="AL77" s="261"/>
      <c r="AM77" s="261"/>
      <c r="AN77" s="261"/>
      <c r="AO77" s="261"/>
      <c r="AP77" s="261"/>
      <c r="AQ77" s="261"/>
      <c r="AR77" s="261"/>
      <c r="AS77" s="261"/>
    </row>
    <row r="78" customFormat="false" ht="12.75" hidden="false" customHeight="true" outlineLevel="0" collapsed="false">
      <c r="A78" s="24" t="s">
        <v>77</v>
      </c>
      <c r="B78" s="330" t="n">
        <f aca="false">Assumptions!$D$37</f>
        <v>0.045</v>
      </c>
      <c r="C78" s="330" t="n">
        <f aca="false">Assumptions!$D$37</f>
        <v>0.045</v>
      </c>
      <c r="D78" s="330" t="n">
        <f aca="false">Assumptions!$D$37</f>
        <v>0.045</v>
      </c>
      <c r="E78" s="330" t="n">
        <f aca="false">Assumptions!$D$37</f>
        <v>0.045</v>
      </c>
      <c r="F78" s="330" t="n">
        <f aca="false">Assumptions!$D$37</f>
        <v>0.045</v>
      </c>
      <c r="G78" s="330" t="n">
        <f aca="false">Assumptions!$D$37</f>
        <v>0.045</v>
      </c>
      <c r="H78" s="330" t="n">
        <f aca="false">Assumptions!$D$37</f>
        <v>0.045</v>
      </c>
      <c r="I78" s="330" t="n">
        <f aca="false">Assumptions!$D$37</f>
        <v>0.045</v>
      </c>
      <c r="J78" s="330" t="n">
        <f aca="false">Assumptions!$D$37</f>
        <v>0.045</v>
      </c>
      <c r="K78" s="330" t="n">
        <f aca="false">Assumptions!$D$37</f>
        <v>0.045</v>
      </c>
      <c r="L78" s="330" t="n">
        <f aca="false">Assumptions!$D$37</f>
        <v>0.045</v>
      </c>
      <c r="M78" s="330" t="n">
        <f aca="false">Assumptions!$D$37</f>
        <v>0.045</v>
      </c>
      <c r="N78" s="330" t="n">
        <f aca="false">Assumptions!$D$37</f>
        <v>0.045</v>
      </c>
      <c r="O78" s="330" t="n">
        <f aca="false">Assumptions!$D$37</f>
        <v>0.045</v>
      </c>
      <c r="P78" s="330" t="n">
        <f aca="false">Assumptions!$D$37</f>
        <v>0.045</v>
      </c>
      <c r="Q78" s="330" t="n">
        <f aca="false">Assumptions!$D$37</f>
        <v>0.045</v>
      </c>
      <c r="R78" s="330" t="n">
        <f aca="false">Assumptions!$D$37</f>
        <v>0.045</v>
      </c>
      <c r="S78" s="330" t="n">
        <f aca="false">Assumptions!$D$37</f>
        <v>0.045</v>
      </c>
      <c r="T78" s="330" t="n">
        <f aca="false">Assumptions!$D$37</f>
        <v>0.045</v>
      </c>
      <c r="U78" s="330" t="n">
        <f aca="false">Assumptions!$D$37</f>
        <v>0.045</v>
      </c>
      <c r="V78" s="92"/>
      <c r="W78" s="92"/>
      <c r="X78" s="333"/>
      <c r="Y78" s="333"/>
      <c r="Z78" s="333"/>
      <c r="AA78" s="333"/>
      <c r="AB78" s="333"/>
      <c r="AC78" s="333"/>
      <c r="AD78" s="333"/>
      <c r="AE78" s="261"/>
      <c r="AF78" s="261"/>
      <c r="AG78" s="261"/>
      <c r="AH78" s="261"/>
      <c r="AI78" s="261"/>
      <c r="AJ78" s="261"/>
      <c r="AK78" s="261"/>
      <c r="AL78" s="261"/>
      <c r="AM78" s="261"/>
      <c r="AN78" s="261"/>
      <c r="AO78" s="261"/>
      <c r="AP78" s="261"/>
      <c r="AQ78" s="261"/>
      <c r="AR78" s="261"/>
      <c r="AS78" s="261"/>
    </row>
    <row r="79" customFormat="false" ht="12.75" hidden="false" customHeight="true" outlineLevel="0" collapsed="false">
      <c r="A79" s="24" t="s">
        <v>229</v>
      </c>
      <c r="B79" s="167" t="n">
        <f aca="false">B76*B78</f>
        <v>401.598197589118</v>
      </c>
      <c r="C79" s="167" t="n">
        <f aca="false">C76*C78</f>
        <v>43.6119990309808</v>
      </c>
      <c r="D79" s="167" t="n">
        <f aca="false">D76*D78</f>
        <v>226.130007826434</v>
      </c>
      <c r="E79" s="167" t="n">
        <f aca="false">E76*E78</f>
        <v>404.60927916901</v>
      </c>
      <c r="F79" s="167" t="n">
        <f aca="false">F76*F78</f>
        <v>586.188385709755</v>
      </c>
      <c r="G79" s="167" t="n">
        <f aca="false">G76*G78</f>
        <v>701.918768759974</v>
      </c>
      <c r="H79" s="167" t="n">
        <f aca="false">H76*H78</f>
        <v>780.362635433394</v>
      </c>
      <c r="I79" s="167" t="n">
        <f aca="false">I76*I78</f>
        <v>828.53456982626</v>
      </c>
      <c r="J79" s="167" t="n">
        <f aca="false">J76*J78</f>
        <v>887.166787962471</v>
      </c>
      <c r="K79" s="167" t="n">
        <f aca="false">K76*K78</f>
        <v>948.122403405467</v>
      </c>
      <c r="L79" s="167" t="n">
        <f aca="false">L76*L78</f>
        <v>987.671681423458</v>
      </c>
      <c r="M79" s="167" t="n">
        <f aca="false">M76*M78</f>
        <v>1033.52049538272</v>
      </c>
      <c r="N79" s="167" t="n">
        <f aca="false">N76*N78</f>
        <v>1085.28997201776</v>
      </c>
      <c r="O79" s="167" t="n">
        <f aca="false">O76*O78</f>
        <v>1136.53252796531</v>
      </c>
      <c r="P79" s="167" t="n">
        <f aca="false">P76*P78</f>
        <v>1192.41760183165</v>
      </c>
      <c r="Q79" s="167" t="n">
        <f aca="false">Q76*Q78</f>
        <v>1254.78183792509</v>
      </c>
      <c r="R79" s="167" t="n">
        <f aca="false">R76*R78</f>
        <v>1898.46365628834</v>
      </c>
      <c r="S79" s="167" t="n">
        <f aca="false">S76*S78</f>
        <v>1968.9803668577</v>
      </c>
      <c r="T79" s="167" t="n">
        <f aca="false">T76*T78</f>
        <v>2043.86806178807</v>
      </c>
      <c r="U79" s="167" t="n">
        <f aca="false">U76*U78</f>
        <v>2123.49545503839</v>
      </c>
      <c r="V79" s="92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  <c r="AK79" s="92"/>
      <c r="AL79" s="92"/>
      <c r="AM79" s="92"/>
      <c r="AN79" s="92"/>
      <c r="AO79" s="92"/>
      <c r="AP79" s="92"/>
      <c r="AQ79" s="92"/>
      <c r="AR79" s="92"/>
      <c r="AS79" s="92"/>
    </row>
    <row r="80" customFormat="false" ht="12.75" hidden="false" customHeight="true" outlineLevel="0" collapsed="false">
      <c r="A80" s="24"/>
      <c r="B80" s="167"/>
      <c r="C80" s="167"/>
      <c r="D80" s="167"/>
      <c r="E80" s="167"/>
      <c r="F80" s="167"/>
      <c r="G80" s="167"/>
      <c r="H80" s="167"/>
      <c r="I80" s="167"/>
      <c r="J80" s="167"/>
      <c r="K80" s="167"/>
      <c r="L80" s="167"/>
      <c r="M80" s="167"/>
      <c r="N80" s="167"/>
      <c r="O80" s="167"/>
      <c r="P80" s="167"/>
      <c r="Q80" s="167"/>
      <c r="R80" s="167"/>
      <c r="S80" s="167"/>
      <c r="T80" s="167"/>
      <c r="U80" s="167"/>
      <c r="V80" s="92"/>
      <c r="W80" s="92"/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92"/>
      <c r="AI80" s="92"/>
      <c r="AJ80" s="92"/>
      <c r="AK80" s="92"/>
      <c r="AL80" s="92"/>
      <c r="AM80" s="92"/>
      <c r="AN80" s="92"/>
      <c r="AO80" s="92"/>
      <c r="AP80" s="92"/>
      <c r="AQ80" s="92"/>
      <c r="AR80" s="92"/>
      <c r="AS80" s="92"/>
    </row>
    <row r="81" customFormat="false" ht="12.75" hidden="false" customHeight="true" outlineLevel="0" collapsed="false">
      <c r="A81" s="24" t="s">
        <v>215</v>
      </c>
      <c r="B81" s="167" t="n">
        <v>0</v>
      </c>
      <c r="C81" s="167" t="n">
        <f aca="false">B85</f>
        <v>0</v>
      </c>
      <c r="D81" s="167" t="n">
        <f aca="false">C85</f>
        <v>0</v>
      </c>
      <c r="E81" s="167" t="n">
        <f aca="false">D85</f>
        <v>0</v>
      </c>
      <c r="F81" s="167" t="n">
        <f aca="false">E85</f>
        <v>0</v>
      </c>
      <c r="G81" s="167" t="n">
        <f aca="false">F85</f>
        <v>0</v>
      </c>
      <c r="H81" s="167" t="n">
        <f aca="false">G85</f>
        <v>0</v>
      </c>
      <c r="I81" s="167" t="n">
        <f aca="false">H85</f>
        <v>0</v>
      </c>
      <c r="J81" s="167" t="n">
        <f aca="false">I85</f>
        <v>0</v>
      </c>
      <c r="K81" s="167" t="n">
        <f aca="false">J85</f>
        <v>0</v>
      </c>
      <c r="L81" s="167" t="n">
        <f aca="false">K85</f>
        <v>0</v>
      </c>
      <c r="M81" s="167" t="n">
        <f aca="false">L85</f>
        <v>0</v>
      </c>
      <c r="N81" s="167" t="n">
        <f aca="false">M85</f>
        <v>0</v>
      </c>
      <c r="O81" s="167" t="n">
        <f aca="false">N85</f>
        <v>0</v>
      </c>
      <c r="P81" s="167" t="n">
        <f aca="false">O85</f>
        <v>0</v>
      </c>
      <c r="Q81" s="167" t="n">
        <f aca="false">P85</f>
        <v>0</v>
      </c>
      <c r="R81" s="167" t="n">
        <v>0</v>
      </c>
      <c r="S81" s="167" t="n">
        <f aca="false">R85</f>
        <v>0</v>
      </c>
      <c r="T81" s="167" t="n">
        <f aca="false">S85</f>
        <v>0</v>
      </c>
      <c r="U81" s="167" t="n">
        <f aca="false">T85</f>
        <v>0</v>
      </c>
      <c r="V81" s="92"/>
      <c r="W81" s="92"/>
      <c r="X81" s="92"/>
      <c r="Y81" s="92"/>
      <c r="Z81" s="92"/>
      <c r="AA81" s="92"/>
      <c r="AB81" s="92"/>
      <c r="AC81" s="92"/>
      <c r="AD81" s="92"/>
      <c r="AE81" s="92"/>
      <c r="AF81" s="92"/>
      <c r="AG81" s="92"/>
      <c r="AH81" s="92"/>
      <c r="AI81" s="92"/>
      <c r="AJ81" s="92"/>
      <c r="AK81" s="92"/>
      <c r="AL81" s="92"/>
      <c r="AM81" s="92"/>
      <c r="AN81" s="92"/>
      <c r="AO81" s="92"/>
      <c r="AP81" s="92"/>
      <c r="AQ81" s="92"/>
      <c r="AR81" s="92"/>
      <c r="AS81" s="92"/>
    </row>
    <row r="82" customFormat="false" ht="12.75" hidden="false" customHeight="true" outlineLevel="0" collapsed="false">
      <c r="A82" s="24" t="s">
        <v>216</v>
      </c>
      <c r="B82" s="167" t="n">
        <f aca="false">IF(B53&gt;2020,0,IF(B79&lt;0,-B79,0))</f>
        <v>0</v>
      </c>
      <c r="C82" s="167" t="n">
        <f aca="false">IF(C53&gt;2020,0,IF(C79&lt;0,-C79,0))</f>
        <v>0</v>
      </c>
      <c r="D82" s="167" t="n">
        <f aca="false">IF(D53&gt;2020,0,IF(D79&lt;0,-D79,0))</f>
        <v>0</v>
      </c>
      <c r="E82" s="167" t="n">
        <f aca="false">IF(E53&gt;2020,0,IF(E79&lt;0,-E79,0))</f>
        <v>0</v>
      </c>
      <c r="F82" s="167" t="n">
        <f aca="false">IF(F53&gt;2020,0,IF(F79&lt;0,-F79,0))</f>
        <v>0</v>
      </c>
      <c r="G82" s="167" t="n">
        <f aca="false">IF(G53&gt;2020,0,IF(G79&lt;0,-G79,0))</f>
        <v>0</v>
      </c>
      <c r="H82" s="167" t="n">
        <f aca="false">IF(H53&gt;2020,0,IF(H79&lt;0,-H79,0))</f>
        <v>0</v>
      </c>
      <c r="I82" s="167" t="n">
        <f aca="false">IF(I53&gt;2020,0,IF(I79&lt;0,-I79,0))</f>
        <v>0</v>
      </c>
      <c r="J82" s="167" t="n">
        <f aca="false">IF(J53&gt;2020,0,IF(J79&lt;0,-J79,0))</f>
        <v>0</v>
      </c>
      <c r="K82" s="167" t="n">
        <f aca="false">IF(K53&gt;2020,0,IF(K79&lt;0,-K79,0))</f>
        <v>0</v>
      </c>
      <c r="L82" s="167" t="n">
        <f aca="false">IF(L53&gt;2020,0,IF(L79&lt;0,-L79,0))</f>
        <v>0</v>
      </c>
      <c r="M82" s="167" t="n">
        <f aca="false">IF(M53&gt;2020,0,IF(M79&lt;0,-M79,0))</f>
        <v>0</v>
      </c>
      <c r="N82" s="167" t="n">
        <f aca="false">IF(N53&gt;2020,0,IF(N79&lt;0,-N79,0))</f>
        <v>0</v>
      </c>
      <c r="O82" s="167" t="n">
        <f aca="false">IF(O53&gt;2020,0,IF(O79&lt;0,-O79,0))</f>
        <v>0</v>
      </c>
      <c r="P82" s="167" t="n">
        <f aca="false">IF(P53&gt;2020,0,IF(P79&lt;0,-P79,0))</f>
        <v>0</v>
      </c>
      <c r="Q82" s="167" t="n">
        <f aca="false">IF(Q53&gt;2020,0,IF(Q79&lt;0,-Q79,0))</f>
        <v>0</v>
      </c>
      <c r="R82" s="167" t="n">
        <f aca="false">IF(R53&gt;2020,0,IF(R79&lt;0,-R79,0))</f>
        <v>0</v>
      </c>
      <c r="S82" s="167" t="n">
        <f aca="false">IF(S53&gt;2020,0,IF(S79&lt;0,-S79,0))</f>
        <v>0</v>
      </c>
      <c r="T82" s="167" t="n">
        <f aca="false">IF(T53&gt;2020,0,IF(T79&lt;0,-T79,0))</f>
        <v>0</v>
      </c>
      <c r="U82" s="167" t="n">
        <f aca="false">IF(U53&gt;2020,0,IF(U79&lt;0,-U79,0))</f>
        <v>0</v>
      </c>
      <c r="V82" s="92"/>
      <c r="W82" s="92"/>
      <c r="X82" s="92"/>
      <c r="Y82" s="92"/>
      <c r="Z82" s="92"/>
      <c r="AA82" s="92"/>
      <c r="AB82" s="92"/>
      <c r="AC82" s="92"/>
      <c r="AD82" s="92"/>
      <c r="AE82" s="92"/>
      <c r="AF82" s="92"/>
      <c r="AG82" s="92"/>
      <c r="AH82" s="92"/>
      <c r="AI82" s="92"/>
      <c r="AJ82" s="92"/>
      <c r="AK82" s="92"/>
      <c r="AL82" s="92"/>
      <c r="AM82" s="92"/>
      <c r="AN82" s="92"/>
      <c r="AO82" s="92"/>
      <c r="AP82" s="92"/>
      <c r="AQ82" s="92"/>
      <c r="AR82" s="92"/>
      <c r="AS82" s="92"/>
    </row>
    <row r="83" customFormat="false" ht="12.75" hidden="false" customHeight="true" outlineLevel="0" collapsed="false">
      <c r="A83" s="24" t="s">
        <v>217</v>
      </c>
      <c r="B83" s="331" t="n">
        <v>0</v>
      </c>
      <c r="C83" s="331" t="n">
        <v>0</v>
      </c>
      <c r="D83" s="331" t="n">
        <v>0</v>
      </c>
      <c r="E83" s="331" t="n">
        <v>0</v>
      </c>
      <c r="F83" s="331" t="n">
        <v>0</v>
      </c>
      <c r="G83" s="331" t="n">
        <v>0</v>
      </c>
      <c r="H83" s="331" t="n">
        <v>0</v>
      </c>
      <c r="I83" s="331" t="n">
        <v>0</v>
      </c>
      <c r="J83" s="331" t="n">
        <v>0</v>
      </c>
      <c r="K83" s="331" t="n">
        <v>0</v>
      </c>
      <c r="L83" s="331" t="n">
        <v>0</v>
      </c>
      <c r="M83" s="331" t="n">
        <v>0</v>
      </c>
      <c r="N83" s="331" t="n">
        <v>0</v>
      </c>
      <c r="O83" s="331" t="n">
        <v>0</v>
      </c>
      <c r="P83" s="331" t="n">
        <v>0</v>
      </c>
      <c r="Q83" s="331" t="n">
        <v>0</v>
      </c>
      <c r="R83" s="331" t="n">
        <v>0</v>
      </c>
      <c r="S83" s="331" t="n">
        <v>0</v>
      </c>
      <c r="T83" s="167" t="n">
        <f aca="false">IF(L82&gt;(SUM(M84:S84)+SUM(L83:S83))*-1,L82-(SUM(L84:S84)+SUM(L83:S83))*-1,0)</f>
        <v>0</v>
      </c>
      <c r="U83" s="167" t="n">
        <f aca="false">IF(M82&gt;(SUM(N84:T84)+SUM(M83:T83))*-1,M82-(SUM(M84:T84)+SUM(M83:T83))*-1,0)</f>
        <v>0</v>
      </c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  <c r="AH83" s="92"/>
      <c r="AI83" s="92"/>
      <c r="AJ83" s="92"/>
      <c r="AK83" s="92"/>
      <c r="AL83" s="92"/>
      <c r="AM83" s="92"/>
      <c r="AN83" s="92"/>
      <c r="AO83" s="92"/>
      <c r="AP83" s="92"/>
      <c r="AQ83" s="92"/>
      <c r="AR83" s="92"/>
      <c r="AS83" s="92"/>
    </row>
    <row r="84" customFormat="false" ht="12.75" hidden="false" customHeight="true" outlineLevel="0" collapsed="false">
      <c r="A84" s="12" t="s">
        <v>188</v>
      </c>
      <c r="B84" s="192" t="n">
        <f aca="false">IF(B79&lt;0,0,IF(B81&gt;B79,-B79,-B81))</f>
        <v>-0</v>
      </c>
      <c r="C84" s="192" t="n">
        <f aca="false">IF(C79&lt;0,0,IF(C81&gt;C79,-C79,-C81))</f>
        <v>-0</v>
      </c>
      <c r="D84" s="192" t="n">
        <f aca="false">IF(D79&lt;0,0,IF(D81&gt;D79,-D79,-D81))</f>
        <v>-0</v>
      </c>
      <c r="E84" s="192" t="n">
        <f aca="false">IF(E79&lt;0,0,IF(E81&gt;E79,-E79,-E81))</f>
        <v>-0</v>
      </c>
      <c r="F84" s="192" t="n">
        <f aca="false">IF(F79&lt;0,0,IF(F81&gt;F79,-F79,-F81))</f>
        <v>-0</v>
      </c>
      <c r="G84" s="192" t="n">
        <f aca="false">IF(G79&lt;0,0,IF(G81&gt;G79,-G79,-G81))</f>
        <v>-0</v>
      </c>
      <c r="H84" s="192" t="n">
        <f aca="false">IF(H79&lt;0,0,IF(H81&gt;H79,-H79,-H81))</f>
        <v>-0</v>
      </c>
      <c r="I84" s="192" t="n">
        <f aca="false">IF(I79&lt;0,0,IF(I81&gt;I79,-I79,-I81))</f>
        <v>-0</v>
      </c>
      <c r="J84" s="192" t="n">
        <f aca="false">IF(J79&lt;0,0,IF(J81&gt;J79,-J79,-J81))</f>
        <v>-0</v>
      </c>
      <c r="K84" s="192" t="n">
        <f aca="false">IF(K79&lt;0,0,IF(K81&gt;K79,-K79,-K81))</f>
        <v>-0</v>
      </c>
      <c r="L84" s="192" t="n">
        <f aca="false">IF(L79&lt;0,0,IF(L81&gt;L79,-L79,-L81))</f>
        <v>-0</v>
      </c>
      <c r="M84" s="192" t="n">
        <f aca="false">IF(M79&lt;0,0,IF(M81&gt;M79,-M79,-M81))</f>
        <v>-0</v>
      </c>
      <c r="N84" s="192" t="n">
        <f aca="false">IF(N79&lt;0,0,IF(N81&gt;N79,-N79,-N81))</f>
        <v>-0</v>
      </c>
      <c r="O84" s="192" t="n">
        <f aca="false">IF(O79&lt;0,0,IF(O81&gt;O79,-O79,-O81))</f>
        <v>-0</v>
      </c>
      <c r="P84" s="192" t="n">
        <f aca="false">IF(P79&lt;0,0,IF(P81&gt;P79,-P79,-P81))</f>
        <v>-0</v>
      </c>
      <c r="Q84" s="192" t="n">
        <f aca="false">IF(Q79&lt;0,0,IF(Q81&gt;Q79,-Q79,-Q81))</f>
        <v>-0</v>
      </c>
      <c r="R84" s="192" t="n">
        <f aca="false">IF(R79&lt;0,0,IF(R81&gt;R79,-R79,-R81))</f>
        <v>-0</v>
      </c>
      <c r="S84" s="192" t="n">
        <f aca="false">IF(S79&lt;0,0,IF(S81&gt;S79,-S79,-S81))</f>
        <v>-0</v>
      </c>
      <c r="T84" s="192" t="n">
        <f aca="false">IF(T79&lt;0,0,IF(T81&gt;T79,-T79,-T81))</f>
        <v>-0</v>
      </c>
      <c r="U84" s="192" t="n">
        <f aca="false">IF(U79&lt;0,0,IF(U81&gt;U79,-U79,-U81))</f>
        <v>-0</v>
      </c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  <c r="AH84" s="92"/>
      <c r="AI84" s="92"/>
      <c r="AJ84" s="92"/>
      <c r="AK84" s="92"/>
      <c r="AL84" s="92"/>
      <c r="AM84" s="92"/>
      <c r="AN84" s="92"/>
      <c r="AO84" s="92"/>
      <c r="AP84" s="92"/>
      <c r="AQ84" s="92"/>
      <c r="AR84" s="92"/>
      <c r="AS84" s="92"/>
    </row>
    <row r="85" customFormat="false" ht="12.75" hidden="false" customHeight="true" outlineLevel="0" collapsed="false">
      <c r="A85" s="12" t="s">
        <v>218</v>
      </c>
      <c r="B85" s="192" t="n">
        <f aca="false">SUM(B81:B84)</f>
        <v>0</v>
      </c>
      <c r="C85" s="192" t="n">
        <f aca="false">SUM(C81:C84)</f>
        <v>0</v>
      </c>
      <c r="D85" s="192" t="n">
        <f aca="false">SUM(D81:D84)</f>
        <v>0</v>
      </c>
      <c r="E85" s="192" t="n">
        <f aca="false">SUM(E81:E84)</f>
        <v>0</v>
      </c>
      <c r="F85" s="192" t="n">
        <f aca="false">SUM(F81:F84)</f>
        <v>0</v>
      </c>
      <c r="G85" s="192" t="n">
        <f aca="false">SUM(G81:G84)</f>
        <v>0</v>
      </c>
      <c r="H85" s="192" t="n">
        <f aca="false">SUM(H81:H84)</f>
        <v>0</v>
      </c>
      <c r="I85" s="192" t="n">
        <f aca="false">SUM(I81:I84)</f>
        <v>0</v>
      </c>
      <c r="J85" s="192" t="n">
        <f aca="false">SUM(J81:J84)</f>
        <v>0</v>
      </c>
      <c r="K85" s="192" t="n">
        <f aca="false">SUM(K81:K84)</f>
        <v>0</v>
      </c>
      <c r="L85" s="192" t="n">
        <f aca="false">SUM(L81:L84)</f>
        <v>0</v>
      </c>
      <c r="M85" s="192" t="n">
        <f aca="false">SUM(M81:M84)</f>
        <v>0</v>
      </c>
      <c r="N85" s="192" t="n">
        <f aca="false">SUM(N81:N84)</f>
        <v>0</v>
      </c>
      <c r="O85" s="192" t="n">
        <f aca="false">SUM(O81:O84)</f>
        <v>0</v>
      </c>
      <c r="P85" s="192" t="n">
        <f aca="false">SUM(P81:P84)</f>
        <v>0</v>
      </c>
      <c r="Q85" s="192" t="n">
        <f aca="false">SUM(Q81:Q84)</f>
        <v>0</v>
      </c>
      <c r="R85" s="192" t="n">
        <f aca="false">SUM(R81:R84)</f>
        <v>0</v>
      </c>
      <c r="S85" s="192" t="n">
        <f aca="false">SUM(S81:S84)</f>
        <v>0</v>
      </c>
      <c r="T85" s="192" t="n">
        <f aca="false">SUM(T81:T84)</f>
        <v>0</v>
      </c>
      <c r="U85" s="192" t="n">
        <f aca="false">SUM(U81:U84)</f>
        <v>0</v>
      </c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  <c r="AH85" s="92"/>
      <c r="AI85" s="92"/>
      <c r="AJ85" s="92"/>
      <c r="AK85" s="92"/>
      <c r="AL85" s="92"/>
      <c r="AM85" s="92"/>
      <c r="AN85" s="92"/>
      <c r="AO85" s="92"/>
      <c r="AP85" s="92"/>
      <c r="AQ85" s="92"/>
      <c r="AR85" s="92"/>
      <c r="AS85" s="92"/>
    </row>
    <row r="86" customFormat="false" ht="12.75" hidden="false" customHeight="true" outlineLevel="0" collapsed="false">
      <c r="A86" s="12"/>
      <c r="B86" s="167"/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7"/>
      <c r="U86" s="167"/>
      <c r="V86" s="92"/>
      <c r="W86" s="92"/>
      <c r="X86" s="92"/>
      <c r="Y86" s="92"/>
      <c r="Z86" s="92"/>
      <c r="AA86" s="92"/>
      <c r="AB86" s="92"/>
      <c r="AC86" s="92"/>
      <c r="AD86" s="92"/>
      <c r="AE86" s="92"/>
      <c r="AF86" s="92"/>
      <c r="AG86" s="92"/>
      <c r="AH86" s="92"/>
      <c r="AI86" s="92"/>
      <c r="AJ86" s="92"/>
      <c r="AK86" s="92"/>
      <c r="AL86" s="92"/>
      <c r="AM86" s="92"/>
      <c r="AN86" s="92"/>
      <c r="AO86" s="92"/>
      <c r="AP86" s="92"/>
      <c r="AQ86" s="92"/>
      <c r="AR86" s="92"/>
      <c r="AS86" s="92"/>
    </row>
    <row r="87" customFormat="false" ht="13.5" hidden="false" customHeight="true" outlineLevel="0" collapsed="false">
      <c r="A87" s="40" t="s">
        <v>178</v>
      </c>
      <c r="B87" s="299" t="n">
        <f aca="false">IF(B79&lt;0,0,B79+B84)</f>
        <v>401.598197589118</v>
      </c>
      <c r="C87" s="299" t="n">
        <f aca="false">IF(C79&lt;0,0,C79+C84)</f>
        <v>43.6119990309808</v>
      </c>
      <c r="D87" s="299" t="n">
        <f aca="false">IF(D79&lt;0,0,D79+D84)</f>
        <v>226.130007826434</v>
      </c>
      <c r="E87" s="299" t="n">
        <f aca="false">IF(E79&lt;0,0,E79+E84)</f>
        <v>404.60927916901</v>
      </c>
      <c r="F87" s="299" t="n">
        <f aca="false">IF(F79&lt;0,0,F79+F84)</f>
        <v>586.188385709755</v>
      </c>
      <c r="G87" s="299" t="n">
        <f aca="false">IF(G79&lt;0,0,G79+G84)</f>
        <v>701.918768759974</v>
      </c>
      <c r="H87" s="299" t="n">
        <f aca="false">IF(H79&lt;0,0,H79+H84)</f>
        <v>780.362635433394</v>
      </c>
      <c r="I87" s="299" t="n">
        <f aca="false">IF(I79&lt;0,0,I79+I84)</f>
        <v>828.53456982626</v>
      </c>
      <c r="J87" s="299" t="n">
        <f aca="false">IF(J79&lt;0,0,J79+J84)</f>
        <v>887.166787962471</v>
      </c>
      <c r="K87" s="299" t="n">
        <f aca="false">IF(K79&lt;0,0,K79+K84)</f>
        <v>948.122403405467</v>
      </c>
      <c r="L87" s="299" t="n">
        <f aca="false">IF(L79&lt;0,0,L79+L84)</f>
        <v>987.671681423458</v>
      </c>
      <c r="M87" s="299" t="n">
        <f aca="false">IF(M79&lt;0,0,M79+M84)</f>
        <v>1033.52049538272</v>
      </c>
      <c r="N87" s="299" t="n">
        <f aca="false">IF(N79&lt;0,0,N79+N84)</f>
        <v>1085.28997201776</v>
      </c>
      <c r="O87" s="299" t="n">
        <f aca="false">IF(O79&lt;0,0,O79+O84)</f>
        <v>1136.53252796531</v>
      </c>
      <c r="P87" s="299" t="n">
        <f aca="false">IF(P79&lt;0,0,P79+P84)</f>
        <v>1192.41760183165</v>
      </c>
      <c r="Q87" s="299" t="n">
        <f aca="false">IF(Q79&lt;0,0,Q79+Q84)</f>
        <v>1254.78183792509</v>
      </c>
      <c r="R87" s="299" t="n">
        <f aca="false">IF(R79&lt;0,0,R79+R84)</f>
        <v>1898.46365628834</v>
      </c>
      <c r="S87" s="299" t="n">
        <f aca="false">IF(S79&lt;0,0,S79+S84)</f>
        <v>1968.9803668577</v>
      </c>
      <c r="T87" s="299" t="n">
        <f aca="false">IF(T79&lt;0,0,T79+T84)</f>
        <v>2043.86806178807</v>
      </c>
      <c r="U87" s="299" t="n">
        <f aca="false">IF(U79&lt;0,0,U79+U84)</f>
        <v>2123.49545503839</v>
      </c>
      <c r="V87" s="92"/>
      <c r="W87" s="165" t="n">
        <f aca="false">SUM(B87:U87)</f>
        <v>20533.2646912314</v>
      </c>
      <c r="X87" s="92"/>
      <c r="Y87" s="92"/>
      <c r="Z87" s="92"/>
      <c r="AA87" s="92"/>
      <c r="AB87" s="92"/>
      <c r="AC87" s="92"/>
      <c r="AD87" s="92"/>
      <c r="AE87" s="92"/>
      <c r="AF87" s="92"/>
      <c r="AG87" s="92"/>
      <c r="AH87" s="92"/>
      <c r="AI87" s="92"/>
      <c r="AJ87" s="92"/>
      <c r="AK87" s="92"/>
      <c r="AL87" s="92"/>
      <c r="AM87" s="92"/>
      <c r="AN87" s="92"/>
      <c r="AO87" s="92"/>
      <c r="AP87" s="92"/>
      <c r="AQ87" s="92"/>
      <c r="AR87" s="92"/>
      <c r="AS87" s="92"/>
    </row>
    <row r="88" customFormat="false" ht="13.5" hidden="false" customHeight="true" outlineLevel="0" collapsed="false">
      <c r="A88" s="344"/>
      <c r="B88" s="230"/>
      <c r="C88" s="230"/>
      <c r="D88" s="167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7"/>
      <c r="Q88" s="167"/>
      <c r="R88" s="167"/>
      <c r="S88" s="167"/>
      <c r="T88" s="167"/>
      <c r="U88" s="167"/>
      <c r="V88" s="92"/>
      <c r="W88" s="92"/>
      <c r="X88" s="92"/>
      <c r="Y88" s="92"/>
      <c r="Z88" s="92"/>
      <c r="AA88" s="92"/>
      <c r="AB88" s="92"/>
      <c r="AC88" s="92"/>
      <c r="AD88" s="92"/>
      <c r="AE88" s="92"/>
      <c r="AF88" s="92"/>
      <c r="AG88" s="92"/>
      <c r="AH88" s="92"/>
      <c r="AI88" s="92"/>
      <c r="AJ88" s="92"/>
      <c r="AK88" s="92"/>
      <c r="AL88" s="92"/>
      <c r="AM88" s="92"/>
      <c r="AN88" s="92"/>
      <c r="AO88" s="92"/>
      <c r="AP88" s="92"/>
      <c r="AQ88" s="92"/>
      <c r="AR88" s="92"/>
      <c r="AS88" s="92"/>
    </row>
    <row r="89" customFormat="false" ht="13.5" hidden="false" customHeight="true" outlineLevel="0" collapsed="false">
      <c r="A89" s="40" t="s">
        <v>230</v>
      </c>
      <c r="B89" s="299" t="n">
        <f aca="false">B69+B87</f>
        <v>852.673491507615</v>
      </c>
      <c r="C89" s="299" t="n">
        <f aca="false">C69+C87</f>
        <v>556.411307231779</v>
      </c>
      <c r="D89" s="299" t="n">
        <f aca="false">D69+D87</f>
        <v>806.700177862827</v>
      </c>
      <c r="E89" s="299" t="n">
        <f aca="false">E69+E87</f>
        <v>1057.28109775249</v>
      </c>
      <c r="F89" s="299" t="n">
        <f aca="false">F69+F87</f>
        <v>1319.20977233077</v>
      </c>
      <c r="G89" s="299" t="n">
        <f aca="false">G69+G87</f>
        <v>1470.70494862103</v>
      </c>
      <c r="H89" s="299" t="n">
        <f aca="false">H69+H87</f>
        <v>1584.05599969503</v>
      </c>
      <c r="I89" s="299" t="n">
        <f aca="false">I69+I87</f>
        <v>1669.36273446343</v>
      </c>
      <c r="J89" s="299" t="n">
        <f aca="false">J69+J87</f>
        <v>1771.55662302386</v>
      </c>
      <c r="K89" s="299" t="n">
        <f aca="false">K69+K87</f>
        <v>1879.30582008026</v>
      </c>
      <c r="L89" s="299" t="n">
        <f aca="false">L69+L87</f>
        <v>1947.99854709981</v>
      </c>
      <c r="M89" s="299" t="n">
        <f aca="false">M69+M87</f>
        <v>2029.22691488478</v>
      </c>
      <c r="N89" s="299" t="n">
        <f aca="false">N69+N87</f>
        <v>2119.37287947648</v>
      </c>
      <c r="O89" s="299" t="n">
        <f aca="false">O69+O87</f>
        <v>2210.07026097421</v>
      </c>
      <c r="P89" s="299" t="n">
        <f aca="false">P69+P87</f>
        <v>2307.44138514975</v>
      </c>
      <c r="Q89" s="299" t="n">
        <f aca="false">Q69+Q87</f>
        <v>2416.92526629156</v>
      </c>
      <c r="R89" s="299" t="n">
        <f aca="false">R69+R87</f>
        <v>3111.3901018739</v>
      </c>
      <c r="S89" s="299" t="n">
        <f aca="false">S69+S87</f>
        <v>3235.18610487344</v>
      </c>
      <c r="T89" s="299" t="n">
        <f aca="false">T69+T87</f>
        <v>3366.65561375121</v>
      </c>
      <c r="U89" s="299" t="n">
        <f aca="false">U69+U87</f>
        <v>3506.44592634621</v>
      </c>
      <c r="V89" s="92"/>
      <c r="W89" s="165" t="n">
        <f aca="false">SUM(B89:U89)</f>
        <v>39217.9749732904</v>
      </c>
      <c r="X89" s="92"/>
      <c r="Y89" s="92"/>
      <c r="Z89" s="92"/>
      <c r="AA89" s="92"/>
      <c r="AB89" s="92"/>
      <c r="AC89" s="92"/>
      <c r="AD89" s="92"/>
      <c r="AE89" s="92"/>
      <c r="AF89" s="92"/>
      <c r="AG89" s="92"/>
      <c r="AH89" s="92"/>
      <c r="AI89" s="92"/>
      <c r="AJ89" s="92"/>
      <c r="AK89" s="92"/>
      <c r="AL89" s="92"/>
      <c r="AM89" s="92"/>
      <c r="AN89" s="92"/>
      <c r="AO89" s="92"/>
      <c r="AP89" s="92"/>
      <c r="AQ89" s="92"/>
      <c r="AR89" s="92"/>
      <c r="AS89" s="92"/>
    </row>
    <row r="90" customFormat="false" ht="13.5" hidden="false" customHeight="true" outlineLevel="0" collapsed="false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92"/>
      <c r="W90" s="92"/>
      <c r="X90" s="92"/>
      <c r="Y90" s="92"/>
      <c r="Z90" s="92"/>
      <c r="AA90" s="92"/>
      <c r="AB90" s="92"/>
      <c r="AC90" s="92"/>
      <c r="AD90" s="92"/>
      <c r="AE90" s="92"/>
      <c r="AF90" s="92"/>
      <c r="AG90" s="92"/>
      <c r="AH90" s="92"/>
      <c r="AI90" s="92"/>
      <c r="AJ90" s="92"/>
      <c r="AK90" s="92"/>
      <c r="AL90" s="92"/>
      <c r="AM90" s="92"/>
      <c r="AN90" s="92"/>
      <c r="AO90" s="92"/>
      <c r="AP90" s="92"/>
      <c r="AQ90" s="92"/>
      <c r="AR90" s="92"/>
      <c r="AS90" s="9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&amp;L&amp;12Enron's Generation&amp;RCONFIDENTIAL</oddHeader>
    <oddFooter>&amp;L&amp;D&amp;C&amp;F&amp;RPage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79"/>
  <sheetViews>
    <sheetView showFormulas="false" showGridLines="true" showRowColHeaders="true" showZeros="true" rightToLeft="false" tabSelected="false" showOutlineSymbols="true" defaultGridColor="true" view="normal" topLeftCell="A66" colorId="64" zoomScale="100" zoomScaleNormal="100" zoomScalePageLayoutView="100" workbookViewId="0">
      <selection pane="topLeft" activeCell="A66" activeCellId="0" sqref="A6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5.28"/>
    <col collapsed="false" customWidth="true" hidden="false" outlineLevel="0" max="21" min="2" style="0" width="10.71"/>
    <col collapsed="false" customWidth="true" hidden="false" outlineLevel="0" max="23" min="23" style="0" width="11.42"/>
  </cols>
  <sheetData>
    <row r="1" customFormat="false" ht="12.75" hidden="false" customHeight="true" outlineLevel="0" collapsed="false">
      <c r="A1" s="4"/>
      <c r="B1" s="4"/>
      <c r="C1" s="4"/>
      <c r="D1" s="4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</row>
    <row r="2" customFormat="false" ht="18" hidden="false" customHeight="true" outlineLevel="0" collapsed="false">
      <c r="A2" s="144" t="s">
        <v>231</v>
      </c>
      <c r="B2" s="300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</row>
    <row r="3" customFormat="false" ht="12.75" hidden="false" customHeight="tru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</row>
    <row r="4" customFormat="false" ht="12.75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</row>
    <row r="5" customFormat="false" ht="13.5" hidden="false" customHeight="true" outlineLevel="0" collapsed="false">
      <c r="A5" s="149" t="s">
        <v>100</v>
      </c>
      <c r="B5" s="150" t="n">
        <v>2001</v>
      </c>
      <c r="C5" s="150" t="n">
        <v>2002</v>
      </c>
      <c r="D5" s="150" t="n">
        <v>2003</v>
      </c>
      <c r="E5" s="150" t="n">
        <v>2004</v>
      </c>
      <c r="F5" s="150" t="n">
        <v>2005</v>
      </c>
      <c r="G5" s="150" t="n">
        <v>2006</v>
      </c>
      <c r="H5" s="150" t="n">
        <v>2007</v>
      </c>
      <c r="I5" s="150" t="n">
        <v>2008</v>
      </c>
      <c r="J5" s="150" t="n">
        <v>2009</v>
      </c>
      <c r="K5" s="150" t="n">
        <v>2010</v>
      </c>
      <c r="L5" s="150" t="n">
        <v>2011</v>
      </c>
      <c r="M5" s="150" t="n">
        <v>2012</v>
      </c>
      <c r="N5" s="150" t="n">
        <v>2013</v>
      </c>
      <c r="O5" s="150" t="n">
        <v>2014</v>
      </c>
      <c r="P5" s="150" t="n">
        <v>2015</v>
      </c>
      <c r="Q5" s="150" t="n">
        <v>2016</v>
      </c>
      <c r="R5" s="150" t="n">
        <v>2017</v>
      </c>
      <c r="S5" s="150" t="n">
        <v>2018</v>
      </c>
      <c r="T5" s="150" t="n">
        <v>2019</v>
      </c>
      <c r="U5" s="150" t="n">
        <v>2020</v>
      </c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</row>
    <row r="6" customFormat="false" ht="12.75" hidden="false" customHeight="true" outlineLevel="0" collapsed="false">
      <c r="A6" s="154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92"/>
      <c r="W6" s="92"/>
      <c r="X6" s="92"/>
      <c r="Y6" s="152" t="n">
        <f aca="false">SUM(Z6:AS6)-SUM(Z7:AS7)</f>
        <v>0</v>
      </c>
      <c r="Z6" s="153" t="n">
        <f aca="false">B9</f>
        <v>4330.12</v>
      </c>
      <c r="AA6" s="153" t="n">
        <f aca="false">C9</f>
        <v>4460.0236</v>
      </c>
      <c r="AB6" s="153" t="n">
        <f aca="false">D9</f>
        <v>4593.824308</v>
      </c>
      <c r="AC6" s="153" t="n">
        <f aca="false">E9</f>
        <v>4731.63903724</v>
      </c>
      <c r="AD6" s="153" t="n">
        <f aca="false">F9</f>
        <v>4873.5882083572</v>
      </c>
      <c r="AE6" s="153" t="n">
        <f aca="false">G9</f>
        <v>5019.79585460792</v>
      </c>
      <c r="AF6" s="153" t="n">
        <f aca="false">H9</f>
        <v>5170.38973024616</v>
      </c>
      <c r="AG6" s="153" t="n">
        <f aca="false">I9</f>
        <v>5325.50142215354</v>
      </c>
      <c r="AH6" s="153" t="n">
        <f aca="false">J9</f>
        <v>5485.26646481815</v>
      </c>
      <c r="AI6" s="153" t="n">
        <f aca="false">K9</f>
        <v>5649.82445876269</v>
      </c>
      <c r="AJ6" s="153" t="n">
        <f aca="false">L9</f>
        <v>5819.31919252557</v>
      </c>
      <c r="AK6" s="153" t="n">
        <f aca="false">M9</f>
        <v>5993.89876830134</v>
      </c>
      <c r="AL6" s="153" t="n">
        <f aca="false">N9</f>
        <v>6173.71573135038</v>
      </c>
      <c r="AM6" s="153" t="n">
        <f aca="false">O9</f>
        <v>6358.92720329089</v>
      </c>
      <c r="AN6" s="153" t="n">
        <f aca="false">P9</f>
        <v>6549.69501938962</v>
      </c>
      <c r="AO6" s="153" t="n">
        <f aca="false">Q9</f>
        <v>6746.18586997131</v>
      </c>
      <c r="AP6" s="153" t="n">
        <f aca="false">R9</f>
        <v>6948.57144607044</v>
      </c>
      <c r="AQ6" s="153" t="n">
        <f aca="false">S9</f>
        <v>7157.02858945256</v>
      </c>
      <c r="AR6" s="153" t="n">
        <f aca="false">T9</f>
        <v>7371.73944713614</v>
      </c>
      <c r="AS6" s="153" t="n">
        <f aca="false">U9</f>
        <v>7592.89163055022</v>
      </c>
    </row>
    <row r="7" customFormat="false" ht="12.75" hidden="false" customHeight="true" outlineLevel="0" collapsed="false">
      <c r="A7" s="158" t="s">
        <v>101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301"/>
      <c r="W7" s="301"/>
      <c r="X7" s="301"/>
      <c r="Y7" s="302" t="n">
        <v>0</v>
      </c>
      <c r="Z7" s="303" t="n">
        <f aca="false">B15+1/3*B16</f>
        <v>4330.12</v>
      </c>
      <c r="AA7" s="303" t="n">
        <f aca="false">C15+1/3*C16</f>
        <v>4460.0236</v>
      </c>
      <c r="AB7" s="303" t="n">
        <f aca="false">D15+1/3*D16</f>
        <v>4593.824308</v>
      </c>
      <c r="AC7" s="303" t="n">
        <f aca="false">E15+1/3*E16</f>
        <v>4731.63903724</v>
      </c>
      <c r="AD7" s="303" t="n">
        <f aca="false">F15+1/3*F16</f>
        <v>4873.5882083572</v>
      </c>
      <c r="AE7" s="303" t="n">
        <f aca="false">G15+1/3*G16</f>
        <v>5019.79585460792</v>
      </c>
      <c r="AF7" s="303" t="n">
        <f aca="false">H15+1/3*H16</f>
        <v>5170.38973024616</v>
      </c>
      <c r="AG7" s="303" t="n">
        <f aca="false">I15+1/3*I16</f>
        <v>5325.50142215354</v>
      </c>
      <c r="AH7" s="303" t="n">
        <f aca="false">J15+1/3*J16</f>
        <v>5485.26646481815</v>
      </c>
      <c r="AI7" s="303" t="n">
        <f aca="false">K15+1/3*K16</f>
        <v>5649.82445876269</v>
      </c>
      <c r="AJ7" s="303" t="n">
        <f aca="false">L15+1/3*L16</f>
        <v>5819.31919252557</v>
      </c>
      <c r="AK7" s="303" t="n">
        <f aca="false">M15+1/3*M16</f>
        <v>5993.89876830134</v>
      </c>
      <c r="AL7" s="303" t="n">
        <f aca="false">N15+1/3*N16</f>
        <v>6173.71573135038</v>
      </c>
      <c r="AM7" s="303" t="n">
        <f aca="false">O15+1/3*O16</f>
        <v>6358.92720329089</v>
      </c>
      <c r="AN7" s="303" t="n">
        <f aca="false">P15+1/3*P16</f>
        <v>6549.69501938962</v>
      </c>
      <c r="AO7" s="303" t="n">
        <f aca="false">Q15+1/3*Q16</f>
        <v>6746.18586997131</v>
      </c>
      <c r="AP7" s="303" t="n">
        <f aca="false">R15+1/3*R16</f>
        <v>6948.57144607044</v>
      </c>
      <c r="AQ7" s="303" t="n">
        <f aca="false">S15+1/3*S16</f>
        <v>7157.02858945256</v>
      </c>
      <c r="AR7" s="303" t="n">
        <f aca="false">T15+1/3*T16</f>
        <v>7371.73944713614</v>
      </c>
      <c r="AS7" s="303" t="n">
        <f aca="false">U15+1/3*U16</f>
        <v>7592.89163055022</v>
      </c>
    </row>
    <row r="8" customFormat="false" ht="12.75" hidden="false" customHeight="true" outlineLevel="0" collapsed="false">
      <c r="A8" s="164" t="s">
        <v>103</v>
      </c>
      <c r="B8" s="167" t="n">
        <f aca="false">'Power Curves'!C44*Assumptions!$E$9*12</f>
        <v>42593.4319763109</v>
      </c>
      <c r="C8" s="167" t="n">
        <f aca="false">'Power Curves'!D44*Assumptions!$E$9*12</f>
        <v>44590.8193006927</v>
      </c>
      <c r="D8" s="167" t="n">
        <f aca="false">'Power Curves'!E44*Assumptions!$E$9*12</f>
        <v>46681.8726185972</v>
      </c>
      <c r="E8" s="167" t="n">
        <f aca="false">'Power Curves'!F44*Assumptions!$E$9*12</f>
        <v>48870.9843271501</v>
      </c>
      <c r="F8" s="167" t="n">
        <f aca="false">'Power Curves'!G44*Assumptions!$E$9*12</f>
        <v>51162.7528016746</v>
      </c>
      <c r="G8" s="167" t="n">
        <f aca="false">'Power Curves'!H44*Assumptions!$E$9*12</f>
        <v>52194.0624036452</v>
      </c>
      <c r="H8" s="167" t="n">
        <f aca="false">'Power Curves'!I44*Assumptions!$E$9*12</f>
        <v>53246.1605566002</v>
      </c>
      <c r="I8" s="167" t="n">
        <f aca="false">'Power Curves'!J44*Assumptions!$E$9*12</f>
        <v>54319.4663042982</v>
      </c>
      <c r="J8" s="167" t="n">
        <f aca="false">'Power Curves'!K44*Assumptions!$E$9*12</f>
        <v>55414.4071373432</v>
      </c>
      <c r="K8" s="167" t="n">
        <f aca="false">'Power Curves'!L44*Assumptions!$E$9*12</f>
        <v>56531.419163451</v>
      </c>
      <c r="L8" s="167" t="n">
        <f aca="false">'Power Curves'!M44*Assumptions!$E$9*12</f>
        <v>57643.0224536355</v>
      </c>
      <c r="M8" s="167" t="n">
        <f aca="false">'Power Curves'!N44*Assumptions!$E$9*12</f>
        <v>58776.48371047</v>
      </c>
      <c r="N8" s="167" t="n">
        <f aca="false">'Power Curves'!O44*Assumptions!$E$9*12</f>
        <v>59932.2327372037</v>
      </c>
      <c r="O8" s="167" t="n">
        <f aca="false">'Power Curves'!P44*Assumptions!$E$9*12</f>
        <v>61110.707788505</v>
      </c>
      <c r="P8" s="167" t="n">
        <f aca="false">'Power Curves'!Q44*Assumptions!$E$9*12</f>
        <v>62312.355736645</v>
      </c>
      <c r="Q8" s="167" t="n">
        <f aca="false">'Power Curves'!R44*Assumptions!$E$9*12</f>
        <v>63270.9780887808</v>
      </c>
      <c r="R8" s="167" t="n">
        <f aca="false">'Power Curves'!S44*Assumptions!$E$9*12</f>
        <v>64244.3480267389</v>
      </c>
      <c r="S8" s="167" t="n">
        <f aca="false">'Power Curves'!T44*Assumptions!$E$9*12</f>
        <v>65232.6924295264</v>
      </c>
      <c r="T8" s="167" t="n">
        <f aca="false">'Power Curves'!U44*Assumptions!$E$9*12</f>
        <v>66236.2416664905</v>
      </c>
      <c r="U8" s="167" t="n">
        <f aca="false">'Power Curves'!V44*Assumptions!$E$9*12</f>
        <v>67255.2296510135</v>
      </c>
      <c r="V8" s="304"/>
      <c r="W8" s="159" t="n">
        <f aca="false">SUM(B8:U8)</f>
        <v>1131619.66887877</v>
      </c>
      <c r="X8" s="2"/>
      <c r="Y8" s="152"/>
      <c r="Z8" s="156" t="n">
        <f aca="false">Z6-Z7</f>
        <v>0</v>
      </c>
      <c r="AA8" s="156" t="n">
        <f aca="false">AA6-AA7</f>
        <v>0</v>
      </c>
      <c r="AB8" s="156" t="n">
        <f aca="false">AB6-AB7</f>
        <v>0</v>
      </c>
      <c r="AC8" s="156" t="n">
        <f aca="false">AC6-AC7</f>
        <v>0</v>
      </c>
      <c r="AD8" s="156" t="n">
        <f aca="false">AD6-AD7</f>
        <v>0</v>
      </c>
      <c r="AE8" s="156" t="n">
        <f aca="false">AE6-AE7</f>
        <v>0</v>
      </c>
      <c r="AF8" s="156" t="n">
        <f aca="false">AF6-AF7</f>
        <v>0</v>
      </c>
      <c r="AG8" s="156" t="n">
        <f aca="false">AG6-AG7</f>
        <v>0</v>
      </c>
      <c r="AH8" s="156" t="n">
        <f aca="false">AH6-AH7</f>
        <v>0</v>
      </c>
      <c r="AI8" s="156" t="n">
        <f aca="false">AI6-AI7</f>
        <v>0</v>
      </c>
      <c r="AJ8" s="156" t="n">
        <f aca="false">AJ6-AJ7</f>
        <v>0</v>
      </c>
      <c r="AK8" s="156" t="n">
        <f aca="false">AK6-AK7</f>
        <v>0</v>
      </c>
      <c r="AL8" s="156" t="n">
        <f aca="false">AL6-AL7</f>
        <v>0</v>
      </c>
      <c r="AM8" s="156" t="n">
        <f aca="false">AM6-AM7</f>
        <v>0</v>
      </c>
      <c r="AN8" s="156" t="n">
        <f aca="false">AN6-AN7</f>
        <v>0</v>
      </c>
      <c r="AO8" s="156" t="n">
        <f aca="false">AO6-AO7</f>
        <v>0</v>
      </c>
      <c r="AP8" s="156" t="n">
        <f aca="false">AP6-AP7</f>
        <v>0</v>
      </c>
      <c r="AQ8" s="156" t="n">
        <f aca="false">AQ6-AQ7</f>
        <v>0</v>
      </c>
      <c r="AR8" s="156" t="n">
        <f aca="false">AR6-AR7</f>
        <v>0</v>
      </c>
      <c r="AS8" s="156" t="n">
        <f aca="false">AS6-AS7</f>
        <v>0</v>
      </c>
    </row>
    <row r="9" customFormat="false" ht="12.75" hidden="false" customHeight="true" outlineLevel="0" collapsed="false">
      <c r="A9" s="164" t="s">
        <v>104</v>
      </c>
      <c r="B9" s="148" t="n">
        <f aca="false">1/3*Assumptions!$E$17*Assumptions!$E$11*Assumptions!$E$8/1000*(1+Assumptions!$E$24)^(B5-2000)+Assumptions!$E$18*Assumptions!$E$16*(1+Assumptions!$E$24)^(B5-2000)/1000</f>
        <v>4330.12</v>
      </c>
      <c r="C9" s="148" t="n">
        <f aca="false">1/3*Assumptions!$E$17*Assumptions!$E$11*Assumptions!$E$8/1000*(1+Assumptions!$E$24)^(C5-2000)+Assumptions!$E$18*Assumptions!$E$16*(1+Assumptions!$E$24)^(C5-2000)/1000</f>
        <v>4460.0236</v>
      </c>
      <c r="D9" s="148" t="n">
        <f aca="false">1/3*Assumptions!$E$17*Assumptions!$E$11*Assumptions!$E$8/1000*(1+Assumptions!$E$24)^(D5-2000)+Assumptions!$E$18*Assumptions!$E$16*(1+Assumptions!$E$24)^(D5-2000)/1000</f>
        <v>4593.824308</v>
      </c>
      <c r="E9" s="148" t="n">
        <f aca="false">1/3*Assumptions!$E$17*Assumptions!$E$11*Assumptions!$E$8/1000*(1+Assumptions!$E$24)^(E5-2000)+Assumptions!$E$18*Assumptions!$E$16*(1+Assumptions!$E$24)^(E5-2000)/1000</f>
        <v>4731.63903724</v>
      </c>
      <c r="F9" s="148" t="n">
        <f aca="false">1/3*Assumptions!$E$17*Assumptions!$E$11*Assumptions!$E$8/1000*(1+Assumptions!$E$24)^(F5-2000)+Assumptions!$E$18*Assumptions!$E$16*(1+Assumptions!$E$24)^(F5-2000)/1000</f>
        <v>4873.5882083572</v>
      </c>
      <c r="G9" s="148" t="n">
        <f aca="false">1/3*Assumptions!$E$17*Assumptions!$E$11*Assumptions!$E$8/1000*(1+Assumptions!$E$24)^(G5-2000)+Assumptions!$E$18*Assumptions!$E$16*(1+Assumptions!$E$24)^(G5-2000)/1000</f>
        <v>5019.79585460792</v>
      </c>
      <c r="H9" s="148" t="n">
        <f aca="false">1/3*Assumptions!$E$17*Assumptions!$E$11*Assumptions!$E$8/1000*(1+Assumptions!$E$24)^(H5-2000)+Assumptions!$E$18*Assumptions!$E$16*(1+Assumptions!$E$24)^(H5-2000)/1000</f>
        <v>5170.38973024616</v>
      </c>
      <c r="I9" s="148" t="n">
        <f aca="false">1/3*Assumptions!$E$17*Assumptions!$E$11*Assumptions!$E$8/1000*(1+Assumptions!$E$24)^(I5-2000)+Assumptions!$E$18*Assumptions!$E$16*(1+Assumptions!$E$24)^(I5-2000)/1000</f>
        <v>5325.50142215354</v>
      </c>
      <c r="J9" s="148" t="n">
        <f aca="false">1/3*Assumptions!$E$17*Assumptions!$E$11*Assumptions!$E$8/1000*(1+Assumptions!$E$24)^(J5-2000)+Assumptions!$E$18*Assumptions!$E$16*(1+Assumptions!$E$24)^(J5-2000)/1000</f>
        <v>5485.26646481815</v>
      </c>
      <c r="K9" s="148" t="n">
        <f aca="false">1/3*Assumptions!$E$17*Assumptions!$E$11*Assumptions!$E$8/1000*(1+Assumptions!$E$24)^(K5-2000)+Assumptions!$E$18*Assumptions!$E$16*(1+Assumptions!$E$24)^(K5-2000)/1000</f>
        <v>5649.82445876269</v>
      </c>
      <c r="L9" s="148" t="n">
        <f aca="false">1/3*Assumptions!$E$17*Assumptions!$E$11*Assumptions!$E$8/1000*(1+Assumptions!$E$24)^(L5-2000)+Assumptions!$E$18*Assumptions!$E$16*(1+Assumptions!$E$24)^(L5-2000)/1000</f>
        <v>5819.31919252557</v>
      </c>
      <c r="M9" s="148" t="n">
        <f aca="false">1/3*Assumptions!$E$17*Assumptions!$E$11*Assumptions!$E$8/1000*(1+Assumptions!$E$24)^(M5-2000)+Assumptions!$E$18*Assumptions!$E$16*(1+Assumptions!$E$24)^(M5-2000)/1000</f>
        <v>5993.89876830134</v>
      </c>
      <c r="N9" s="148" t="n">
        <f aca="false">1/3*Assumptions!$E$17*Assumptions!$E$11*Assumptions!$E$8/1000*(1+Assumptions!$E$24)^(N5-2000)+Assumptions!$E$18*Assumptions!$E$16*(1+Assumptions!$E$24)^(N5-2000)/1000</f>
        <v>6173.71573135038</v>
      </c>
      <c r="O9" s="148" t="n">
        <f aca="false">1/3*Assumptions!$E$17*Assumptions!$E$11*Assumptions!$E$8/1000*(1+Assumptions!$E$24)^(O5-2000)+Assumptions!$E$18*Assumptions!$E$16*(1+Assumptions!$E$24)^(O5-2000)/1000</f>
        <v>6358.92720329089</v>
      </c>
      <c r="P9" s="148" t="n">
        <f aca="false">1/3*Assumptions!$E$17*Assumptions!$E$11*Assumptions!$E$8/1000*(1+Assumptions!$E$24)^(P5-2000)+Assumptions!$E$18*Assumptions!$E$16*(1+Assumptions!$E$24)^(P5-2000)/1000</f>
        <v>6549.69501938962</v>
      </c>
      <c r="Q9" s="148" t="n">
        <f aca="false">1/3*Assumptions!$E$17*Assumptions!$E$11*Assumptions!$E$8/1000*(1+Assumptions!$E$24)^(Q5-2000)+Assumptions!$E$18*Assumptions!$E$16*(1+Assumptions!$E$24)^(Q5-2000)/1000</f>
        <v>6746.18586997131</v>
      </c>
      <c r="R9" s="148" t="n">
        <f aca="false">1/3*Assumptions!$E$17*Assumptions!$E$11*Assumptions!$E$8/1000*(1+Assumptions!$E$24)^(R5-2000)+Assumptions!$E$18*Assumptions!$E$16*(1+Assumptions!$E$24)^(R5-2000)/1000</f>
        <v>6948.57144607044</v>
      </c>
      <c r="S9" s="148" t="n">
        <f aca="false">1/3*Assumptions!$E$17*Assumptions!$E$11*Assumptions!$E$8/1000*(1+Assumptions!$E$24)^(S5-2000)+Assumptions!$E$18*Assumptions!$E$16*(1+Assumptions!$E$24)^(S5-2000)/1000</f>
        <v>7157.02858945256</v>
      </c>
      <c r="T9" s="148" t="n">
        <f aca="false">1/3*Assumptions!$E$17*Assumptions!$E$11*Assumptions!$E$8/1000*(1+Assumptions!$E$24)^(T5-2000)+Assumptions!$E$18*Assumptions!$E$16*(1+Assumptions!$E$24)^(T5-2000)/1000</f>
        <v>7371.73944713614</v>
      </c>
      <c r="U9" s="148" t="n">
        <f aca="false">1/3*Assumptions!$E$17*Assumptions!$E$11*Assumptions!$E$8/1000*(1+Assumptions!$E$24)^(U5-2000)+Assumptions!$E$18*Assumptions!$E$16*(1+Assumptions!$E$24)^(U5-2000)/1000</f>
        <v>7592.89163055022</v>
      </c>
      <c r="V9" s="304"/>
      <c r="W9" s="159" t="n">
        <f aca="false">SUM(B9:U9)</f>
        <v>116351.945982224</v>
      </c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</row>
    <row r="10" customFormat="false" ht="12.75" hidden="false" customHeight="true" outlineLevel="0" collapsed="false">
      <c r="A10" s="164" t="s">
        <v>105</v>
      </c>
      <c r="B10" s="249" t="n">
        <f aca="false">(SUM(B8:B9)-SUM(B14:B19))*'Summary Output'!$B$24/4</f>
        <v>492.651860763767</v>
      </c>
      <c r="C10" s="249" t="n">
        <f aca="false">(SUM(C8:C9)-SUM(C14:C19))*'Summary Output'!$B$24/4</f>
        <v>517.82720260346</v>
      </c>
      <c r="D10" s="249" t="n">
        <f aca="false">(SUM(D8:D9)-SUM(D14:D19))*'Summary Output'!$B$24/4</f>
        <v>542.924307859984</v>
      </c>
      <c r="E10" s="249" t="n">
        <f aca="false">(SUM(E8:E9)-SUM(E14:E19))*'Summary Output'!$B$24/4</f>
        <v>569.217798663095</v>
      </c>
      <c r="F10" s="249" t="n">
        <f aca="false">(SUM(F8:F9)-SUM(F14:F19))*'Summary Output'!$B$24/4</f>
        <v>596.764349374237</v>
      </c>
      <c r="G10" s="249" t="n">
        <f aca="false">(SUM(G8:G9)-SUM(G14:G19))*'Summary Output'!$B$24/4</f>
        <v>608.522935021842</v>
      </c>
      <c r="H10" s="249" t="n">
        <f aca="false">(SUM(H8:H9)-SUM(H14:H19))*'Summary Output'!$B$24/4</f>
        <v>620.667044025441</v>
      </c>
      <c r="I10" s="249" t="n">
        <f aca="false">(SUM(I8:I9)-SUM(I14:I19))*'Summary Output'!$B$24/4</f>
        <v>633.046034426078</v>
      </c>
      <c r="J10" s="249" t="n">
        <f aca="false">(SUM(J8:J9)-SUM(J14:J19))*'Summary Output'!$B$24/4</f>
        <v>645.664343450185</v>
      </c>
      <c r="K10" s="249" t="n">
        <f aca="false">(SUM(K8:K9)-SUM(K14:K19))*'Summary Output'!$B$24/4</f>
        <v>658.526488845909</v>
      </c>
      <c r="L10" s="249" t="n">
        <f aca="false">(SUM(L8:L9)-SUM(L14:L19))*'Summary Output'!$B$24/4</f>
        <v>671.288009894672</v>
      </c>
      <c r="M10" s="249" t="n">
        <f aca="false">(SUM(M8:M9)-SUM(M14:M19))*'Summary Output'!$B$24/4</f>
        <v>684.288749924204</v>
      </c>
      <c r="N10" s="249" t="n">
        <f aca="false">(SUM(N8:N9)-SUM(N14:N19))*'Summary Output'!$B$24/4</f>
        <v>697.533061307049</v>
      </c>
      <c r="O10" s="249" t="n">
        <f aca="false">(SUM(O8:O9)-SUM(O14:O19))*'Summary Output'!$B$24/4</f>
        <v>711.025371453448</v>
      </c>
      <c r="P10" s="249" t="n">
        <f aca="false">(SUM(P8:P9)-SUM(P14:P19))*'Summary Output'!$B$24/4</f>
        <v>724.770183970487</v>
      </c>
      <c r="Q10" s="249" t="n">
        <f aca="false">(SUM(Q8:Q9)-SUM(Q14:Q19))*'Summary Output'!$B$24/4</f>
        <v>735.438902932431</v>
      </c>
      <c r="R10" s="249" t="n">
        <f aca="false">(SUM(R8:R9)-SUM(R14:R19))*'Summary Output'!$B$24/4</f>
        <v>746.25254490396</v>
      </c>
      <c r="S10" s="249" t="n">
        <f aca="false">(SUM(S8:S9)-SUM(S14:S19))*'Summary Output'!$B$24/4</f>
        <v>757.212763218271</v>
      </c>
      <c r="T10" s="249" t="n">
        <f aca="false">(SUM(T8:T9)-SUM(T14:T19))*'Summary Output'!$B$24/4</f>
        <v>768.321219358171</v>
      </c>
      <c r="U10" s="249" t="n">
        <f aca="false">(SUM(U8:U9)-SUM(U14:U19))*'Summary Output'!$B$24/4</f>
        <v>779.579582562893</v>
      </c>
      <c r="V10" s="304"/>
      <c r="W10" s="159" t="n">
        <f aca="false">SUM(B10:U10)</f>
        <v>13161.5227545596</v>
      </c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</row>
    <row r="11" customFormat="false" ht="12.75" hidden="false" customHeight="true" outlineLevel="0" collapsed="false">
      <c r="A11" s="164" t="s">
        <v>106</v>
      </c>
      <c r="B11" s="167" t="n">
        <f aca="false">SUM(B8:B10)</f>
        <v>47416.2038370747</v>
      </c>
      <c r="C11" s="167" t="n">
        <f aca="false">SUM(C8:C10)</f>
        <v>49568.6701032962</v>
      </c>
      <c r="D11" s="167" t="n">
        <f aca="false">SUM(D8:D10)</f>
        <v>51818.6212344572</v>
      </c>
      <c r="E11" s="167" t="n">
        <f aca="false">SUM(E8:E10)</f>
        <v>54171.8411630532</v>
      </c>
      <c r="F11" s="167" t="n">
        <f aca="false">SUM(F8:F10)</f>
        <v>56633.105359406</v>
      </c>
      <c r="G11" s="167" t="n">
        <f aca="false">SUM(G8:G10)</f>
        <v>57822.381193275</v>
      </c>
      <c r="H11" s="167" t="n">
        <f aca="false">SUM(H8:H10)</f>
        <v>59037.2173308718</v>
      </c>
      <c r="I11" s="167" t="n">
        <f aca="false">SUM(I8:I10)</f>
        <v>60278.0137608778</v>
      </c>
      <c r="J11" s="167" t="n">
        <f aca="false">SUM(J8:J10)</f>
        <v>61545.3379456115</v>
      </c>
      <c r="K11" s="167" t="n">
        <f aca="false">SUM(K8:K10)</f>
        <v>62839.7701110596</v>
      </c>
      <c r="L11" s="167" t="n">
        <f aca="false">SUM(L8:L10)</f>
        <v>64133.6296560558</v>
      </c>
      <c r="M11" s="167" t="n">
        <f aca="false">SUM(M8:M10)</f>
        <v>65454.6712286956</v>
      </c>
      <c r="N11" s="167" t="n">
        <f aca="false">SUM(N8:N10)</f>
        <v>66803.4815298612</v>
      </c>
      <c r="O11" s="167" t="n">
        <f aca="false">SUM(O8:O10)</f>
        <v>68180.6603632493</v>
      </c>
      <c r="P11" s="167" t="n">
        <f aca="false">SUM(P8:P10)</f>
        <v>69586.8209400051</v>
      </c>
      <c r="Q11" s="167" t="n">
        <f aca="false">SUM(Q8:Q10)</f>
        <v>70752.6028616846</v>
      </c>
      <c r="R11" s="167" t="n">
        <f aca="false">SUM(R8:R10)</f>
        <v>71939.1720177133</v>
      </c>
      <c r="S11" s="167" t="n">
        <f aca="false">SUM(S8:S10)</f>
        <v>73146.9337821973</v>
      </c>
      <c r="T11" s="167" t="n">
        <f aca="false">SUM(T8:T10)</f>
        <v>74376.3023329848</v>
      </c>
      <c r="U11" s="167" t="n">
        <f aca="false">SUM(U8:U10)</f>
        <v>75627.7008641266</v>
      </c>
      <c r="V11" s="304"/>
      <c r="W11" s="159" t="n">
        <f aca="false">SUM(B11:U11)</f>
        <v>1261133.13761556</v>
      </c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</row>
    <row r="12" customFormat="false" ht="12.75" hidden="false" customHeight="true" outlineLevel="0" collapsed="false">
      <c r="A12" s="306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304"/>
      <c r="W12" s="159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</row>
    <row r="13" customFormat="false" ht="12.75" hidden="false" customHeight="true" outlineLevel="0" collapsed="false">
      <c r="A13" s="158" t="s">
        <v>107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92"/>
      <c r="W13" s="159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</row>
    <row r="14" customFormat="false" ht="12.75" hidden="false" customHeight="true" outlineLevel="0" collapsed="false">
      <c r="A14" s="164" t="s">
        <v>70</v>
      </c>
      <c r="B14" s="148" t="n">
        <f aca="false">Assumptions!E27*(1+Assumptions!$E$24)</f>
        <v>1491.99678857143</v>
      </c>
      <c r="C14" s="159" t="n">
        <f aca="false">B14*(1+Assumptions!$E$24)</f>
        <v>1536.75669222857</v>
      </c>
      <c r="D14" s="159" t="n">
        <f aca="false">C14*(1+Assumptions!$E$24)</f>
        <v>1582.85939299543</v>
      </c>
      <c r="E14" s="159" t="n">
        <f aca="false">D14*(1+Assumptions!$E$24)</f>
        <v>1630.34517478529</v>
      </c>
      <c r="F14" s="159" t="n">
        <f aca="false">E14*(1+Assumptions!$E$24)</f>
        <v>1679.25553002885</v>
      </c>
      <c r="G14" s="159" t="n">
        <f aca="false">F14*(1+Assumptions!$E$24)</f>
        <v>1729.63319592972</v>
      </c>
      <c r="H14" s="159" t="n">
        <f aca="false">G14*(1+Assumptions!$E$24)</f>
        <v>1781.52219180761</v>
      </c>
      <c r="I14" s="159" t="n">
        <f aca="false">H14*(1+Assumptions!$E$24)</f>
        <v>1834.96785756184</v>
      </c>
      <c r="J14" s="159" t="n">
        <f aca="false">I14*(1+Assumptions!$E$24)</f>
        <v>1890.01689328869</v>
      </c>
      <c r="K14" s="159" t="n">
        <f aca="false">J14*(1+Assumptions!$E$24)</f>
        <v>1946.71740008735</v>
      </c>
      <c r="L14" s="159" t="n">
        <f aca="false">K14*(1+Assumptions!$E$24)</f>
        <v>2005.11892208997</v>
      </c>
      <c r="M14" s="159" t="n">
        <f aca="false">L14*(1+Assumptions!$E$24)</f>
        <v>2065.27248975267</v>
      </c>
      <c r="N14" s="159" t="n">
        <f aca="false">M14*(1+Assumptions!$E$24)</f>
        <v>2127.23066444525</v>
      </c>
      <c r="O14" s="159" t="n">
        <f aca="false">N14*(1+Assumptions!$E$24)</f>
        <v>2191.04758437861</v>
      </c>
      <c r="P14" s="159" t="n">
        <f aca="false">O14*(1+Assumptions!$E$24)</f>
        <v>2256.77901190997</v>
      </c>
      <c r="Q14" s="159" t="n">
        <f aca="false">P14*(1+Assumptions!$E$24)</f>
        <v>2324.48238226727</v>
      </c>
      <c r="R14" s="159" t="n">
        <f aca="false">Q14*(1+Assumptions!$E$24)</f>
        <v>2394.21685373528</v>
      </c>
      <c r="S14" s="159" t="n">
        <f aca="false">R14*(1+Assumptions!$E$24)</f>
        <v>2466.04335934734</v>
      </c>
      <c r="T14" s="159" t="n">
        <f aca="false">S14*(1+Assumptions!$E$24)</f>
        <v>2540.02466012776</v>
      </c>
      <c r="U14" s="159" t="n">
        <f aca="false">T14*(1+Assumptions!$E$24)</f>
        <v>2616.2253999316</v>
      </c>
      <c r="V14" s="92"/>
      <c r="W14" s="159" t="n">
        <f aca="false">SUM(B14:U14)</f>
        <v>40090.5124452705</v>
      </c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</row>
    <row r="15" customFormat="false" ht="12.75" hidden="false" customHeight="true" outlineLevel="0" collapsed="false">
      <c r="A15" s="164" t="s">
        <v>71</v>
      </c>
      <c r="B15" s="148" t="n">
        <f aca="false">Assumptions!$E$28*(1+Assumptions!$E$24)</f>
        <v>4124.12</v>
      </c>
      <c r="C15" s="167" t="n">
        <f aca="false">B15*(1+Assumptions!$E$24)</f>
        <v>4247.8436</v>
      </c>
      <c r="D15" s="167" t="n">
        <f aca="false">C15*(1+Assumptions!$E$24)</f>
        <v>4375.278908</v>
      </c>
      <c r="E15" s="148" t="n">
        <f aca="false">Assumptions!$E$18*Assumptions!$E$22*(1+Assumptions!$E$24)^(E5-2000)/1000</f>
        <v>4506.53727524</v>
      </c>
      <c r="F15" s="148" t="n">
        <f aca="false">Assumptions!$E$18*Assumptions!$E$22*(1+Assumptions!$E$24)^(F5-2000)/1000</f>
        <v>4641.7333934972</v>
      </c>
      <c r="G15" s="148" t="n">
        <f aca="false">Assumptions!$E$18*Assumptions!$E$22*(1+Assumptions!$E$24)^(G5-2000)/1000</f>
        <v>4780.98539530212</v>
      </c>
      <c r="H15" s="148" t="n">
        <f aca="false">Assumptions!$E$18*Assumptions!$E$22*(1+Assumptions!$E$24)^(H5-2000)/1000</f>
        <v>4924.41495716118</v>
      </c>
      <c r="I15" s="148" t="n">
        <f aca="false">Assumptions!$E$18*Assumptions!$E$22*(1+Assumptions!$E$24)^(I5-2000)/1000</f>
        <v>5072.14740587602</v>
      </c>
      <c r="J15" s="148" t="n">
        <f aca="false">Assumptions!$E$18*Assumptions!$E$22*(1+Assumptions!$E$24)^(J5-2000)/1000</f>
        <v>5224.3118280523</v>
      </c>
      <c r="K15" s="148" t="n">
        <f aca="false">Assumptions!$E$18*Assumptions!$E$22*(1+Assumptions!$E$24)^(K5-2000)/1000</f>
        <v>5381.04118289387</v>
      </c>
      <c r="L15" s="148" t="n">
        <f aca="false">Assumptions!$E$18*Assumptions!$E$22*(1+Assumptions!$E$24)^(L5-2000)/1000</f>
        <v>5542.47241838068</v>
      </c>
      <c r="M15" s="148" t="n">
        <f aca="false">Assumptions!$E$18*Assumptions!$E$22*(1+Assumptions!$E$24)^(M5-2000)/1000</f>
        <v>5708.7465909321</v>
      </c>
      <c r="N15" s="148" t="n">
        <f aca="false">Assumptions!$E$18*Assumptions!$E$22*(1+Assumptions!$E$24)^(N5-2000)/1000</f>
        <v>5880.00898866007</v>
      </c>
      <c r="O15" s="148" t="n">
        <f aca="false">Assumptions!$E$18*Assumptions!$E$22*(1+Assumptions!$E$24)^(O5-2000)/1000</f>
        <v>6056.40925831987</v>
      </c>
      <c r="P15" s="148" t="n">
        <f aca="false">Assumptions!$E$18*Assumptions!$E$22*(1+Assumptions!$E$24)^(P5-2000)/1000</f>
        <v>6238.10153606946</v>
      </c>
      <c r="Q15" s="148" t="n">
        <f aca="false">Assumptions!$E$18*Assumptions!$E$22*(1+Assumptions!$E$24)^(Q5-2000)/1000</f>
        <v>6425.24458215155</v>
      </c>
      <c r="R15" s="148" t="n">
        <f aca="false">Assumptions!$E$18*Assumptions!$E$22*(1+Assumptions!$E$24)^(R5-2000)/1000</f>
        <v>6618.00191961609</v>
      </c>
      <c r="S15" s="148" t="n">
        <f aca="false">Assumptions!$E$18*Assumptions!$E$22*(1+Assumptions!$E$24)^(S5-2000)/1000</f>
        <v>6816.54197720458</v>
      </c>
      <c r="T15" s="148" t="n">
        <f aca="false">Assumptions!$E$18*Assumptions!$E$22*(1+Assumptions!$E$24)^(T5-2000)/1000</f>
        <v>7021.03823652072</v>
      </c>
      <c r="U15" s="148" t="n">
        <f aca="false">Assumptions!$E$18*Assumptions!$E$22*(1+Assumptions!$E$24)^(U5-2000)/1000</f>
        <v>7231.66938361634</v>
      </c>
      <c r="V15" s="92"/>
      <c r="W15" s="159" t="n">
        <f aca="false">SUM(B15:U15)</f>
        <v>110816.648837494</v>
      </c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</row>
    <row r="16" customFormat="false" ht="12.75" hidden="false" customHeight="true" outlineLevel="0" collapsed="false">
      <c r="A16" s="164" t="s">
        <v>108</v>
      </c>
      <c r="B16" s="148" t="n">
        <f aca="false">Assumptions!$E$23*Assumptions!$E$11*Assumptions!$E$8/1000*(1+Assumptions!$E$24)</f>
        <v>618</v>
      </c>
      <c r="C16" s="159" t="n">
        <f aca="false">B16*(1+Assumptions!$E$24)</f>
        <v>636.54</v>
      </c>
      <c r="D16" s="159" t="n">
        <f aca="false">C16*(1+Assumptions!$E$24)</f>
        <v>655.6362</v>
      </c>
      <c r="E16" s="159" t="n">
        <f aca="false">D16*(1+Assumptions!$E$24)</f>
        <v>675.305286</v>
      </c>
      <c r="F16" s="159" t="n">
        <f aca="false">E16*(1+Assumptions!$E$24)</f>
        <v>695.56444458</v>
      </c>
      <c r="G16" s="159" t="n">
        <f aca="false">F16*(1+Assumptions!$E$24)</f>
        <v>716.4313779174</v>
      </c>
      <c r="H16" s="159" t="n">
        <f aca="false">G16*(1+Assumptions!$E$24)</f>
        <v>737.924319254922</v>
      </c>
      <c r="I16" s="159" t="n">
        <f aca="false">H16*(1+Assumptions!$E$24)</f>
        <v>760.06204883257</v>
      </c>
      <c r="J16" s="159" t="n">
        <f aca="false">I16*(1+Assumptions!$E$24)</f>
        <v>782.863910297547</v>
      </c>
      <c r="K16" s="159" t="n">
        <f aca="false">J16*(1+Assumptions!$E$24)</f>
        <v>806.349827606473</v>
      </c>
      <c r="L16" s="159" t="n">
        <f aca="false">K16*(1+Assumptions!$E$24)</f>
        <v>830.540322434668</v>
      </c>
      <c r="M16" s="159" t="n">
        <f aca="false">L16*(1+Assumptions!$E$24)</f>
        <v>855.456532107708</v>
      </c>
      <c r="N16" s="159" t="n">
        <f aca="false">M16*(1+Assumptions!$E$24)</f>
        <v>881.120228070939</v>
      </c>
      <c r="O16" s="159" t="n">
        <f aca="false">N16*(1+Assumptions!$E$24)</f>
        <v>907.553834913067</v>
      </c>
      <c r="P16" s="159" t="n">
        <f aca="false">O16*(1+Assumptions!$E$24)</f>
        <v>934.780449960459</v>
      </c>
      <c r="Q16" s="159" t="n">
        <f aca="false">P16*(1+Assumptions!$E$24)</f>
        <v>962.823863459273</v>
      </c>
      <c r="R16" s="159" t="n">
        <f aca="false">Q16*(1+Assumptions!$E$24)</f>
        <v>991.708579363051</v>
      </c>
      <c r="S16" s="159" t="n">
        <f aca="false">R16*(1+Assumptions!$E$24)</f>
        <v>1021.45983674394</v>
      </c>
      <c r="T16" s="159" t="n">
        <f aca="false">S16*(1+Assumptions!$E$24)</f>
        <v>1052.10363184626</v>
      </c>
      <c r="U16" s="159" t="n">
        <f aca="false">T16*(1+Assumptions!$E$24)</f>
        <v>1083.66674080165</v>
      </c>
      <c r="V16" s="92"/>
      <c r="W16" s="159" t="n">
        <f aca="false">SUM(B16:U16)</f>
        <v>16605.8914341899</v>
      </c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</row>
    <row r="17" customFormat="false" ht="12.75" hidden="false" customHeight="true" outlineLevel="0" collapsed="false">
      <c r="A17" s="164" t="s">
        <v>73</v>
      </c>
      <c r="B17" s="148" t="n">
        <f aca="false">Assumptions!E30*(1+Assumptions!$E$24)</f>
        <v>412.666557142857</v>
      </c>
      <c r="C17" s="159" t="n">
        <f aca="false">B17*(1+Assumptions!$E$24)</f>
        <v>425.046553857143</v>
      </c>
      <c r="D17" s="159" t="n">
        <f aca="false">C17*(1+Assumptions!$E$24)</f>
        <v>437.797950472857</v>
      </c>
      <c r="E17" s="159" t="n">
        <f aca="false">D17*(1+Assumptions!$E$24)</f>
        <v>450.931888987043</v>
      </c>
      <c r="F17" s="159" t="n">
        <f aca="false">E17*(1+Assumptions!$E$24)</f>
        <v>464.459845656654</v>
      </c>
      <c r="G17" s="159" t="n">
        <f aca="false">F17*(1+Assumptions!$E$24)</f>
        <v>478.393641026354</v>
      </c>
      <c r="H17" s="159" t="n">
        <f aca="false">G17*(1+Assumptions!$E$24)</f>
        <v>492.745450257144</v>
      </c>
      <c r="I17" s="159" t="n">
        <f aca="false">H17*(1+Assumptions!$E$24)</f>
        <v>507.527813764859</v>
      </c>
      <c r="J17" s="159" t="n">
        <f aca="false">I17*(1+Assumptions!$E$24)</f>
        <v>522.753648177805</v>
      </c>
      <c r="K17" s="159" t="n">
        <f aca="false">J17*(1+Assumptions!$E$24)</f>
        <v>538.436257623139</v>
      </c>
      <c r="L17" s="159" t="n">
        <f aca="false">K17*(1+Assumptions!$E$24)</f>
        <v>554.589345351833</v>
      </c>
      <c r="M17" s="159" t="n">
        <f aca="false">L17*(1+Assumptions!$E$24)</f>
        <v>571.227025712388</v>
      </c>
      <c r="N17" s="159" t="n">
        <f aca="false">M17*(1+Assumptions!$E$24)</f>
        <v>588.363836483759</v>
      </c>
      <c r="O17" s="159" t="n">
        <f aca="false">N17*(1+Assumptions!$E$24)</f>
        <v>606.014751578272</v>
      </c>
      <c r="P17" s="159" t="n">
        <f aca="false">O17*(1+Assumptions!$E$24)</f>
        <v>624.19519412562</v>
      </c>
      <c r="Q17" s="159" t="n">
        <f aca="false">P17*(1+Assumptions!$E$24)</f>
        <v>642.921049949389</v>
      </c>
      <c r="R17" s="159" t="n">
        <f aca="false">Q17*(1+Assumptions!$E$24)</f>
        <v>662.208681447871</v>
      </c>
      <c r="S17" s="159" t="n">
        <f aca="false">R17*(1+Assumptions!$E$24)</f>
        <v>682.074941891307</v>
      </c>
      <c r="T17" s="159" t="n">
        <f aca="false">S17*(1+Assumptions!$E$24)</f>
        <v>702.537190148046</v>
      </c>
      <c r="U17" s="159" t="n">
        <f aca="false">T17*(1+Assumptions!$E$24)</f>
        <v>723.613305852487</v>
      </c>
      <c r="V17" s="92"/>
      <c r="W17" s="159" t="n">
        <f aca="false">SUM(B17:U17)</f>
        <v>11088.5049295068</v>
      </c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</row>
    <row r="18" customFormat="false" ht="12.75" hidden="false" customHeight="true" outlineLevel="0" collapsed="false">
      <c r="A18" s="164" t="s">
        <v>191</v>
      </c>
      <c r="B18" s="307" t="n">
        <v>572</v>
      </c>
      <c r="C18" s="307" t="n">
        <v>583.4</v>
      </c>
      <c r="D18" s="307" t="n">
        <v>595.1</v>
      </c>
      <c r="E18" s="307" t="n">
        <v>607</v>
      </c>
      <c r="F18" s="307" t="n">
        <v>619.1</v>
      </c>
      <c r="G18" s="307" t="n">
        <v>631.5</v>
      </c>
      <c r="H18" s="307" t="n">
        <v>631.5</v>
      </c>
      <c r="I18" s="307" t="n">
        <v>631.5</v>
      </c>
      <c r="J18" s="307" t="n">
        <v>631.5</v>
      </c>
      <c r="K18" s="307" t="n">
        <v>631.5</v>
      </c>
      <c r="L18" s="307" t="n">
        <v>631.5</v>
      </c>
      <c r="M18" s="307" t="n">
        <v>631.5</v>
      </c>
      <c r="N18" s="307" t="n">
        <v>631.5</v>
      </c>
      <c r="O18" s="307" t="n">
        <v>631.5</v>
      </c>
      <c r="P18" s="307" t="n">
        <v>631.5</v>
      </c>
      <c r="Q18" s="307" t="n">
        <v>631.5</v>
      </c>
      <c r="R18" s="307" t="n">
        <v>631.5</v>
      </c>
      <c r="S18" s="307" t="n">
        <v>631.5</v>
      </c>
      <c r="T18" s="307" t="n">
        <v>631.5</v>
      </c>
      <c r="U18" s="307" t="n">
        <v>631.5</v>
      </c>
      <c r="V18" s="92"/>
      <c r="W18" s="159" t="n">
        <f aca="false">SUM(B18:U18)</f>
        <v>12449.1</v>
      </c>
      <c r="X18" s="304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  <c r="AJ18" s="304"/>
      <c r="AK18" s="304"/>
      <c r="AL18" s="304"/>
      <c r="AM18" s="304"/>
      <c r="AN18" s="304"/>
      <c r="AO18" s="304"/>
      <c r="AP18" s="304"/>
      <c r="AQ18" s="304"/>
      <c r="AR18" s="304"/>
      <c r="AS18" s="304"/>
    </row>
    <row r="19" customFormat="false" ht="12.75" hidden="false" customHeight="true" outlineLevel="0" collapsed="false">
      <c r="A19" s="345" t="s">
        <v>192</v>
      </c>
      <c r="B19" s="166" t="n">
        <f aca="false">B61</f>
        <v>292.619769495269</v>
      </c>
      <c r="C19" s="166" t="n">
        <f aca="false">C61</f>
        <v>195.07984633018</v>
      </c>
      <c r="D19" s="166" t="n">
        <f aca="false">D61</f>
        <v>195.07984633018</v>
      </c>
      <c r="E19" s="166" t="n">
        <f aca="false">E61</f>
        <v>195.07984633018</v>
      </c>
      <c r="F19" s="166" t="n">
        <f aca="false">F61</f>
        <v>195.07984633018</v>
      </c>
      <c r="G19" s="166" t="n">
        <f aca="false">G61</f>
        <v>195.07984633018</v>
      </c>
      <c r="H19" s="166" t="n">
        <f aca="false">H61</f>
        <v>195.07984633018</v>
      </c>
      <c r="I19" s="166" t="n">
        <f aca="false">I61</f>
        <v>195.07984633018</v>
      </c>
      <c r="J19" s="166" t="n">
        <f aca="false">J61</f>
        <v>195.07984633018</v>
      </c>
      <c r="K19" s="166" t="n">
        <f aca="false">K61</f>
        <v>195.07984633018</v>
      </c>
      <c r="L19" s="166" t="n">
        <f aca="false">L61</f>
        <v>195.07984633018</v>
      </c>
      <c r="M19" s="166" t="n">
        <f aca="false">M61</f>
        <v>195.07984633018</v>
      </c>
      <c r="N19" s="166" t="n">
        <f aca="false">N61</f>
        <v>195.07984633018</v>
      </c>
      <c r="O19" s="166" t="n">
        <f aca="false">O61</f>
        <v>195.07984633018</v>
      </c>
      <c r="P19" s="166" t="n">
        <f aca="false">P61</f>
        <v>195.07984633018</v>
      </c>
      <c r="Q19" s="166" t="n">
        <f aca="false">Q61</f>
        <v>195.07984633018</v>
      </c>
      <c r="R19" s="166" t="n">
        <f aca="false">R61</f>
        <v>195.07984633018</v>
      </c>
      <c r="S19" s="166" t="n">
        <f aca="false">S61</f>
        <v>195.07984633018</v>
      </c>
      <c r="T19" s="166" t="n">
        <f aca="false">T61</f>
        <v>195.07984633018</v>
      </c>
      <c r="U19" s="166" t="n">
        <f aca="false">U61</f>
        <v>195.07984633018</v>
      </c>
      <c r="V19" s="159"/>
      <c r="W19" s="159" t="n">
        <f aca="false">SUM(B19:U19)</f>
        <v>3999.13684976868</v>
      </c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</row>
    <row r="20" customFormat="false" ht="12.75" hidden="false" customHeight="true" outlineLevel="0" collapsed="false">
      <c r="A20" s="164" t="s">
        <v>111</v>
      </c>
      <c r="B20" s="148" t="n">
        <f aca="false">SUM(B14:B19)</f>
        <v>7511.40311520956</v>
      </c>
      <c r="C20" s="148" t="n">
        <f aca="false">SUM(C14:C19)</f>
        <v>7624.66669241589</v>
      </c>
      <c r="D20" s="148" t="n">
        <f aca="false">SUM(D14:D19)</f>
        <v>7841.75229779847</v>
      </c>
      <c r="E20" s="148" t="n">
        <f aca="false">SUM(E14:E19)</f>
        <v>8065.19947134252</v>
      </c>
      <c r="F20" s="148" t="n">
        <f aca="false">SUM(F14:F19)</f>
        <v>8295.19306009288</v>
      </c>
      <c r="G20" s="148" t="n">
        <f aca="false">SUM(G14:G19)</f>
        <v>8532.02345650577</v>
      </c>
      <c r="H20" s="148" t="n">
        <f aca="false">SUM(H14:H19)</f>
        <v>8763.18676481104</v>
      </c>
      <c r="I20" s="148" t="n">
        <f aca="false">SUM(I14:I19)</f>
        <v>9001.28497236546</v>
      </c>
      <c r="J20" s="148" t="n">
        <f aca="false">SUM(J14:J19)</f>
        <v>9246.52612614652</v>
      </c>
      <c r="K20" s="148" t="n">
        <f aca="false">SUM(K14:K19)</f>
        <v>9499.12451454101</v>
      </c>
      <c r="L20" s="148" t="n">
        <f aca="false">SUM(L14:L19)</f>
        <v>9759.30085458733</v>
      </c>
      <c r="M20" s="148" t="n">
        <f aca="false">SUM(M14:M19)</f>
        <v>10027.282484835</v>
      </c>
      <c r="N20" s="148" t="n">
        <f aca="false">SUM(N14:N19)</f>
        <v>10303.3035639902</v>
      </c>
      <c r="O20" s="148" t="n">
        <f aca="false">SUM(O14:O19)</f>
        <v>10587.60527552</v>
      </c>
      <c r="P20" s="148" t="n">
        <f aca="false">SUM(P14:P19)</f>
        <v>10880.4360383957</v>
      </c>
      <c r="Q20" s="148" t="n">
        <f aca="false">SUM(Q14:Q19)</f>
        <v>11182.0517241577</v>
      </c>
      <c r="R20" s="148" t="n">
        <f aca="false">SUM(R14:R19)</f>
        <v>11492.7158804925</v>
      </c>
      <c r="S20" s="148" t="n">
        <f aca="false">SUM(S14:S19)</f>
        <v>11812.6999615174</v>
      </c>
      <c r="T20" s="148" t="n">
        <f aca="false">SUM(T14:T19)</f>
        <v>12142.283564973</v>
      </c>
      <c r="U20" s="148" t="n">
        <f aca="false">SUM(U14:U19)</f>
        <v>12481.7546765323</v>
      </c>
      <c r="V20" s="92"/>
      <c r="W20" s="159" t="n">
        <f aca="false">SUM(B20:U20)</f>
        <v>195049.79449623</v>
      </c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</row>
    <row r="21" customFormat="false" ht="12.75" hidden="false" customHeight="true" outlineLevel="0" collapsed="false">
      <c r="A21" s="170"/>
      <c r="B21" s="308"/>
      <c r="C21" s="308"/>
      <c r="D21" s="308"/>
      <c r="E21" s="308"/>
      <c r="F21" s="308"/>
      <c r="G21" s="308"/>
      <c r="H21" s="308"/>
      <c r="I21" s="308"/>
      <c r="J21" s="308"/>
      <c r="K21" s="308"/>
      <c r="L21" s="308"/>
      <c r="M21" s="308"/>
      <c r="N21" s="308"/>
      <c r="O21" s="308"/>
      <c r="P21" s="308"/>
      <c r="Q21" s="308"/>
      <c r="R21" s="308"/>
      <c r="S21" s="308"/>
      <c r="T21" s="308"/>
      <c r="U21" s="308"/>
      <c r="V21" s="304"/>
      <c r="W21" s="159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</row>
    <row r="22" customFormat="false" ht="12.75" hidden="false" customHeight="true" outlineLevel="0" collapsed="false">
      <c r="A22" s="158" t="s">
        <v>112</v>
      </c>
      <c r="B22" s="155" t="n">
        <f aca="false">B11-B20</f>
        <v>39904.8007218651</v>
      </c>
      <c r="C22" s="155" t="n">
        <f aca="false">C11-C20</f>
        <v>41944.0034108803</v>
      </c>
      <c r="D22" s="155" t="n">
        <f aca="false">D11-D20</f>
        <v>43976.8689366587</v>
      </c>
      <c r="E22" s="155" t="n">
        <f aca="false">E11-E20</f>
        <v>46106.6416917107</v>
      </c>
      <c r="F22" s="155" t="n">
        <f aca="false">F11-F20</f>
        <v>48337.9122993132</v>
      </c>
      <c r="G22" s="155" t="n">
        <f aca="false">G11-G20</f>
        <v>49290.3577367692</v>
      </c>
      <c r="H22" s="155" t="n">
        <f aca="false">H11-H20</f>
        <v>50274.0305660607</v>
      </c>
      <c r="I22" s="155" t="n">
        <f aca="false">I11-I20</f>
        <v>51276.7287885123</v>
      </c>
      <c r="J22" s="155" t="n">
        <f aca="false">J11-J20</f>
        <v>52298.811819465</v>
      </c>
      <c r="K22" s="155" t="n">
        <f aca="false">K11-K20</f>
        <v>53340.6455965186</v>
      </c>
      <c r="L22" s="155" t="n">
        <f aca="false">L11-L20</f>
        <v>54374.3288014684</v>
      </c>
      <c r="M22" s="155" t="n">
        <f aca="false">M11-M20</f>
        <v>55427.3887438605</v>
      </c>
      <c r="N22" s="155" t="n">
        <f aca="false">N11-N20</f>
        <v>56500.177965871</v>
      </c>
      <c r="O22" s="155" t="n">
        <f aca="false">O11-O20</f>
        <v>57593.0550877293</v>
      </c>
      <c r="P22" s="155" t="n">
        <f aca="false">P11-P20</f>
        <v>58706.3849016095</v>
      </c>
      <c r="Q22" s="155" t="n">
        <f aca="false">Q11-Q20</f>
        <v>59570.5511375269</v>
      </c>
      <c r="R22" s="155" t="n">
        <f aca="false">R11-R20</f>
        <v>60446.4561372208</v>
      </c>
      <c r="S22" s="155" t="n">
        <f aca="false">S11-S20</f>
        <v>61334.2338206799</v>
      </c>
      <c r="T22" s="155" t="n">
        <f aca="false">T11-T20</f>
        <v>62234.0187680118</v>
      </c>
      <c r="U22" s="155" t="n">
        <f aca="false">U11-U20</f>
        <v>63145.9461875943</v>
      </c>
      <c r="V22" s="281"/>
      <c r="W22" s="159" t="n">
        <f aca="false">SUM(B22:U22)</f>
        <v>1066083.34311933</v>
      </c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</row>
    <row r="23" customFormat="false" ht="12.75" hidden="false" customHeight="true" outlineLevel="0" collapsed="false">
      <c r="A23" s="158"/>
      <c r="B23" s="309"/>
      <c r="C23" s="310"/>
      <c r="D23" s="309"/>
      <c r="E23" s="309"/>
      <c r="F23" s="309"/>
      <c r="G23" s="309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281"/>
      <c r="W23" s="159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</row>
    <row r="24" customFormat="false" ht="12.75" hidden="false" customHeight="true" outlineLevel="0" collapsed="false">
      <c r="A24" s="164" t="s">
        <v>113</v>
      </c>
      <c r="B24" s="148" t="n">
        <f aca="false">Depreciation!C29</f>
        <v>10487.1953063655</v>
      </c>
      <c r="C24" s="148" t="n">
        <f aca="false">Depreciation!D29</f>
        <v>10487.1953063655</v>
      </c>
      <c r="D24" s="148" t="n">
        <f aca="false">Depreciation!E29</f>
        <v>10487.1953063655</v>
      </c>
      <c r="E24" s="148" t="n">
        <f aca="false">Depreciation!F29</f>
        <v>10487.1953063655</v>
      </c>
      <c r="F24" s="148" t="n">
        <f aca="false">Depreciation!G29</f>
        <v>10487.1953063655</v>
      </c>
      <c r="G24" s="148" t="n">
        <f aca="false">Depreciation!H29</f>
        <v>10487.1953063655</v>
      </c>
      <c r="H24" s="148" t="n">
        <f aca="false">Depreciation!I29</f>
        <v>10487.1953063655</v>
      </c>
      <c r="I24" s="148" t="n">
        <f aca="false">Depreciation!J29</f>
        <v>10487.1953063655</v>
      </c>
      <c r="J24" s="148" t="n">
        <f aca="false">Depreciation!K29</f>
        <v>10487.1953063655</v>
      </c>
      <c r="K24" s="148" t="n">
        <f aca="false">Depreciation!L29</f>
        <v>10487.1953063655</v>
      </c>
      <c r="L24" s="148" t="n">
        <f aca="false">Depreciation!M29</f>
        <v>10487.1953063655</v>
      </c>
      <c r="M24" s="148" t="n">
        <f aca="false">Depreciation!N29</f>
        <v>10487.1953063655</v>
      </c>
      <c r="N24" s="148" t="n">
        <f aca="false">Depreciation!O29</f>
        <v>10487.1953063655</v>
      </c>
      <c r="O24" s="148" t="n">
        <f aca="false">Depreciation!P29</f>
        <v>10487.1953063655</v>
      </c>
      <c r="P24" s="148" t="n">
        <f aca="false">Depreciation!Q29</f>
        <v>10487.1953063655</v>
      </c>
      <c r="Q24" s="148" t="n">
        <f aca="false">Depreciation!R29</f>
        <v>10487.1953063655</v>
      </c>
      <c r="R24" s="148" t="n">
        <f aca="false">Depreciation!S29</f>
        <v>10487.1953063655</v>
      </c>
      <c r="S24" s="148" t="n">
        <f aca="false">Depreciation!T29</f>
        <v>10487.1953063655</v>
      </c>
      <c r="T24" s="148" t="n">
        <f aca="false">Depreciation!U29</f>
        <v>10487.1953063655</v>
      </c>
      <c r="U24" s="148" t="n">
        <f aca="false">Depreciation!V29</f>
        <v>10487.1953063655</v>
      </c>
      <c r="V24" s="92"/>
      <c r="W24" s="159" t="n">
        <f aca="false">SUM(B24:U24)</f>
        <v>209743.906127311</v>
      </c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</row>
    <row r="25" customFormat="false" ht="12.75" hidden="false" customHeight="true" outlineLevel="0" collapsed="false">
      <c r="A25" s="164"/>
      <c r="B25" s="148"/>
      <c r="C25" s="159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92"/>
      <c r="W25" s="159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</row>
    <row r="26" customFormat="false" ht="12.75" hidden="false" customHeight="true" outlineLevel="0" collapsed="false">
      <c r="A26" s="158" t="s">
        <v>114</v>
      </c>
      <c r="B26" s="309" t="n">
        <f aca="false">B22-B24</f>
        <v>29417.6054154996</v>
      </c>
      <c r="C26" s="309" t="n">
        <f aca="false">C22-C24</f>
        <v>31456.8081045148</v>
      </c>
      <c r="D26" s="309" t="n">
        <f aca="false">D22-D24</f>
        <v>33489.6736302932</v>
      </c>
      <c r="E26" s="309" t="n">
        <f aca="false">E22-E24</f>
        <v>35619.4463853451</v>
      </c>
      <c r="F26" s="309" t="n">
        <f aca="false">F22-F24</f>
        <v>37850.7169929476</v>
      </c>
      <c r="G26" s="309" t="n">
        <f aca="false">G22-G24</f>
        <v>38803.1624304037</v>
      </c>
      <c r="H26" s="309" t="n">
        <f aca="false">H22-H24</f>
        <v>39786.8352596952</v>
      </c>
      <c r="I26" s="309" t="n">
        <f aca="false">I22-I24</f>
        <v>40789.5334821468</v>
      </c>
      <c r="J26" s="309" t="n">
        <f aca="false">J22-J24</f>
        <v>41811.6165130995</v>
      </c>
      <c r="K26" s="309" t="n">
        <f aca="false">K22-K24</f>
        <v>42853.4502901531</v>
      </c>
      <c r="L26" s="309" t="n">
        <f aca="false">L22-L24</f>
        <v>43887.1334951029</v>
      </c>
      <c r="M26" s="309" t="n">
        <f aca="false">M22-M24</f>
        <v>44940.193437495</v>
      </c>
      <c r="N26" s="309" t="n">
        <f aca="false">N22-N24</f>
        <v>46012.9826595055</v>
      </c>
      <c r="O26" s="309" t="n">
        <f aca="false">O22-O24</f>
        <v>47105.8597813638</v>
      </c>
      <c r="P26" s="309" t="n">
        <f aca="false">P22-P24</f>
        <v>48219.1895952439</v>
      </c>
      <c r="Q26" s="309" t="n">
        <f aca="false">Q22-Q24</f>
        <v>49083.3558311614</v>
      </c>
      <c r="R26" s="309" t="n">
        <f aca="false">R22-R24</f>
        <v>49959.2608308552</v>
      </c>
      <c r="S26" s="309" t="n">
        <f aca="false">S22-S24</f>
        <v>50847.0385143144</v>
      </c>
      <c r="T26" s="309" t="n">
        <f aca="false">T22-T24</f>
        <v>51746.8234616463</v>
      </c>
      <c r="U26" s="309" t="n">
        <f aca="false">U22-U24</f>
        <v>52658.7508812288</v>
      </c>
      <c r="V26" s="281"/>
      <c r="W26" s="159" t="n">
        <f aca="false">SUM(B26:U26)</f>
        <v>856339.436992016</v>
      </c>
      <c r="X26" s="304"/>
      <c r="Y26" s="304"/>
      <c r="Z26" s="304"/>
      <c r="AA26" s="304"/>
      <c r="AB26" s="304"/>
      <c r="AC26" s="304"/>
      <c r="AD26" s="304"/>
      <c r="AE26" s="304"/>
      <c r="AF26" s="304"/>
      <c r="AG26" s="304"/>
      <c r="AH26" s="304"/>
      <c r="AI26" s="304"/>
      <c r="AJ26" s="304"/>
      <c r="AK26" s="304"/>
      <c r="AL26" s="304"/>
      <c r="AM26" s="304"/>
      <c r="AN26" s="304"/>
      <c r="AO26" s="304"/>
      <c r="AP26" s="304"/>
      <c r="AQ26" s="304"/>
      <c r="AR26" s="304"/>
      <c r="AS26" s="304"/>
    </row>
    <row r="27" customFormat="false" ht="12.75" hidden="false" customHeight="true" outlineLevel="0" collapsed="false">
      <c r="A27" s="158"/>
      <c r="B27" s="309"/>
      <c r="C27" s="309"/>
      <c r="D27" s="309"/>
      <c r="E27" s="309"/>
      <c r="F27" s="309"/>
      <c r="G27" s="309"/>
      <c r="H27" s="309"/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09"/>
      <c r="T27" s="309"/>
      <c r="U27" s="309"/>
      <c r="V27" s="281"/>
      <c r="W27" s="159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4"/>
      <c r="AP27" s="304"/>
      <c r="AQ27" s="304"/>
      <c r="AR27" s="304"/>
      <c r="AS27" s="304"/>
    </row>
    <row r="28" customFormat="false" ht="12.75" hidden="false" customHeight="true" outlineLevel="0" collapsed="false">
      <c r="A28" s="4" t="s">
        <v>115</v>
      </c>
      <c r="B28" s="148" t="n">
        <f aca="false">IS!B33*Allocation!$E$8</f>
        <v>15365.039590816</v>
      </c>
      <c r="C28" s="148" t="n">
        <f aca="false">IS!C33*Allocation!$E$8</f>
        <v>15094.3249907433</v>
      </c>
      <c r="D28" s="148" t="n">
        <f aca="false">IS!D33*Allocation!$E$8</f>
        <v>14738.6074663412</v>
      </c>
      <c r="E28" s="148" t="n">
        <f aca="false">IS!E33*Allocation!$E$8</f>
        <v>14370.7182467734</v>
      </c>
      <c r="F28" s="148" t="n">
        <f aca="false">IS!F33*Allocation!$E$8</f>
        <v>13859.807841659</v>
      </c>
      <c r="G28" s="148" t="n">
        <f aca="false">IS!G33*Allocation!$E$8</f>
        <v>13332.1722489803</v>
      </c>
      <c r="H28" s="148" t="n">
        <f aca="false">IS!H33*Allocation!$E$8</f>
        <v>12790.9114354496</v>
      </c>
      <c r="I28" s="148" t="n">
        <f aca="false">IS!I33*Allocation!$E$8</f>
        <v>12263.5008204781</v>
      </c>
      <c r="J28" s="148" t="n">
        <f aca="false">IS!J33*Allocation!$E$8</f>
        <v>11642.27602775</v>
      </c>
      <c r="K28" s="148" t="n">
        <f aca="false">IS!K33*Allocation!$E$8</f>
        <v>11020.7934720222</v>
      </c>
      <c r="L28" s="148" t="n">
        <f aca="false">IS!L33*Allocation!$E$8</f>
        <v>10356.46086011</v>
      </c>
      <c r="M28" s="148" t="n">
        <f aca="false">IS!M33*Allocation!$E$8</f>
        <v>9664.31000471319</v>
      </c>
      <c r="N28" s="148" t="n">
        <f aca="false">IS!N33*Allocation!$E$8</f>
        <v>8864.03907865978</v>
      </c>
      <c r="O28" s="148" t="n">
        <f aca="false">IS!O33*Allocation!$E$8</f>
        <v>8029.04805090333</v>
      </c>
      <c r="P28" s="148" t="n">
        <f aca="false">IS!P33*Allocation!$E$8</f>
        <v>7122.93709412225</v>
      </c>
      <c r="Q28" s="148" t="n">
        <f aca="false">IS!Q33*Allocation!$E$8</f>
        <v>6154.27223174585</v>
      </c>
      <c r="R28" s="148" t="n">
        <f aca="false">IS!R33*Allocation!$E$8</f>
        <v>5056.22809097012</v>
      </c>
      <c r="S28" s="148" t="n">
        <f aca="false">IS!S33*Allocation!$E$8</f>
        <v>3873.51654341464</v>
      </c>
      <c r="T28" s="148" t="n">
        <f aca="false">IS!T33*Allocation!$E$8</f>
        <v>2575.42343094776</v>
      </c>
      <c r="U28" s="148" t="n">
        <f aca="false">IS!U33*Allocation!$E$8</f>
        <v>1151.40284736641</v>
      </c>
      <c r="V28" s="92"/>
      <c r="W28" s="159" t="n">
        <f aca="false">SUM(B28:U28)</f>
        <v>197325.790373966</v>
      </c>
      <c r="X28" s="281"/>
      <c r="Y28" s="281"/>
      <c r="Z28" s="281"/>
      <c r="AA28" s="281"/>
      <c r="AB28" s="281"/>
      <c r="AC28" s="281"/>
      <c r="AD28" s="281"/>
      <c r="AE28" s="281"/>
      <c r="AF28" s="281"/>
      <c r="AG28" s="281"/>
      <c r="AH28" s="281"/>
      <c r="AI28" s="281"/>
      <c r="AJ28" s="281"/>
      <c r="AK28" s="281"/>
      <c r="AL28" s="281"/>
      <c r="AM28" s="281"/>
      <c r="AN28" s="281"/>
      <c r="AO28" s="281"/>
      <c r="AP28" s="281"/>
      <c r="AQ28" s="281"/>
      <c r="AR28" s="281"/>
      <c r="AS28" s="281"/>
    </row>
    <row r="29" customFormat="false" ht="12.75" hidden="false" customHeight="true" outlineLevel="0" collapsed="false">
      <c r="A29" s="4"/>
      <c r="B29" s="248"/>
      <c r="C29" s="248"/>
      <c r="D29" s="248"/>
      <c r="E29" s="248"/>
      <c r="F29" s="248"/>
      <c r="G29" s="248"/>
      <c r="H29" s="248"/>
      <c r="I29" s="248"/>
      <c r="J29" s="248"/>
      <c r="K29" s="248"/>
      <c r="L29" s="248"/>
      <c r="M29" s="248"/>
      <c r="N29" s="248"/>
      <c r="O29" s="248"/>
      <c r="P29" s="248"/>
      <c r="Q29" s="248"/>
      <c r="R29" s="248"/>
      <c r="S29" s="248"/>
      <c r="T29" s="248"/>
      <c r="U29" s="248"/>
      <c r="V29" s="92"/>
      <c r="W29" s="159"/>
      <c r="X29" s="281"/>
      <c r="Y29" s="281"/>
      <c r="Z29" s="281"/>
      <c r="AA29" s="281"/>
      <c r="AB29" s="281"/>
      <c r="AC29" s="281"/>
      <c r="AD29" s="281"/>
      <c r="AE29" s="281"/>
      <c r="AF29" s="281"/>
      <c r="AG29" s="281"/>
      <c r="AH29" s="281"/>
      <c r="AI29" s="281"/>
      <c r="AJ29" s="281"/>
      <c r="AK29" s="281"/>
      <c r="AL29" s="281"/>
      <c r="AM29" s="281"/>
      <c r="AN29" s="281"/>
      <c r="AO29" s="281"/>
      <c r="AP29" s="281"/>
      <c r="AQ29" s="281"/>
      <c r="AR29" s="281"/>
      <c r="AS29" s="281"/>
    </row>
    <row r="30" customFormat="false" ht="12.75" hidden="false" customHeight="true" outlineLevel="0" collapsed="false">
      <c r="A30" s="158" t="s">
        <v>116</v>
      </c>
      <c r="B30" s="309" t="n">
        <f aca="false">B26-B28</f>
        <v>14052.5658246836</v>
      </c>
      <c r="C30" s="309" t="n">
        <f aca="false">C26-C28</f>
        <v>16362.4831137714</v>
      </c>
      <c r="D30" s="309" t="n">
        <f aca="false">D26-D28</f>
        <v>18751.066163952</v>
      </c>
      <c r="E30" s="309" t="n">
        <f aca="false">E26-E28</f>
        <v>21248.7281385718</v>
      </c>
      <c r="F30" s="309" t="n">
        <f aca="false">F26-F28</f>
        <v>23990.9091512886</v>
      </c>
      <c r="G30" s="309" t="n">
        <f aca="false">G26-G28</f>
        <v>25470.9901814234</v>
      </c>
      <c r="H30" s="309" t="n">
        <f aca="false">H26-H28</f>
        <v>26995.9238242456</v>
      </c>
      <c r="I30" s="309" t="n">
        <f aca="false">I26-I28</f>
        <v>28526.0326616687</v>
      </c>
      <c r="J30" s="309" t="n">
        <f aca="false">J26-J28</f>
        <v>30169.3404853495</v>
      </c>
      <c r="K30" s="309" t="n">
        <f aca="false">K26-K28</f>
        <v>31832.6568181309</v>
      </c>
      <c r="L30" s="309" t="n">
        <f aca="false">L26-L28</f>
        <v>33530.672634993</v>
      </c>
      <c r="M30" s="309" t="n">
        <f aca="false">M26-M28</f>
        <v>35275.8834327818</v>
      </c>
      <c r="N30" s="309" t="n">
        <f aca="false">N26-N28</f>
        <v>37148.9435808457</v>
      </c>
      <c r="O30" s="309" t="n">
        <f aca="false">O26-O28</f>
        <v>39076.8117304605</v>
      </c>
      <c r="P30" s="309" t="n">
        <f aca="false">P26-P28</f>
        <v>41096.2525011217</v>
      </c>
      <c r="Q30" s="309" t="n">
        <f aca="false">Q26-Q28</f>
        <v>42929.0835994155</v>
      </c>
      <c r="R30" s="309" t="n">
        <f aca="false">R26-R28</f>
        <v>44903.0327398851</v>
      </c>
      <c r="S30" s="309" t="n">
        <f aca="false">S26-S28</f>
        <v>46973.5219708998</v>
      </c>
      <c r="T30" s="309" t="n">
        <f aca="false">T26-T28</f>
        <v>49171.4000306985</v>
      </c>
      <c r="U30" s="309" t="n">
        <f aca="false">U26-U28</f>
        <v>51507.3480338624</v>
      </c>
      <c r="V30" s="281"/>
      <c r="W30" s="159" t="n">
        <f aca="false">SUM(B30:U30)</f>
        <v>659013.646618049</v>
      </c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</row>
    <row r="31" customFormat="false" ht="12.75" hidden="false" customHeight="true" outlineLevel="0" collapsed="false">
      <c r="A31" s="158"/>
      <c r="B31" s="309"/>
      <c r="C31" s="309"/>
      <c r="D31" s="309"/>
      <c r="E31" s="309"/>
      <c r="F31" s="309"/>
      <c r="G31" s="309"/>
      <c r="H31" s="309"/>
      <c r="I31" s="309"/>
      <c r="J31" s="309"/>
      <c r="K31" s="309"/>
      <c r="L31" s="309"/>
      <c r="M31" s="309"/>
      <c r="N31" s="309"/>
      <c r="O31" s="309"/>
      <c r="P31" s="309"/>
      <c r="Q31" s="309"/>
      <c r="R31" s="309"/>
      <c r="S31" s="309"/>
      <c r="T31" s="309"/>
      <c r="U31" s="309"/>
      <c r="V31" s="281"/>
      <c r="W31" s="159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</row>
    <row r="32" customFormat="false" ht="12.75" hidden="false" customHeight="true" outlineLevel="0" collapsed="false">
      <c r="A32" s="164" t="s">
        <v>193</v>
      </c>
      <c r="B32" s="148" t="n">
        <f aca="false">B30*-Assumptions!$E$37</f>
        <v>-1008.97422621228</v>
      </c>
      <c r="C32" s="148" t="n">
        <f aca="false">C30*-Assumptions!$E$37</f>
        <v>-1174.82628756879</v>
      </c>
      <c r="D32" s="148" t="n">
        <f aca="false">D30*-Assumptions!$E$37</f>
        <v>-1346.32655057175</v>
      </c>
      <c r="E32" s="148" t="n">
        <f aca="false">E30*-Assumptions!$E$37</f>
        <v>-1525.65868034946</v>
      </c>
      <c r="F32" s="148" t="n">
        <f aca="false">F30*-Assumptions!$E$37</f>
        <v>-1722.54727706252</v>
      </c>
      <c r="G32" s="148" t="n">
        <f aca="false">G30*-Assumptions!$E$37</f>
        <v>-1828.8170950262</v>
      </c>
      <c r="H32" s="148" t="n">
        <f aca="false">H30*-Assumptions!$E$37</f>
        <v>-1938.30733058083</v>
      </c>
      <c r="I32" s="148" t="n">
        <f aca="false">I30*-Assumptions!$E$37</f>
        <v>-2048.16914510781</v>
      </c>
      <c r="J32" s="148" t="n">
        <f aca="false">J30*-Assumptions!$E$37</f>
        <v>-2166.15864684809</v>
      </c>
      <c r="K32" s="148" t="n">
        <f aca="false">K30*-Assumptions!$E$37</f>
        <v>-2285.5847595418</v>
      </c>
      <c r="L32" s="148" t="n">
        <f aca="false">L30*-Assumptions!$E$37</f>
        <v>-2407.50229519249</v>
      </c>
      <c r="M32" s="148" t="n">
        <f aca="false">M30*-Assumptions!$E$37</f>
        <v>-2532.80843047373</v>
      </c>
      <c r="N32" s="148" t="n">
        <f aca="false">N30*-Assumptions!$E$37</f>
        <v>-2667.29414910472</v>
      </c>
      <c r="O32" s="148" t="n">
        <f aca="false">O30*-Assumptions!$E$37</f>
        <v>-2805.71508224706</v>
      </c>
      <c r="P32" s="148" t="n">
        <f aca="false">P30*-Assumptions!$E$37</f>
        <v>-2950.71092958054</v>
      </c>
      <c r="Q32" s="148" t="n">
        <f aca="false">Q30*-Assumptions!$E$37</f>
        <v>-3082.30820243804</v>
      </c>
      <c r="R32" s="148" t="n">
        <f aca="false">R30*-Assumptions!$E$37</f>
        <v>-3224.03775072375</v>
      </c>
      <c r="S32" s="148" t="n">
        <f aca="false">S30*-Assumptions!$E$37</f>
        <v>-3372.6988775106</v>
      </c>
      <c r="T32" s="148" t="n">
        <f aca="false">T30*-Assumptions!$E$37</f>
        <v>-3530.50652220416</v>
      </c>
      <c r="U32" s="148" t="n">
        <f aca="false">U30*-Assumptions!$E$37</f>
        <v>-3698.22758883132</v>
      </c>
      <c r="V32" s="92"/>
      <c r="W32" s="159" t="n">
        <f aca="false">SUM(B32:U32)</f>
        <v>-47317.179827176</v>
      </c>
      <c r="X32" s="281"/>
      <c r="Y32" s="281"/>
      <c r="Z32" s="281"/>
      <c r="AA32" s="281"/>
      <c r="AB32" s="281"/>
      <c r="AC32" s="281"/>
      <c r="AD32" s="281"/>
      <c r="AE32" s="281"/>
      <c r="AF32" s="281"/>
      <c r="AG32" s="281"/>
      <c r="AH32" s="281"/>
      <c r="AI32" s="281"/>
      <c r="AJ32" s="281"/>
      <c r="AK32" s="281"/>
      <c r="AL32" s="281"/>
      <c r="AM32" s="281"/>
      <c r="AN32" s="281"/>
      <c r="AO32" s="281"/>
      <c r="AP32" s="281"/>
      <c r="AQ32" s="281"/>
      <c r="AR32" s="281"/>
      <c r="AS32" s="281"/>
    </row>
    <row r="33" customFormat="false" ht="12.75" hidden="false" customHeight="true" outlineLevel="0" collapsed="false">
      <c r="A33" s="164" t="s">
        <v>194</v>
      </c>
      <c r="B33" s="311" t="n">
        <f aca="false">(B30+B32)*-Assumptions!$E$36</f>
        <v>-4565.25705946496</v>
      </c>
      <c r="C33" s="311" t="n">
        <f aca="false">(C30+C32)*-Assumptions!$E$36</f>
        <v>-5315.67988917093</v>
      </c>
      <c r="D33" s="311" t="n">
        <f aca="false">(D30+D32)*-Assumptions!$E$36</f>
        <v>-6091.65886468308</v>
      </c>
      <c r="E33" s="311" t="n">
        <f aca="false">(E30+E32)*-Assumptions!$E$36</f>
        <v>-6903.07431037782</v>
      </c>
      <c r="F33" s="311" t="n">
        <f aca="false">(F30+F32)*-Assumptions!$E$36</f>
        <v>-7793.92665597914</v>
      </c>
      <c r="G33" s="311" t="n">
        <f aca="false">(G30+G32)*-Assumptions!$E$36</f>
        <v>-8274.76058023903</v>
      </c>
      <c r="H33" s="311" t="n">
        <f aca="false">(H30+H32)*-Assumptions!$E$36</f>
        <v>-8770.16577278265</v>
      </c>
      <c r="I33" s="311" t="n">
        <f aca="false">(I30+I32)*-Assumptions!$E$36</f>
        <v>-9267.25223079632</v>
      </c>
      <c r="J33" s="311" t="n">
        <f aca="false">(J30+J32)*-Assumptions!$E$36</f>
        <v>-9801.11364347548</v>
      </c>
      <c r="K33" s="311" t="n">
        <f aca="false">(K30+K32)*-Assumptions!$E$36</f>
        <v>-10341.4752205062</v>
      </c>
      <c r="L33" s="311" t="n">
        <f aca="false">(L30+L32)*-Assumptions!$E$36</f>
        <v>-10893.1096189302</v>
      </c>
      <c r="M33" s="311" t="n">
        <f aca="false">(M30+M32)*-Assumptions!$E$36</f>
        <v>-11460.0762508078</v>
      </c>
      <c r="N33" s="311" t="n">
        <f aca="false">(N30+N32)*-Assumptions!$E$36</f>
        <v>-12068.5773011093</v>
      </c>
      <c r="O33" s="311" t="n">
        <f aca="false">(O30+O32)*-Assumptions!$E$36</f>
        <v>-12694.8838268747</v>
      </c>
      <c r="P33" s="311" t="n">
        <f aca="false">(P30+P32)*-Assumptions!$E$36</f>
        <v>-13350.9395500394</v>
      </c>
      <c r="Q33" s="311" t="n">
        <f aca="false">(Q30+Q32)*-Assumptions!$E$36</f>
        <v>-13946.3713889421</v>
      </c>
      <c r="R33" s="311" t="n">
        <f aca="false">(R30+R32)*-Assumptions!$E$36</f>
        <v>-14587.6482462065</v>
      </c>
      <c r="S33" s="311" t="n">
        <f aca="false">(S30+S32)*-Assumptions!$E$36</f>
        <v>-15260.2880826862</v>
      </c>
      <c r="T33" s="311" t="n">
        <f aca="false">(T30+T32)*-Assumptions!$E$36</f>
        <v>-15974.312727973</v>
      </c>
      <c r="U33" s="311" t="n">
        <f aca="false">(U30+U32)*-Assumptions!$E$36</f>
        <v>-16733.1921557609</v>
      </c>
      <c r="V33" s="92"/>
      <c r="W33" s="159" t="n">
        <f aca="false">SUM(B33:U33)</f>
        <v>-214093.763376806</v>
      </c>
      <c r="X33" s="281"/>
      <c r="Y33" s="281"/>
      <c r="Z33" s="281"/>
      <c r="AA33" s="281"/>
      <c r="AB33" s="281"/>
      <c r="AC33" s="281"/>
      <c r="AD33" s="281"/>
      <c r="AE33" s="281"/>
      <c r="AF33" s="281"/>
      <c r="AG33" s="281"/>
      <c r="AH33" s="281"/>
      <c r="AI33" s="281"/>
      <c r="AJ33" s="281"/>
      <c r="AK33" s="281"/>
      <c r="AL33" s="281"/>
      <c r="AM33" s="281"/>
      <c r="AN33" s="281"/>
      <c r="AO33" s="281"/>
      <c r="AP33" s="281"/>
      <c r="AQ33" s="281"/>
      <c r="AR33" s="281"/>
      <c r="AS33" s="281"/>
    </row>
    <row r="34" customFormat="false" ht="12.75" hidden="false" customHeight="true" outlineLevel="0" collapsed="false">
      <c r="A34" s="4"/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92"/>
      <c r="W34" s="159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</row>
    <row r="35" customFormat="false" ht="15.75" hidden="false" customHeight="true" outlineLevel="0" collapsed="false">
      <c r="A35" s="173" t="s">
        <v>195</v>
      </c>
      <c r="B35" s="312" t="n">
        <f aca="false">SUM(B30:B33)</f>
        <v>8478.33453900635</v>
      </c>
      <c r="C35" s="312" t="n">
        <f aca="false">SUM(C30:C33)</f>
        <v>9871.97693703172</v>
      </c>
      <c r="D35" s="312" t="n">
        <f aca="false">SUM(D30:D33)</f>
        <v>11313.0807486971</v>
      </c>
      <c r="E35" s="312" t="n">
        <f aca="false">SUM(E30:E33)</f>
        <v>12819.9951478445</v>
      </c>
      <c r="F35" s="312" t="n">
        <f aca="false">SUM(F30:F33)</f>
        <v>14474.435218247</v>
      </c>
      <c r="G35" s="312" t="n">
        <f aca="false">SUM(G30:G33)</f>
        <v>15367.4125061582</v>
      </c>
      <c r="H35" s="312" t="n">
        <f aca="false">SUM(H30:H33)</f>
        <v>16287.4507208821</v>
      </c>
      <c r="I35" s="312" t="n">
        <f aca="false">SUM(I30:I33)</f>
        <v>17210.6112857646</v>
      </c>
      <c r="J35" s="312" t="n">
        <f aca="false">SUM(J30:J33)</f>
        <v>18202.0681950259</v>
      </c>
      <c r="K35" s="312" t="n">
        <f aca="false">SUM(K30:K33)</f>
        <v>19205.5968380829</v>
      </c>
      <c r="L35" s="312" t="n">
        <f aca="false">SUM(L30:L33)</f>
        <v>20230.0607208703</v>
      </c>
      <c r="M35" s="312" t="n">
        <f aca="false">SUM(M30:M33)</f>
        <v>21282.9987515002</v>
      </c>
      <c r="N35" s="312" t="n">
        <f aca="false">SUM(N30:N33)</f>
        <v>22413.0721306316</v>
      </c>
      <c r="O35" s="312" t="n">
        <f aca="false">SUM(O30:O33)</f>
        <v>23576.2128213387</v>
      </c>
      <c r="P35" s="312" t="n">
        <f aca="false">SUM(P30:P33)</f>
        <v>24794.6020215017</v>
      </c>
      <c r="Q35" s="312" t="n">
        <f aca="false">SUM(Q30:Q33)</f>
        <v>25900.4040080354</v>
      </c>
      <c r="R35" s="312" t="n">
        <f aca="false">SUM(R30:R33)</f>
        <v>27091.3467429549</v>
      </c>
      <c r="S35" s="312" t="n">
        <f aca="false">SUM(S30:S33)</f>
        <v>28340.5350107029</v>
      </c>
      <c r="T35" s="312" t="n">
        <f aca="false">SUM(T30:T33)</f>
        <v>29666.5807805213</v>
      </c>
      <c r="U35" s="312" t="n">
        <f aca="false">SUM(U30:U33)</f>
        <v>31075.9282892702</v>
      </c>
      <c r="V35" s="313"/>
      <c r="W35" s="159" t="n">
        <f aca="false">SUM(B35:U35)</f>
        <v>397602.703414068</v>
      </c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</row>
    <row r="36" customFormat="false" ht="12.75" hidden="false" customHeight="true" outlineLevel="0" collapsed="false">
      <c r="A36" s="306"/>
      <c r="B36" s="332"/>
      <c r="C36" s="332"/>
      <c r="D36" s="332"/>
      <c r="E36" s="332"/>
      <c r="F36" s="332"/>
      <c r="G36" s="332"/>
      <c r="H36" s="332"/>
      <c r="I36" s="332"/>
      <c r="J36" s="332"/>
      <c r="K36" s="332"/>
      <c r="L36" s="332"/>
      <c r="M36" s="332"/>
      <c r="N36" s="332"/>
      <c r="O36" s="332"/>
      <c r="P36" s="332"/>
      <c r="Q36" s="332"/>
      <c r="R36" s="332"/>
      <c r="S36" s="332"/>
      <c r="T36" s="332"/>
      <c r="U36" s="332"/>
      <c r="V36" s="304"/>
      <c r="W36" s="304"/>
      <c r="X36" s="281"/>
      <c r="Y36" s="281"/>
      <c r="Z36" s="281"/>
      <c r="AA36" s="281"/>
      <c r="AB36" s="281"/>
      <c r="AC36" s="281"/>
      <c r="AD36" s="281"/>
      <c r="AE36" s="281"/>
      <c r="AF36" s="281"/>
      <c r="AG36" s="281"/>
      <c r="AH36" s="281"/>
      <c r="AI36" s="281"/>
      <c r="AJ36" s="281"/>
      <c r="AK36" s="281"/>
      <c r="AL36" s="281"/>
      <c r="AM36" s="281"/>
      <c r="AN36" s="281"/>
      <c r="AO36" s="281"/>
      <c r="AP36" s="281"/>
      <c r="AQ36" s="281"/>
      <c r="AR36" s="281"/>
      <c r="AS36" s="281"/>
    </row>
    <row r="37" customFormat="false" ht="18" hidden="false" customHeight="true" outlineLevel="0" collapsed="false">
      <c r="A37" s="314" t="s">
        <v>232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</row>
    <row r="38" customFormat="false" ht="12.75" hidden="false" customHeight="true" outlineLevel="0" collapsed="false">
      <c r="A38" s="158"/>
      <c r="B38" s="167"/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</row>
    <row r="39" customFormat="false" ht="13.5" hidden="false" customHeight="true" outlineLevel="0" collapsed="false">
      <c r="A39" s="149" t="s">
        <v>100</v>
      </c>
      <c r="B39" s="150" t="n">
        <v>2001</v>
      </c>
      <c r="C39" s="150" t="n">
        <f aca="false">B39+1</f>
        <v>2002</v>
      </c>
      <c r="D39" s="150" t="n">
        <f aca="false">C39+1</f>
        <v>2003</v>
      </c>
      <c r="E39" s="150" t="n">
        <f aca="false">D39+1</f>
        <v>2004</v>
      </c>
      <c r="F39" s="150" t="n">
        <f aca="false">E39+1</f>
        <v>2005</v>
      </c>
      <c r="G39" s="150" t="n">
        <f aca="false">F39+1</f>
        <v>2006</v>
      </c>
      <c r="H39" s="150" t="n">
        <f aca="false">G39+1</f>
        <v>2007</v>
      </c>
      <c r="I39" s="150" t="n">
        <f aca="false">H39+1</f>
        <v>2008</v>
      </c>
      <c r="J39" s="150" t="n">
        <f aca="false">I39+1</f>
        <v>2009</v>
      </c>
      <c r="K39" s="150" t="n">
        <f aca="false">J39+1</f>
        <v>2010</v>
      </c>
      <c r="L39" s="150" t="n">
        <f aca="false">K39+1</f>
        <v>2011</v>
      </c>
      <c r="M39" s="150" t="n">
        <f aca="false">L39+1</f>
        <v>2012</v>
      </c>
      <c r="N39" s="150" t="n">
        <f aca="false">M39+1</f>
        <v>2013</v>
      </c>
      <c r="O39" s="150" t="n">
        <f aca="false">N39+1</f>
        <v>2014</v>
      </c>
      <c r="P39" s="150" t="n">
        <f aca="false">O39+1</f>
        <v>2015</v>
      </c>
      <c r="Q39" s="150" t="n">
        <f aca="false">P39+1</f>
        <v>2016</v>
      </c>
      <c r="R39" s="150" t="n">
        <f aca="false">Q39+1</f>
        <v>2017</v>
      </c>
      <c r="S39" s="150" t="n">
        <f aca="false">R39+1</f>
        <v>2018</v>
      </c>
      <c r="T39" s="150" t="n">
        <f aca="false">S39+1</f>
        <v>2019</v>
      </c>
      <c r="U39" s="150" t="n">
        <f aca="false">T39+1</f>
        <v>2020</v>
      </c>
      <c r="V39" s="92"/>
      <c r="W39" s="278" t="s">
        <v>122</v>
      </c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</row>
    <row r="40" customFormat="false" ht="12.75" hidden="false" customHeight="true" outlineLevel="0" collapsed="false">
      <c r="A40" s="243"/>
      <c r="B40" s="167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92"/>
      <c r="W40" s="255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</row>
    <row r="41" customFormat="false" ht="12.75" hidden="false" customHeight="true" outlineLevel="0" collapsed="false">
      <c r="A41" s="247" t="s">
        <v>112</v>
      </c>
      <c r="B41" s="248" t="n">
        <f aca="false">B22</f>
        <v>39904.8007218651</v>
      </c>
      <c r="C41" s="248" t="n">
        <f aca="false">C22</f>
        <v>41944.0034108803</v>
      </c>
      <c r="D41" s="248" t="n">
        <f aca="false">D22</f>
        <v>43976.8689366587</v>
      </c>
      <c r="E41" s="248" t="n">
        <f aca="false">E22</f>
        <v>46106.6416917107</v>
      </c>
      <c r="F41" s="248" t="n">
        <f aca="false">F22</f>
        <v>48337.9122993132</v>
      </c>
      <c r="G41" s="248" t="n">
        <f aca="false">G22</f>
        <v>49290.3577367692</v>
      </c>
      <c r="H41" s="248" t="n">
        <f aca="false">H22</f>
        <v>50274.0305660607</v>
      </c>
      <c r="I41" s="248" t="n">
        <f aca="false">I22</f>
        <v>51276.7287885123</v>
      </c>
      <c r="J41" s="248" t="n">
        <f aca="false">J22</f>
        <v>52298.811819465</v>
      </c>
      <c r="K41" s="248" t="n">
        <f aca="false">K22</f>
        <v>53340.6455965186</v>
      </c>
      <c r="L41" s="248" t="n">
        <f aca="false">L22</f>
        <v>54374.3288014684</v>
      </c>
      <c r="M41" s="248" t="n">
        <f aca="false">M22</f>
        <v>55427.3887438605</v>
      </c>
      <c r="N41" s="248" t="n">
        <f aca="false">N22</f>
        <v>56500.177965871</v>
      </c>
      <c r="O41" s="248" t="n">
        <f aca="false">O22</f>
        <v>57593.0550877293</v>
      </c>
      <c r="P41" s="248" t="n">
        <f aca="false">P22</f>
        <v>58706.3849016095</v>
      </c>
      <c r="Q41" s="248" t="n">
        <f aca="false">Q22</f>
        <v>59570.5511375269</v>
      </c>
      <c r="R41" s="248" t="n">
        <f aca="false">R22</f>
        <v>60446.4561372208</v>
      </c>
      <c r="S41" s="248" t="n">
        <f aca="false">S22</f>
        <v>61334.2338206799</v>
      </c>
      <c r="T41" s="248" t="n">
        <f aca="false">T22</f>
        <v>62234.0187680118</v>
      </c>
      <c r="U41" s="248" t="n">
        <f aca="false">U22</f>
        <v>63145.9461875943</v>
      </c>
      <c r="V41" s="92"/>
      <c r="W41" s="165" t="n">
        <f aca="false">SUM(B41:U41)</f>
        <v>1066083.34311933</v>
      </c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</row>
    <row r="42" customFormat="false" ht="12.75" hidden="false" customHeight="true" outlineLevel="0" collapsed="false">
      <c r="A42" s="247" t="s">
        <v>145</v>
      </c>
      <c r="B42" s="248" t="n">
        <f aca="false">B18</f>
        <v>572</v>
      </c>
      <c r="C42" s="248" t="n">
        <f aca="false">C18</f>
        <v>583.4</v>
      </c>
      <c r="D42" s="248" t="n">
        <f aca="false">D18</f>
        <v>595.1</v>
      </c>
      <c r="E42" s="248" t="n">
        <f aca="false">E18</f>
        <v>607</v>
      </c>
      <c r="F42" s="248" t="n">
        <f aca="false">F18</f>
        <v>619.1</v>
      </c>
      <c r="G42" s="248" t="n">
        <f aca="false">G18</f>
        <v>631.5</v>
      </c>
      <c r="H42" s="248" t="n">
        <f aca="false">H18</f>
        <v>631.5</v>
      </c>
      <c r="I42" s="248" t="n">
        <f aca="false">I18</f>
        <v>631.5</v>
      </c>
      <c r="J42" s="248" t="n">
        <f aca="false">J18</f>
        <v>631.5</v>
      </c>
      <c r="K42" s="248" t="n">
        <f aca="false">K18</f>
        <v>631.5</v>
      </c>
      <c r="L42" s="248" t="n">
        <f aca="false">L18</f>
        <v>631.5</v>
      </c>
      <c r="M42" s="248" t="n">
        <f aca="false">M18</f>
        <v>631.5</v>
      </c>
      <c r="N42" s="248" t="n">
        <f aca="false">N18</f>
        <v>631.5</v>
      </c>
      <c r="O42" s="248" t="n">
        <f aca="false">O18</f>
        <v>631.5</v>
      </c>
      <c r="P42" s="248" t="n">
        <f aca="false">P18</f>
        <v>631.5</v>
      </c>
      <c r="Q42" s="248" t="n">
        <f aca="false">Q18</f>
        <v>631.5</v>
      </c>
      <c r="R42" s="248" t="n">
        <f aca="false">R18</f>
        <v>631.5</v>
      </c>
      <c r="S42" s="248" t="n">
        <f aca="false">S18</f>
        <v>631.5</v>
      </c>
      <c r="T42" s="248" t="n">
        <f aca="false">T18</f>
        <v>631.5</v>
      </c>
      <c r="U42" s="248" t="n">
        <f aca="false">U18</f>
        <v>631.5</v>
      </c>
      <c r="V42" s="92"/>
      <c r="W42" s="165" t="n">
        <f aca="false">SUM(B42:U42)</f>
        <v>12449.1</v>
      </c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</row>
    <row r="43" customFormat="false" ht="12.75" hidden="false" customHeight="true" outlineLevel="0" collapsed="false">
      <c r="A43" s="247" t="s">
        <v>146</v>
      </c>
      <c r="B43" s="315" t="n">
        <v>-333.7</v>
      </c>
      <c r="C43" s="248" t="n">
        <f aca="false">-B42</f>
        <v>-572</v>
      </c>
      <c r="D43" s="248" t="n">
        <f aca="false">-C42</f>
        <v>-583.4</v>
      </c>
      <c r="E43" s="248" t="n">
        <f aca="false">-D42</f>
        <v>-595.1</v>
      </c>
      <c r="F43" s="248" t="n">
        <f aca="false">-E42</f>
        <v>-607</v>
      </c>
      <c r="G43" s="248" t="n">
        <f aca="false">-F42</f>
        <v>-619.1</v>
      </c>
      <c r="H43" s="248" t="n">
        <f aca="false">-G42</f>
        <v>-631.5</v>
      </c>
      <c r="I43" s="248" t="n">
        <f aca="false">-H42</f>
        <v>-631.5</v>
      </c>
      <c r="J43" s="248" t="n">
        <f aca="false">-I42</f>
        <v>-631.5</v>
      </c>
      <c r="K43" s="248" t="n">
        <f aca="false">-J42</f>
        <v>-631.5</v>
      </c>
      <c r="L43" s="248" t="n">
        <f aca="false">-K42</f>
        <v>-631.5</v>
      </c>
      <c r="M43" s="248" t="n">
        <f aca="false">-L42</f>
        <v>-631.5</v>
      </c>
      <c r="N43" s="248" t="n">
        <f aca="false">-M42</f>
        <v>-631.5</v>
      </c>
      <c r="O43" s="248" t="n">
        <f aca="false">-N42</f>
        <v>-631.5</v>
      </c>
      <c r="P43" s="248" t="n">
        <f aca="false">-O42</f>
        <v>-631.5</v>
      </c>
      <c r="Q43" s="248" t="n">
        <f aca="false">-P42</f>
        <v>-631.5</v>
      </c>
      <c r="R43" s="248" t="n">
        <f aca="false">-Q42</f>
        <v>-631.5</v>
      </c>
      <c r="S43" s="248" t="n">
        <f aca="false">-R42</f>
        <v>-631.5</v>
      </c>
      <c r="T43" s="248" t="n">
        <f aca="false">-S42</f>
        <v>-631.5</v>
      </c>
      <c r="U43" s="248" t="n">
        <f aca="false">-T42</f>
        <v>-631.5</v>
      </c>
      <c r="V43" s="92"/>
      <c r="W43" s="165" t="n">
        <f aca="false">SUM(B43:U43)</f>
        <v>-12151.3</v>
      </c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</row>
    <row r="44" customFormat="false" ht="12.75" hidden="false" customHeight="true" outlineLevel="0" collapsed="false">
      <c r="A44" s="247" t="s">
        <v>197</v>
      </c>
      <c r="B44" s="316" t="n">
        <f aca="false">-Debt!B77*Allocation!$E$8</f>
        <v>-18120.618713468</v>
      </c>
      <c r="C44" s="316" t="n">
        <f aca="false">-Debt!C77*Allocation!$E$8</f>
        <v>-18219.1156951885</v>
      </c>
      <c r="D44" s="316" t="n">
        <f aca="false">-Debt!D77*Allocation!$E$8</f>
        <v>-18304.651036832</v>
      </c>
      <c r="E44" s="316" t="n">
        <f aca="false">-Debt!E77*Allocation!$E$8</f>
        <v>-18495.0817702198</v>
      </c>
      <c r="F44" s="316" t="n">
        <f aca="false">-Debt!F77*Allocation!$E$8</f>
        <v>-18632.5429233764</v>
      </c>
      <c r="G44" s="316" t="n">
        <f aca="false">-Debt!G77*Allocation!$E$8</f>
        <v>-18212.9692570762</v>
      </c>
      <c r="H44" s="316" t="n">
        <f aca="false">-Debt!H77*Allocation!$E$8</f>
        <v>-17842.8064936449</v>
      </c>
      <c r="I44" s="316" t="n">
        <f aca="false">-Debt!I77*Allocation!$E$8</f>
        <v>-17531.5197314304</v>
      </c>
      <c r="J44" s="316" t="n">
        <f aca="false">-Debt!J77*Allocation!$E$8</f>
        <v>-17207.4652362432</v>
      </c>
      <c r="K44" s="316" t="n">
        <f aca="false">-Debt!K77*Allocation!$E$8</f>
        <v>-16937.1839412455</v>
      </c>
      <c r="L44" s="316" t="n">
        <f aca="false">-Debt!L77*Allocation!$E$8</f>
        <v>-16662.5828234411</v>
      </c>
      <c r="M44" s="316" t="n">
        <f aca="false">-Debt!M77*Allocation!$E$8</f>
        <v>-16441.0380847108</v>
      </c>
      <c r="N44" s="316" t="n">
        <f aca="false">-Debt!N77*Allocation!$E$8</f>
        <v>-16167.8460093239</v>
      </c>
      <c r="O44" s="316" t="n">
        <f aca="false">-Debt!O77*Allocation!$E$8</f>
        <v>-15954.0550555672</v>
      </c>
      <c r="P44" s="316" t="n">
        <f aca="false">-Debt!P77*Allocation!$E$8</f>
        <v>-15725.6169067859</v>
      </c>
      <c r="Q44" s="316" t="n">
        <f aca="false">-Debt!Q77*Allocation!$E$8</f>
        <v>-15585.2188097426</v>
      </c>
      <c r="R44" s="316" t="n">
        <f aca="false">-Debt!R77*Allocation!$E$8</f>
        <v>-15371.9141682999</v>
      </c>
      <c r="S44" s="316" t="n">
        <f aca="false">-Debt!S77*Allocation!$E$8</f>
        <v>-15186.8875880774</v>
      </c>
      <c r="T44" s="316" t="n">
        <f aca="false">-Debt!T77*Allocation!$E$8</f>
        <v>-15018.2491556101</v>
      </c>
      <c r="U44" s="316" t="n">
        <f aca="false">-Debt!U77*Allocation!$E$8</f>
        <v>-14855.452964695</v>
      </c>
      <c r="V44" s="92"/>
      <c r="W44" s="165" t="n">
        <f aca="false">SUM(B44:U44)</f>
        <v>-336472.816364979</v>
      </c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</row>
    <row r="45" customFormat="false" ht="12.75" hidden="false" customHeight="true" outlineLevel="0" collapsed="false">
      <c r="A45" s="247"/>
      <c r="B45" s="317"/>
      <c r="C45" s="317"/>
      <c r="D45" s="317"/>
      <c r="E45" s="317"/>
      <c r="F45" s="317"/>
      <c r="G45" s="317"/>
      <c r="H45" s="317"/>
      <c r="I45" s="317"/>
      <c r="J45" s="317"/>
      <c r="K45" s="317"/>
      <c r="L45" s="317"/>
      <c r="M45" s="317"/>
      <c r="N45" s="317"/>
      <c r="O45" s="317"/>
      <c r="P45" s="317"/>
      <c r="Q45" s="317"/>
      <c r="R45" s="317"/>
      <c r="S45" s="317"/>
      <c r="T45" s="317"/>
      <c r="U45" s="317"/>
      <c r="V45" s="92"/>
      <c r="W45" s="240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</row>
    <row r="46" customFormat="false" ht="12.75" hidden="false" customHeight="true" outlineLevel="0" collapsed="false">
      <c r="A46" s="243" t="s">
        <v>198</v>
      </c>
      <c r="B46" s="318" t="n">
        <f aca="false">SUM(B41:B44)</f>
        <v>22022.4820083971</v>
      </c>
      <c r="C46" s="318" t="n">
        <f aca="false">SUM(C41:C44)</f>
        <v>23736.2877156918</v>
      </c>
      <c r="D46" s="318" t="n">
        <f aca="false">SUM(D41:D44)</f>
        <v>25683.9178998267</v>
      </c>
      <c r="E46" s="318" t="n">
        <f aca="false">SUM(E41:E44)</f>
        <v>27623.4599214909</v>
      </c>
      <c r="F46" s="318" t="n">
        <f aca="false">SUM(F41:F44)</f>
        <v>29717.4693759367</v>
      </c>
      <c r="G46" s="318" t="n">
        <f aca="false">SUM(G41:G44)</f>
        <v>31089.788479693</v>
      </c>
      <c r="H46" s="318" t="n">
        <f aca="false">SUM(H41:H44)</f>
        <v>32431.2240724158</v>
      </c>
      <c r="I46" s="318" t="n">
        <f aca="false">SUM(I41:I44)</f>
        <v>33745.209057082</v>
      </c>
      <c r="J46" s="318" t="n">
        <f aca="false">SUM(J41:J44)</f>
        <v>35091.3465832218</v>
      </c>
      <c r="K46" s="318" t="n">
        <f aca="false">SUM(K41:K44)</f>
        <v>36403.4616552731</v>
      </c>
      <c r="L46" s="318" t="n">
        <f aca="false">SUM(L41:L44)</f>
        <v>37711.7459780273</v>
      </c>
      <c r="M46" s="318" t="n">
        <f aca="false">SUM(M41:M44)</f>
        <v>38986.3506591497</v>
      </c>
      <c r="N46" s="318" t="n">
        <f aca="false">SUM(N41:N44)</f>
        <v>40332.3319565471</v>
      </c>
      <c r="O46" s="318" t="n">
        <f aca="false">SUM(O41:O44)</f>
        <v>41639.0000321621</v>
      </c>
      <c r="P46" s="318" t="n">
        <f aca="false">SUM(P41:P44)</f>
        <v>42980.7679948235</v>
      </c>
      <c r="Q46" s="318" t="n">
        <f aca="false">SUM(Q41:Q44)</f>
        <v>43985.3323277844</v>
      </c>
      <c r="R46" s="318" t="n">
        <f aca="false">SUM(R41:R44)</f>
        <v>45074.5419689209</v>
      </c>
      <c r="S46" s="318" t="n">
        <f aca="false">SUM(S41:S44)</f>
        <v>46147.3462326026</v>
      </c>
      <c r="T46" s="318" t="n">
        <f aca="false">SUM(T41:T44)</f>
        <v>47215.7696124017</v>
      </c>
      <c r="U46" s="318" t="n">
        <f aca="false">SUM(U41:U44)</f>
        <v>48290.4932228994</v>
      </c>
      <c r="V46" s="281"/>
      <c r="W46" s="165" t="n">
        <f aca="false">SUM(B46:U46)</f>
        <v>729908.326754348</v>
      </c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</row>
    <row r="47" customFormat="false" ht="12.75" hidden="false" customHeight="true" outlineLevel="0" collapsed="false">
      <c r="A47" s="243"/>
      <c r="B47" s="248"/>
      <c r="C47" s="248"/>
      <c r="D47" s="248"/>
      <c r="E47" s="248"/>
      <c r="F47" s="248"/>
      <c r="G47" s="248"/>
      <c r="H47" s="248"/>
      <c r="I47" s="248"/>
      <c r="J47" s="248"/>
      <c r="K47" s="248"/>
      <c r="L47" s="248"/>
      <c r="M47" s="248"/>
      <c r="N47" s="248"/>
      <c r="O47" s="248"/>
      <c r="P47" s="248"/>
      <c r="Q47" s="248"/>
      <c r="R47" s="248"/>
      <c r="S47" s="248"/>
      <c r="T47" s="248"/>
      <c r="U47" s="248"/>
      <c r="V47" s="92"/>
      <c r="W47" s="240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</row>
    <row r="48" customFormat="false" ht="15" hidden="false" customHeight="true" outlineLevel="0" collapsed="false">
      <c r="A48" s="247" t="s">
        <v>199</v>
      </c>
      <c r="B48" s="317" t="n">
        <f aca="false">-B79</f>
        <v>-506.987144214251</v>
      </c>
      <c r="C48" s="317" t="n">
        <f aca="false">-C79</f>
        <v>-0</v>
      </c>
      <c r="D48" s="317" t="n">
        <f aca="false">-D79</f>
        <v>-0</v>
      </c>
      <c r="E48" s="317" t="n">
        <f aca="false">-E79</f>
        <v>-0</v>
      </c>
      <c r="F48" s="317" t="n">
        <f aca="false">-F79</f>
        <v>-578.81236769289</v>
      </c>
      <c r="G48" s="317" t="n">
        <f aca="false">-G79</f>
        <v>-1018.10795759938</v>
      </c>
      <c r="H48" s="317" t="n">
        <f aca="false">-H79</f>
        <v>-1210.42606168369</v>
      </c>
      <c r="I48" s="317" t="n">
        <f aca="false">-I79</f>
        <v>-1317.77794080068</v>
      </c>
      <c r="J48" s="317" t="n">
        <f aca="false">-J79</f>
        <v>-1438.27737795095</v>
      </c>
      <c r="K48" s="317" t="n">
        <f aca="false">-K79</f>
        <v>-1555.19355523466</v>
      </c>
      <c r="L48" s="317" t="n">
        <f aca="false">-L79</f>
        <v>-1679.62102629535</v>
      </c>
      <c r="M48" s="317" t="n">
        <f aca="false">-M79</f>
        <v>-1802.4172261666</v>
      </c>
      <c r="N48" s="317" t="n">
        <f aca="false">-N79</f>
        <v>-1939.41288020758</v>
      </c>
      <c r="O48" s="317" t="n">
        <f aca="false">-O79</f>
        <v>-2075.32387793993</v>
      </c>
      <c r="P48" s="317" t="n">
        <f aca="false">-P79</f>
        <v>-2222.82966068339</v>
      </c>
      <c r="Q48" s="317" t="n">
        <f aca="false">-Q79</f>
        <v>-2354.42693354089</v>
      </c>
      <c r="R48" s="317" t="n">
        <f aca="false">-R79</f>
        <v>-3977.0183737208</v>
      </c>
      <c r="S48" s="317" t="n">
        <f aca="false">-S79</f>
        <v>-4125.67950050765</v>
      </c>
      <c r="T48" s="317" t="n">
        <f aca="false">-T79</f>
        <v>-4283.4871452012</v>
      </c>
      <c r="U48" s="317" t="n">
        <f aca="false">-U79</f>
        <v>-4451.20821182836</v>
      </c>
      <c r="V48" s="92"/>
      <c r="W48" s="165" t="n">
        <f aca="false">SUM(B48:U48)</f>
        <v>-36537.0072412683</v>
      </c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</row>
    <row r="49" customFormat="false" ht="12.75" hidden="false" customHeight="true" outlineLevel="0" collapsed="false">
      <c r="A49" s="247" t="s">
        <v>200</v>
      </c>
      <c r="B49" s="319" t="n">
        <f aca="false">-Allocation!$E$8*Tax!B24</f>
        <v>-3159.92218456864</v>
      </c>
      <c r="C49" s="319" t="n">
        <f aca="false">-Allocation!$E$8*Tax!C24</f>
        <v>-0</v>
      </c>
      <c r="D49" s="319" t="n">
        <f aca="false">-Allocation!$E$8*Tax!D24</f>
        <v>-237.07999712689</v>
      </c>
      <c r="E49" s="319" t="n">
        <f aca="false">-Allocation!$E$8*Tax!E24</f>
        <v>-2846.1110641697</v>
      </c>
      <c r="F49" s="319" t="n">
        <f aca="false">-Allocation!$E$8*Tax!F24</f>
        <v>-4573.22884514385</v>
      </c>
      <c r="G49" s="319" t="n">
        <f aca="false">-Allocation!$E$8*Tax!G24</f>
        <v>-5703.78701109607</v>
      </c>
      <c r="H49" s="319" t="n">
        <f aca="false">-Allocation!$E$8*Tax!H24</f>
        <v>-6489.00362021251</v>
      </c>
      <c r="I49" s="319" t="n">
        <f aca="false">-Allocation!$E$8*Tax!I24</f>
        <v>-6930.61209040836</v>
      </c>
      <c r="J49" s="319" t="n">
        <f aca="false">-Allocation!$E$8*Tax!J24</f>
        <v>-7441.30452414106</v>
      </c>
      <c r="K49" s="319" t="n">
        <f aca="false">-Allocation!$E$8*Tax!K24</f>
        <v>-7946.52878929927</v>
      </c>
      <c r="L49" s="319" t="n">
        <f aca="false">-Allocation!$E$8*Tax!L24</f>
        <v>-8452.6550462741</v>
      </c>
      <c r="M49" s="319" t="n">
        <f aca="false">-Allocation!$E$8*Tax!M24</f>
        <v>-8971.86899479915</v>
      </c>
      <c r="N49" s="319" t="n">
        <f aca="false">-Allocation!$E$8*Tax!N24</f>
        <v>-9506.4241736588</v>
      </c>
      <c r="O49" s="319" t="n">
        <f aca="false">-Allocation!$E$8*Tax!O24</f>
        <v>-10082.1593850011</v>
      </c>
      <c r="P49" s="319" t="n">
        <f aca="false">-Allocation!$E$8*Tax!P24</f>
        <v>-10649.9823693478</v>
      </c>
      <c r="Q49" s="319" t="n">
        <f aca="false">-Allocation!$E$8*Tax!Q24</f>
        <v>-11312.9660202694</v>
      </c>
      <c r="R49" s="319" t="n">
        <f aca="false">-Allocation!$E$8*Tax!R24</f>
        <v>-18050.4764027143</v>
      </c>
      <c r="S49" s="319" t="n">
        <f aca="false">-Allocation!$E$8*Tax!S24</f>
        <v>-18714.5080301303</v>
      </c>
      <c r="T49" s="319" t="n">
        <f aca="false">-Allocation!$E$8*Tax!T24</f>
        <v>-19419.6031801227</v>
      </c>
      <c r="U49" s="319" t="n">
        <f aca="false">-Allocation!$E$8*Tax!U24</f>
        <v>-20169.2274276919</v>
      </c>
      <c r="V49" s="92"/>
      <c r="W49" s="165" t="n">
        <f aca="false">SUM(B49:U49)</f>
        <v>-180657.449156176</v>
      </c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</row>
    <row r="50" customFormat="false" ht="12.75" hidden="false" customHeight="true" outlineLevel="0" collapsed="false">
      <c r="A50" s="247"/>
      <c r="B50" s="311"/>
      <c r="C50" s="311"/>
      <c r="D50" s="311"/>
      <c r="E50" s="311"/>
      <c r="F50" s="311"/>
      <c r="G50" s="311"/>
      <c r="H50" s="311"/>
      <c r="I50" s="311"/>
      <c r="J50" s="311"/>
      <c r="K50" s="311"/>
      <c r="L50" s="311"/>
      <c r="M50" s="311"/>
      <c r="N50" s="311"/>
      <c r="O50" s="311"/>
      <c r="P50" s="311"/>
      <c r="Q50" s="311"/>
      <c r="R50" s="311"/>
      <c r="S50" s="311"/>
      <c r="T50" s="311"/>
      <c r="U50" s="311"/>
      <c r="V50" s="92"/>
      <c r="W50" s="240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</row>
    <row r="51" customFormat="false" ht="15.75" hidden="false" customHeight="true" outlineLevel="0" collapsed="false">
      <c r="A51" s="320" t="s">
        <v>201</v>
      </c>
      <c r="B51" s="321" t="n">
        <f aca="false">B46+B49+B48</f>
        <v>18355.5726796143</v>
      </c>
      <c r="C51" s="321" t="n">
        <f aca="false">C46+C49+C48</f>
        <v>23736.2877156918</v>
      </c>
      <c r="D51" s="321" t="n">
        <f aca="false">D46+D49+D48</f>
        <v>25446.8379026998</v>
      </c>
      <c r="E51" s="321" t="n">
        <f aca="false">E46+E49+E48</f>
        <v>24777.3488573212</v>
      </c>
      <c r="F51" s="321" t="n">
        <f aca="false">F46+F49+F48</f>
        <v>24565.4281631</v>
      </c>
      <c r="G51" s="321" t="n">
        <f aca="false">G46+G49+G48</f>
        <v>24367.8935109975</v>
      </c>
      <c r="H51" s="321" t="n">
        <f aca="false">H46+H49+H48</f>
        <v>24731.7943905196</v>
      </c>
      <c r="I51" s="321" t="n">
        <f aca="false">I46+I49+I48</f>
        <v>25496.8190258729</v>
      </c>
      <c r="J51" s="321" t="n">
        <f aca="false">J46+J49+J48</f>
        <v>26211.7646811298</v>
      </c>
      <c r="K51" s="321" t="n">
        <f aca="false">K46+K49+K48</f>
        <v>26901.7393107391</v>
      </c>
      <c r="L51" s="321" t="n">
        <f aca="false">L46+L49+L48</f>
        <v>27579.4699054579</v>
      </c>
      <c r="M51" s="321" t="n">
        <f aca="false">M46+M49+M48</f>
        <v>28212.0644381839</v>
      </c>
      <c r="N51" s="321" t="n">
        <f aca="false">N46+N49+N48</f>
        <v>28886.4949026807</v>
      </c>
      <c r="O51" s="321" t="n">
        <f aca="false">O46+O49+O48</f>
        <v>29481.516769221</v>
      </c>
      <c r="P51" s="321" t="n">
        <f aca="false">P46+P49+P48</f>
        <v>30107.9559647924</v>
      </c>
      <c r="Q51" s="321" t="n">
        <f aca="false">Q46+Q49+Q48</f>
        <v>30317.939373974</v>
      </c>
      <c r="R51" s="321" t="n">
        <f aca="false">R46+R49+R48</f>
        <v>23047.0471924858</v>
      </c>
      <c r="S51" s="321" t="n">
        <f aca="false">S46+S49+S48</f>
        <v>23307.1587019646</v>
      </c>
      <c r="T51" s="321" t="n">
        <f aca="false">T46+T49+T48</f>
        <v>23512.6792870778</v>
      </c>
      <c r="U51" s="321" t="n">
        <f aca="false">U46+U49+U48</f>
        <v>23670.0575833791</v>
      </c>
      <c r="V51" s="313"/>
      <c r="W51" s="165" t="n">
        <f aca="false">SUM(B51:U51)</f>
        <v>512713.870356903</v>
      </c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2"/>
    </row>
    <row r="52" customFormat="false" ht="12.75" hidden="false" customHeight="true" outlineLevel="0" collapsed="false">
      <c r="A52" s="346"/>
      <c r="B52" s="167"/>
      <c r="C52" s="167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92"/>
      <c r="W52" s="92"/>
      <c r="X52" s="281"/>
      <c r="Y52" s="281"/>
      <c r="Z52" s="281"/>
      <c r="AA52" s="281"/>
      <c r="AB52" s="281"/>
      <c r="AC52" s="281"/>
      <c r="AD52" s="281"/>
      <c r="AE52" s="281"/>
      <c r="AF52" s="281"/>
      <c r="AG52" s="281"/>
      <c r="AH52" s="281"/>
      <c r="AI52" s="281"/>
      <c r="AJ52" s="281"/>
      <c r="AK52" s="281"/>
      <c r="AL52" s="281"/>
      <c r="AM52" s="281"/>
      <c r="AN52" s="281"/>
      <c r="AO52" s="281"/>
      <c r="AP52" s="281"/>
      <c r="AQ52" s="281"/>
      <c r="AR52" s="281"/>
      <c r="AS52" s="281"/>
    </row>
    <row r="53" customFormat="false" ht="18" hidden="false" customHeight="true" outlineLevel="0" collapsed="false">
      <c r="A53" s="314" t="s">
        <v>233</v>
      </c>
      <c r="B53" s="261"/>
      <c r="C53" s="261"/>
      <c r="D53" s="261"/>
      <c r="E53" s="261"/>
      <c r="F53" s="261"/>
      <c r="G53" s="261"/>
      <c r="H53" s="261"/>
      <c r="I53" s="261"/>
      <c r="J53" s="261"/>
      <c r="K53" s="261"/>
      <c r="L53" s="261"/>
      <c r="M53" s="261"/>
      <c r="N53" s="261"/>
      <c r="O53" s="261"/>
      <c r="P53" s="261"/>
      <c r="Q53" s="261"/>
      <c r="R53" s="261"/>
      <c r="S53" s="261"/>
      <c r="T53" s="261"/>
      <c r="U53" s="261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</row>
    <row r="54" customFormat="false" ht="12.75" hidden="false" customHeight="true" outlineLevel="0" collapsed="false">
      <c r="A54" s="281"/>
      <c r="B54" s="282"/>
      <c r="C54" s="282"/>
      <c r="D54" s="282"/>
      <c r="E54" s="282"/>
      <c r="F54" s="282"/>
      <c r="G54" s="283"/>
      <c r="H54" s="282"/>
      <c r="I54" s="282"/>
      <c r="J54" s="282"/>
      <c r="K54" s="282"/>
      <c r="L54" s="282"/>
      <c r="M54" s="283"/>
      <c r="N54" s="282"/>
      <c r="O54" s="282"/>
      <c r="P54" s="282"/>
      <c r="Q54" s="282"/>
      <c r="R54" s="282"/>
      <c r="S54" s="283"/>
      <c r="T54" s="282"/>
      <c r="U54" s="28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92"/>
      <c r="AR54" s="92"/>
      <c r="AS54" s="92"/>
    </row>
    <row r="55" customFormat="false" ht="13.5" hidden="false" customHeight="true" outlineLevel="0" collapsed="false">
      <c r="A55" s="149" t="s">
        <v>100</v>
      </c>
      <c r="B55" s="150" t="n">
        <v>2001</v>
      </c>
      <c r="C55" s="150" t="n">
        <v>2002</v>
      </c>
      <c r="D55" s="150" t="n">
        <v>2003</v>
      </c>
      <c r="E55" s="150" t="n">
        <v>2004</v>
      </c>
      <c r="F55" s="150" t="n">
        <v>2005</v>
      </c>
      <c r="G55" s="150" t="n">
        <v>2006</v>
      </c>
      <c r="H55" s="150" t="n">
        <v>2007</v>
      </c>
      <c r="I55" s="150" t="n">
        <v>2008</v>
      </c>
      <c r="J55" s="150" t="n">
        <v>2009</v>
      </c>
      <c r="K55" s="150" t="n">
        <v>2010</v>
      </c>
      <c r="L55" s="150" t="n">
        <v>2011</v>
      </c>
      <c r="M55" s="150" t="n">
        <v>2012</v>
      </c>
      <c r="N55" s="150" t="n">
        <v>2013</v>
      </c>
      <c r="O55" s="150" t="n">
        <v>2014</v>
      </c>
      <c r="P55" s="150" t="n">
        <v>2015</v>
      </c>
      <c r="Q55" s="150" t="n">
        <v>2016</v>
      </c>
      <c r="R55" s="150" t="n">
        <v>2017</v>
      </c>
      <c r="S55" s="150" t="n">
        <v>2018</v>
      </c>
      <c r="T55" s="150" t="n">
        <v>2019</v>
      </c>
      <c r="U55" s="150" t="n">
        <v>2020</v>
      </c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  <c r="AS55" s="92"/>
    </row>
    <row r="56" customFormat="false" ht="12.75" hidden="false" customHeight="true" outlineLevel="0" collapsed="false">
      <c r="A56" s="237"/>
      <c r="B56" s="288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1"/>
      <c r="U56" s="151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92"/>
      <c r="AN56" s="92"/>
      <c r="AO56" s="92"/>
      <c r="AP56" s="92"/>
      <c r="AQ56" s="92"/>
      <c r="AR56" s="92"/>
      <c r="AS56" s="92"/>
    </row>
    <row r="57" customFormat="false" ht="12.75" hidden="false" customHeight="true" outlineLevel="0" collapsed="false">
      <c r="A57" s="289" t="s">
        <v>203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92"/>
      <c r="AM57" s="92"/>
      <c r="AN57" s="92"/>
      <c r="AO57" s="92"/>
      <c r="AP57" s="92"/>
      <c r="AQ57" s="92"/>
      <c r="AR57" s="92"/>
      <c r="AS57" s="92"/>
    </row>
    <row r="58" customFormat="false" ht="12.75" hidden="false" customHeight="true" outlineLevel="0" collapsed="false">
      <c r="A58" s="347"/>
      <c r="B58" s="333"/>
      <c r="C58" s="333"/>
      <c r="D58" s="334"/>
      <c r="E58" s="334"/>
      <c r="F58" s="334"/>
      <c r="G58" s="334"/>
      <c r="H58" s="334"/>
      <c r="I58" s="334"/>
      <c r="J58" s="334"/>
      <c r="K58" s="334"/>
      <c r="L58" s="334"/>
      <c r="M58" s="334"/>
      <c r="N58" s="334"/>
      <c r="O58" s="334"/>
      <c r="P58" s="334"/>
      <c r="Q58" s="334"/>
      <c r="R58" s="334"/>
      <c r="S58" s="334"/>
      <c r="T58" s="334"/>
      <c r="U58" s="334"/>
      <c r="V58" s="334"/>
      <c r="W58" s="334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/>
      <c r="AS58" s="92"/>
    </row>
    <row r="59" customFormat="false" ht="12.75" hidden="false" customHeight="true" outlineLevel="0" collapsed="false">
      <c r="A59" s="24" t="s">
        <v>205</v>
      </c>
      <c r="B59" s="335" t="n">
        <f aca="false">Allocation!$C$8*'Summary Output'!$C$7</f>
        <v>195079.84633018</v>
      </c>
      <c r="C59" s="335" t="n">
        <f aca="false">Allocation!$C$8*'Summary Output'!$C$7</f>
        <v>195079.84633018</v>
      </c>
      <c r="D59" s="335" t="n">
        <f aca="false">Allocation!$C$8*'Summary Output'!$C$7</f>
        <v>195079.84633018</v>
      </c>
      <c r="E59" s="335" t="n">
        <f aca="false">Allocation!$C$8*'Summary Output'!$C$7</f>
        <v>195079.84633018</v>
      </c>
      <c r="F59" s="335" t="n">
        <f aca="false">Allocation!$C$8*'Summary Output'!$C$7</f>
        <v>195079.84633018</v>
      </c>
      <c r="G59" s="335" t="n">
        <f aca="false">Allocation!$C$8*'Summary Output'!$C$7</f>
        <v>195079.84633018</v>
      </c>
      <c r="H59" s="335" t="n">
        <f aca="false">Allocation!$C$8*'Summary Output'!$C$7</f>
        <v>195079.84633018</v>
      </c>
      <c r="I59" s="335" t="n">
        <f aca="false">Allocation!$C$8*'Summary Output'!$C$7</f>
        <v>195079.84633018</v>
      </c>
      <c r="J59" s="335" t="n">
        <f aca="false">Allocation!$C$8*'Summary Output'!$C$7</f>
        <v>195079.84633018</v>
      </c>
      <c r="K59" s="335" t="n">
        <f aca="false">Allocation!$C$8*'Summary Output'!$C$7</f>
        <v>195079.84633018</v>
      </c>
      <c r="L59" s="335" t="n">
        <f aca="false">Allocation!$C$8*'Summary Output'!$C$7</f>
        <v>195079.84633018</v>
      </c>
      <c r="M59" s="335" t="n">
        <f aca="false">Allocation!$C$8*'Summary Output'!$C$7</f>
        <v>195079.84633018</v>
      </c>
      <c r="N59" s="335" t="n">
        <f aca="false">Allocation!$C$8*'Summary Output'!$C$7</f>
        <v>195079.84633018</v>
      </c>
      <c r="O59" s="335" t="n">
        <f aca="false">Allocation!$C$8*'Summary Output'!$C$7</f>
        <v>195079.84633018</v>
      </c>
      <c r="P59" s="335" t="n">
        <f aca="false">Allocation!$C$8*'Summary Output'!$C$7</f>
        <v>195079.84633018</v>
      </c>
      <c r="Q59" s="335" t="n">
        <f aca="false">Allocation!$C$8*'Summary Output'!$C$7</f>
        <v>195079.84633018</v>
      </c>
      <c r="R59" s="335" t="n">
        <f aca="false">Allocation!$C$8*'Summary Output'!$C$7</f>
        <v>195079.84633018</v>
      </c>
      <c r="S59" s="335" t="n">
        <f aca="false">Allocation!$C$8*'Summary Output'!$C$7</f>
        <v>195079.84633018</v>
      </c>
      <c r="T59" s="335" t="n">
        <f aca="false">Allocation!$C$8*'Summary Output'!$C$7</f>
        <v>195079.84633018</v>
      </c>
      <c r="U59" s="335" t="n">
        <f aca="false">Allocation!$C$8*'Summary Output'!$C$7</f>
        <v>195079.84633018</v>
      </c>
      <c r="V59" s="335"/>
      <c r="W59" s="335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92"/>
      <c r="AO59" s="92"/>
      <c r="AP59" s="92"/>
      <c r="AQ59" s="92"/>
      <c r="AR59" s="92"/>
      <c r="AS59" s="92"/>
    </row>
    <row r="60" customFormat="false" ht="12.75" hidden="false" customHeight="true" outlineLevel="0" collapsed="false">
      <c r="A60" s="24" t="s">
        <v>210</v>
      </c>
      <c r="B60" s="336" t="n">
        <f aca="false">Assumptions!E40</f>
        <v>0.0015</v>
      </c>
      <c r="C60" s="336" t="n">
        <f aca="false">Assumptions!$E$41</f>
        <v>0.001</v>
      </c>
      <c r="D60" s="336" t="n">
        <f aca="false">Assumptions!$E$41</f>
        <v>0.001</v>
      </c>
      <c r="E60" s="336" t="n">
        <f aca="false">Assumptions!$E$41</f>
        <v>0.001</v>
      </c>
      <c r="F60" s="336" t="n">
        <f aca="false">Assumptions!$E$41</f>
        <v>0.001</v>
      </c>
      <c r="G60" s="336" t="n">
        <f aca="false">Assumptions!$E$41</f>
        <v>0.001</v>
      </c>
      <c r="H60" s="336" t="n">
        <f aca="false">Assumptions!$E$41</f>
        <v>0.001</v>
      </c>
      <c r="I60" s="336" t="n">
        <f aca="false">Assumptions!$E$41</f>
        <v>0.001</v>
      </c>
      <c r="J60" s="336" t="n">
        <f aca="false">Assumptions!$E$41</f>
        <v>0.001</v>
      </c>
      <c r="K60" s="336" t="n">
        <f aca="false">Assumptions!$E$41</f>
        <v>0.001</v>
      </c>
      <c r="L60" s="336" t="n">
        <f aca="false">Assumptions!$E$41</f>
        <v>0.001</v>
      </c>
      <c r="M60" s="336" t="n">
        <f aca="false">Assumptions!$E$41</f>
        <v>0.001</v>
      </c>
      <c r="N60" s="336" t="n">
        <f aca="false">Assumptions!$E$41</f>
        <v>0.001</v>
      </c>
      <c r="O60" s="336" t="n">
        <f aca="false">Assumptions!$E$41</f>
        <v>0.001</v>
      </c>
      <c r="P60" s="336" t="n">
        <f aca="false">Assumptions!$E$41</f>
        <v>0.001</v>
      </c>
      <c r="Q60" s="336" t="n">
        <f aca="false">Assumptions!$E$41</f>
        <v>0.001</v>
      </c>
      <c r="R60" s="336" t="n">
        <f aca="false">Assumptions!$E$41</f>
        <v>0.001</v>
      </c>
      <c r="S60" s="336" t="n">
        <f aca="false">Assumptions!$E$41</f>
        <v>0.001</v>
      </c>
      <c r="T60" s="336" t="n">
        <f aca="false">Assumptions!$E$41</f>
        <v>0.001</v>
      </c>
      <c r="U60" s="336" t="n">
        <f aca="false">Assumptions!$E$41</f>
        <v>0.001</v>
      </c>
      <c r="V60" s="336"/>
      <c r="W60" s="336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92"/>
      <c r="AO60" s="92"/>
      <c r="AP60" s="92"/>
      <c r="AQ60" s="92"/>
      <c r="AR60" s="92"/>
      <c r="AS60" s="92"/>
    </row>
    <row r="61" customFormat="false" ht="12.75" hidden="false" customHeight="true" outlineLevel="0" collapsed="false">
      <c r="A61" s="40" t="s">
        <v>211</v>
      </c>
      <c r="B61" s="337" t="n">
        <f aca="false">B59*B60</f>
        <v>292.619769495269</v>
      </c>
      <c r="C61" s="337" t="n">
        <f aca="false">C59*C60</f>
        <v>195.07984633018</v>
      </c>
      <c r="D61" s="337" t="n">
        <f aca="false">D59*D60</f>
        <v>195.07984633018</v>
      </c>
      <c r="E61" s="337" t="n">
        <f aca="false">E59*E60</f>
        <v>195.07984633018</v>
      </c>
      <c r="F61" s="337" t="n">
        <f aca="false">F59*F60</f>
        <v>195.07984633018</v>
      </c>
      <c r="G61" s="337" t="n">
        <f aca="false">G59*G60</f>
        <v>195.07984633018</v>
      </c>
      <c r="H61" s="337" t="n">
        <f aca="false">H59*H60</f>
        <v>195.07984633018</v>
      </c>
      <c r="I61" s="337" t="n">
        <f aca="false">I59*I60</f>
        <v>195.07984633018</v>
      </c>
      <c r="J61" s="337" t="n">
        <f aca="false">J59*J60</f>
        <v>195.07984633018</v>
      </c>
      <c r="K61" s="337" t="n">
        <f aca="false">K59*K60</f>
        <v>195.07984633018</v>
      </c>
      <c r="L61" s="337" t="n">
        <f aca="false">L59*L60</f>
        <v>195.07984633018</v>
      </c>
      <c r="M61" s="337" t="n">
        <f aca="false">M59*M60</f>
        <v>195.07984633018</v>
      </c>
      <c r="N61" s="337" t="n">
        <f aca="false">N59*N60</f>
        <v>195.07984633018</v>
      </c>
      <c r="O61" s="337" t="n">
        <f aca="false">O59*O60</f>
        <v>195.07984633018</v>
      </c>
      <c r="P61" s="337" t="n">
        <f aca="false">P59*P60</f>
        <v>195.07984633018</v>
      </c>
      <c r="Q61" s="337" t="n">
        <f aca="false">Q59*Q60</f>
        <v>195.07984633018</v>
      </c>
      <c r="R61" s="337" t="n">
        <f aca="false">R59*R60</f>
        <v>195.07984633018</v>
      </c>
      <c r="S61" s="337" t="n">
        <f aca="false">S59*S60</f>
        <v>195.07984633018</v>
      </c>
      <c r="T61" s="337" t="n">
        <f aca="false">T59*T60</f>
        <v>195.07984633018</v>
      </c>
      <c r="U61" s="337" t="n">
        <f aca="false">U59*U60</f>
        <v>195.07984633018</v>
      </c>
      <c r="V61" s="337"/>
      <c r="W61" s="337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2"/>
      <c r="AK61" s="92"/>
      <c r="AL61" s="92"/>
      <c r="AM61" s="92"/>
      <c r="AN61" s="92"/>
      <c r="AO61" s="92"/>
      <c r="AP61" s="92"/>
      <c r="AQ61" s="92"/>
      <c r="AR61" s="92"/>
      <c r="AS61" s="92"/>
    </row>
    <row r="62" customFormat="false" ht="12.75" hidden="false" customHeight="true" outlineLevel="0" collapsed="false">
      <c r="A62" s="348"/>
      <c r="B62" s="348"/>
      <c r="C62" s="348"/>
      <c r="D62" s="349"/>
      <c r="E62" s="349"/>
      <c r="F62" s="349"/>
      <c r="G62" s="349"/>
      <c r="H62" s="349"/>
      <c r="I62" s="349"/>
      <c r="J62" s="349"/>
      <c r="K62" s="349"/>
      <c r="L62" s="349"/>
      <c r="M62" s="349"/>
      <c r="N62" s="349"/>
      <c r="O62" s="349"/>
      <c r="P62" s="349"/>
      <c r="Q62" s="349"/>
      <c r="R62" s="349"/>
      <c r="S62" s="349"/>
      <c r="T62" s="349"/>
      <c r="U62" s="349"/>
      <c r="V62" s="349"/>
      <c r="W62" s="349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  <c r="AM62" s="92"/>
      <c r="AN62" s="92"/>
      <c r="AO62" s="92"/>
      <c r="AP62" s="92"/>
      <c r="AQ62" s="92"/>
      <c r="AR62" s="92"/>
      <c r="AS62" s="92"/>
    </row>
    <row r="63" customFormat="false" ht="12.75" hidden="false" customHeight="true" outlineLevel="0" collapsed="false">
      <c r="A63" s="289" t="s">
        <v>177</v>
      </c>
      <c r="B63" s="348"/>
      <c r="C63" s="348"/>
      <c r="D63" s="349"/>
      <c r="E63" s="349"/>
      <c r="F63" s="349"/>
      <c r="G63" s="349"/>
      <c r="H63" s="349"/>
      <c r="I63" s="349"/>
      <c r="J63" s="349"/>
      <c r="K63" s="349"/>
      <c r="L63" s="349"/>
      <c r="M63" s="349"/>
      <c r="N63" s="349"/>
      <c r="O63" s="349"/>
      <c r="P63" s="349"/>
      <c r="Q63" s="349"/>
      <c r="R63" s="349"/>
      <c r="S63" s="349"/>
      <c r="T63" s="349"/>
      <c r="U63" s="349"/>
      <c r="V63" s="349"/>
      <c r="W63" s="349"/>
      <c r="X63" s="334"/>
      <c r="Y63" s="334"/>
      <c r="Z63" s="333"/>
      <c r="AA63" s="340"/>
      <c r="AB63" s="340"/>
      <c r="AC63" s="340"/>
      <c r="AD63" s="340"/>
      <c r="AE63" s="340"/>
      <c r="AF63" s="340"/>
      <c r="AG63" s="340"/>
      <c r="AH63" s="340"/>
      <c r="AI63" s="340"/>
      <c r="AJ63" s="340"/>
      <c r="AK63" s="340"/>
      <c r="AL63" s="340"/>
      <c r="AM63" s="340"/>
      <c r="AN63" s="340"/>
      <c r="AO63" s="340"/>
      <c r="AP63" s="340"/>
      <c r="AQ63" s="340"/>
      <c r="AR63" s="340"/>
      <c r="AS63" s="340"/>
    </row>
    <row r="64" customFormat="false" ht="12.75" hidden="false" customHeight="true" outlineLevel="0" collapsed="false">
      <c r="A64" s="289"/>
      <c r="B64" s="348"/>
      <c r="C64" s="348"/>
      <c r="D64" s="349"/>
      <c r="E64" s="349"/>
      <c r="F64" s="349"/>
      <c r="G64" s="349"/>
      <c r="H64" s="349"/>
      <c r="I64" s="349"/>
      <c r="J64" s="349"/>
      <c r="K64" s="349"/>
      <c r="L64" s="349"/>
      <c r="M64" s="349"/>
      <c r="N64" s="349"/>
      <c r="O64" s="349"/>
      <c r="P64" s="349"/>
      <c r="Q64" s="349"/>
      <c r="R64" s="349"/>
      <c r="S64" s="349"/>
      <c r="T64" s="349"/>
      <c r="U64" s="349"/>
      <c r="V64" s="349"/>
      <c r="W64" s="349"/>
      <c r="X64" s="335"/>
      <c r="Y64" s="335"/>
      <c r="Z64" s="333"/>
      <c r="AA64" s="340"/>
      <c r="AB64" s="340"/>
      <c r="AC64" s="340"/>
      <c r="AD64" s="340"/>
      <c r="AE64" s="340"/>
      <c r="AF64" s="340"/>
      <c r="AG64" s="340"/>
      <c r="AH64" s="340"/>
      <c r="AI64" s="340"/>
      <c r="AJ64" s="340"/>
      <c r="AK64" s="340"/>
      <c r="AL64" s="340"/>
      <c r="AM64" s="340"/>
      <c r="AN64" s="340"/>
      <c r="AO64" s="340"/>
      <c r="AP64" s="340"/>
      <c r="AQ64" s="340"/>
      <c r="AR64" s="340"/>
      <c r="AS64" s="340"/>
    </row>
    <row r="65" customFormat="false" ht="12.75" hidden="false" customHeight="true" outlineLevel="0" collapsed="false">
      <c r="A65" s="24" t="s">
        <v>180</v>
      </c>
      <c r="B65" s="167" t="n">
        <f aca="false">B30</f>
        <v>14052.5658246836</v>
      </c>
      <c r="C65" s="167" t="n">
        <f aca="false">C30</f>
        <v>16362.4831137714</v>
      </c>
      <c r="D65" s="167" t="n">
        <f aca="false">D30</f>
        <v>18751.066163952</v>
      </c>
      <c r="E65" s="167" t="n">
        <f aca="false">E30</f>
        <v>21248.7281385718</v>
      </c>
      <c r="F65" s="167" t="n">
        <f aca="false">F30</f>
        <v>23990.9091512886</v>
      </c>
      <c r="G65" s="167" t="n">
        <f aca="false">G30</f>
        <v>25470.9901814234</v>
      </c>
      <c r="H65" s="167" t="n">
        <f aca="false">H30</f>
        <v>26995.9238242456</v>
      </c>
      <c r="I65" s="167" t="n">
        <f aca="false">I30</f>
        <v>28526.0326616687</v>
      </c>
      <c r="J65" s="167" t="n">
        <f aca="false">J30</f>
        <v>30169.3404853495</v>
      </c>
      <c r="K65" s="167" t="n">
        <f aca="false">K30</f>
        <v>31832.6568181309</v>
      </c>
      <c r="L65" s="167" t="n">
        <f aca="false">L30</f>
        <v>33530.672634993</v>
      </c>
      <c r="M65" s="167" t="n">
        <f aca="false">M30</f>
        <v>35275.8834327818</v>
      </c>
      <c r="N65" s="167" t="n">
        <f aca="false">N30</f>
        <v>37148.9435808457</v>
      </c>
      <c r="O65" s="167" t="n">
        <f aca="false">O30</f>
        <v>39076.8117304605</v>
      </c>
      <c r="P65" s="167" t="n">
        <f aca="false">P30</f>
        <v>41096.2525011217</v>
      </c>
      <c r="Q65" s="167" t="n">
        <f aca="false">Q30</f>
        <v>42929.0835994155</v>
      </c>
      <c r="R65" s="167" t="n">
        <f aca="false">R30</f>
        <v>44903.0327398851</v>
      </c>
      <c r="S65" s="167" t="n">
        <f aca="false">S30</f>
        <v>46973.5219708998</v>
      </c>
      <c r="T65" s="167" t="n">
        <f aca="false">T30</f>
        <v>49171.4000306985</v>
      </c>
      <c r="U65" s="167" t="n">
        <f aca="false">U30</f>
        <v>51507.3480338624</v>
      </c>
      <c r="V65" s="92"/>
      <c r="W65" s="322" t="n">
        <f aca="false">SUM(B65:U65)</f>
        <v>659013.646618049</v>
      </c>
      <c r="X65" s="336"/>
      <c r="Y65" s="336"/>
      <c r="Z65" s="340"/>
      <c r="AA65" s="340"/>
      <c r="AB65" s="340"/>
      <c r="AC65" s="340"/>
      <c r="AD65" s="340"/>
      <c r="AE65" s="340"/>
      <c r="AF65" s="340"/>
      <c r="AG65" s="340"/>
      <c r="AH65" s="340"/>
      <c r="AI65" s="340"/>
      <c r="AJ65" s="340"/>
      <c r="AK65" s="340"/>
      <c r="AL65" s="340"/>
      <c r="AM65" s="340"/>
      <c r="AN65" s="340"/>
      <c r="AO65" s="340"/>
      <c r="AP65" s="340"/>
      <c r="AQ65" s="340"/>
      <c r="AR65" s="340"/>
      <c r="AS65" s="340"/>
    </row>
    <row r="66" customFormat="false" ht="12.75" hidden="false" customHeight="true" outlineLevel="0" collapsed="false">
      <c r="A66" s="24" t="s">
        <v>181</v>
      </c>
      <c r="B66" s="167" t="n">
        <f aca="false">B24</f>
        <v>10487.1953063655</v>
      </c>
      <c r="C66" s="167" t="n">
        <f aca="false">C24</f>
        <v>10487.1953063655</v>
      </c>
      <c r="D66" s="167" t="n">
        <f aca="false">D24</f>
        <v>10487.1953063655</v>
      </c>
      <c r="E66" s="167" t="n">
        <f aca="false">E24</f>
        <v>10487.1953063655</v>
      </c>
      <c r="F66" s="167" t="n">
        <f aca="false">F24</f>
        <v>10487.1953063655</v>
      </c>
      <c r="G66" s="167" t="n">
        <f aca="false">G24</f>
        <v>10487.1953063655</v>
      </c>
      <c r="H66" s="167" t="n">
        <f aca="false">H24</f>
        <v>10487.1953063655</v>
      </c>
      <c r="I66" s="167" t="n">
        <f aca="false">I24</f>
        <v>10487.1953063655</v>
      </c>
      <c r="J66" s="167" t="n">
        <f aca="false">J24</f>
        <v>10487.1953063655</v>
      </c>
      <c r="K66" s="167" t="n">
        <f aca="false">K24</f>
        <v>10487.1953063655</v>
      </c>
      <c r="L66" s="167" t="n">
        <f aca="false">L24</f>
        <v>10487.1953063655</v>
      </c>
      <c r="M66" s="167" t="n">
        <f aca="false">M24</f>
        <v>10487.1953063655</v>
      </c>
      <c r="N66" s="167" t="n">
        <f aca="false">N24</f>
        <v>10487.1953063655</v>
      </c>
      <c r="O66" s="167" t="n">
        <f aca="false">O24</f>
        <v>10487.1953063655</v>
      </c>
      <c r="P66" s="167" t="n">
        <f aca="false">P24</f>
        <v>10487.1953063655</v>
      </c>
      <c r="Q66" s="167" t="n">
        <f aca="false">Q24</f>
        <v>10487.1953063655</v>
      </c>
      <c r="R66" s="167" t="n">
        <f aca="false">R24</f>
        <v>10487.1953063655</v>
      </c>
      <c r="S66" s="167" t="n">
        <f aca="false">S24</f>
        <v>10487.1953063655</v>
      </c>
      <c r="T66" s="167" t="n">
        <f aca="false">T24</f>
        <v>10487.1953063655</v>
      </c>
      <c r="U66" s="167" t="n">
        <f aca="false">U24</f>
        <v>10487.1953063655</v>
      </c>
      <c r="V66" s="92"/>
      <c r="W66" s="322" t="n">
        <f aca="false">SUM(B66:U66)</f>
        <v>209743.906127311</v>
      </c>
      <c r="X66" s="337"/>
      <c r="Y66" s="337"/>
      <c r="Z66" s="340"/>
      <c r="AA66" s="340"/>
      <c r="AB66" s="340"/>
      <c r="AC66" s="340"/>
      <c r="AD66" s="340"/>
      <c r="AE66" s="340"/>
      <c r="AF66" s="340"/>
      <c r="AG66" s="340"/>
      <c r="AH66" s="340"/>
      <c r="AI66" s="340"/>
      <c r="AJ66" s="340"/>
      <c r="AK66" s="340"/>
      <c r="AL66" s="340"/>
      <c r="AM66" s="340"/>
      <c r="AN66" s="340"/>
      <c r="AO66" s="340"/>
      <c r="AP66" s="340"/>
      <c r="AQ66" s="340"/>
      <c r="AR66" s="340"/>
      <c r="AS66" s="340"/>
    </row>
    <row r="67" customFormat="false" ht="15" hidden="false" customHeight="true" outlineLevel="0" collapsed="false">
      <c r="A67" s="24" t="s">
        <v>212</v>
      </c>
      <c r="B67" s="192" t="n">
        <f aca="false">-Depreciation!C56</f>
        <v>-17478.6588439425</v>
      </c>
      <c r="C67" s="192" t="n">
        <f aca="false">-Depreciation!D56</f>
        <v>-33209.4518034908</v>
      </c>
      <c r="D67" s="192" t="n">
        <f aca="false">-Depreciation!E56</f>
        <v>-29888.5066231418</v>
      </c>
      <c r="E67" s="192" t="n">
        <f aca="false">-Depreciation!F56</f>
        <v>-26917.1346196715</v>
      </c>
      <c r="F67" s="192" t="n">
        <f aca="false">-Depreciation!G56</f>
        <v>-24225.4211577044</v>
      </c>
      <c r="G67" s="192" t="n">
        <f aca="false">-Depreciation!H56</f>
        <v>-21778.4089195524</v>
      </c>
      <c r="H67" s="192" t="n">
        <f aca="false">-Depreciation!I56</f>
        <v>-20624.8174358522</v>
      </c>
      <c r="I67" s="192" t="n">
        <f aca="false">-Depreciation!J56</f>
        <v>-20659.7747535401</v>
      </c>
      <c r="J67" s="192" t="n">
        <f aca="false">-Depreciation!K56</f>
        <v>-20624.8174358522</v>
      </c>
      <c r="K67" s="192" t="n">
        <f aca="false">-Depreciation!L56</f>
        <v>-20659.7747535401</v>
      </c>
      <c r="L67" s="192" t="n">
        <f aca="false">-Depreciation!M56</f>
        <v>-20624.8174358522</v>
      </c>
      <c r="M67" s="192" t="n">
        <f aca="false">-Depreciation!N56</f>
        <v>-20659.7747535401</v>
      </c>
      <c r="N67" s="192" t="n">
        <f aca="false">-Depreciation!O56</f>
        <v>-20624.8174358522</v>
      </c>
      <c r="O67" s="192" t="n">
        <f aca="false">-Depreciation!P56</f>
        <v>-20659.7747535401</v>
      </c>
      <c r="P67" s="192" t="n">
        <f aca="false">-Depreciation!Q56</f>
        <v>-20624.8174358522</v>
      </c>
      <c r="Q67" s="192" t="n">
        <f aca="false">-Depreciation!R56</f>
        <v>-20624.8174358522</v>
      </c>
      <c r="R67" s="192" t="n">
        <f aca="false">-Depreciation!S56</f>
        <v>-0</v>
      </c>
      <c r="S67" s="192" t="n">
        <f aca="false">-Depreciation!T56</f>
        <v>-0</v>
      </c>
      <c r="T67" s="192" t="n">
        <f aca="false">-Depreciation!U56</f>
        <v>-0</v>
      </c>
      <c r="U67" s="192" t="n">
        <f aca="false">-Depreciation!V56</f>
        <v>-0</v>
      </c>
      <c r="V67" s="92"/>
      <c r="W67" s="329" t="n">
        <f aca="false">SUM(B67:U67)</f>
        <v>-359885.585596777</v>
      </c>
      <c r="X67" s="349"/>
      <c r="Y67" s="349"/>
      <c r="Z67" s="340"/>
      <c r="AA67" s="340"/>
      <c r="AB67" s="340"/>
      <c r="AC67" s="340"/>
      <c r="AD67" s="340"/>
      <c r="AE67" s="340"/>
      <c r="AF67" s="340"/>
      <c r="AG67" s="340"/>
      <c r="AH67" s="340"/>
      <c r="AI67" s="340"/>
      <c r="AJ67" s="340"/>
      <c r="AK67" s="340"/>
      <c r="AL67" s="340"/>
      <c r="AM67" s="340"/>
      <c r="AN67" s="340"/>
      <c r="AO67" s="340"/>
      <c r="AP67" s="340"/>
      <c r="AQ67" s="340"/>
      <c r="AR67" s="340"/>
      <c r="AS67" s="340"/>
    </row>
    <row r="68" customFormat="false" ht="12.75" hidden="false" customHeight="true" outlineLevel="0" collapsed="false">
      <c r="A68" s="295" t="s">
        <v>213</v>
      </c>
      <c r="B68" s="167" t="n">
        <f aca="false">SUM(B65:B67)</f>
        <v>7061.10228710657</v>
      </c>
      <c r="C68" s="167" t="n">
        <f aca="false">SUM(C65:C67)</f>
        <v>-6359.77338335387</v>
      </c>
      <c r="D68" s="167" t="n">
        <f aca="false">SUM(D65:D67)</f>
        <v>-650.24515282426</v>
      </c>
      <c r="E68" s="167" t="n">
        <f aca="false">SUM(E65:E67)</f>
        <v>4818.7888252658</v>
      </c>
      <c r="F68" s="167" t="n">
        <f aca="false">SUM(F65:F67)</f>
        <v>10252.6832999498</v>
      </c>
      <c r="G68" s="167" t="n">
        <f aca="false">SUM(G65:G67)</f>
        <v>14179.7765682365</v>
      </c>
      <c r="H68" s="167" t="n">
        <f aca="false">SUM(H65:H67)</f>
        <v>16858.3016947589</v>
      </c>
      <c r="I68" s="167" t="n">
        <f aca="false">SUM(I65:I67)</f>
        <v>18353.4532144942</v>
      </c>
      <c r="J68" s="167" t="n">
        <f aca="false">SUM(J65:J67)</f>
        <v>20031.7183558628</v>
      </c>
      <c r="K68" s="167" t="n">
        <f aca="false">SUM(K65:K67)</f>
        <v>21660.0773709563</v>
      </c>
      <c r="L68" s="167" t="n">
        <f aca="false">SUM(L65:L67)</f>
        <v>23393.0505055063</v>
      </c>
      <c r="M68" s="167" t="n">
        <f aca="false">SUM(M65:M67)</f>
        <v>25103.3039856072</v>
      </c>
      <c r="N68" s="167" t="n">
        <f aca="false">SUM(N65:N67)</f>
        <v>27011.321451359</v>
      </c>
      <c r="O68" s="167" t="n">
        <f aca="false">SUM(O65:O67)</f>
        <v>28904.2322832859</v>
      </c>
      <c r="P68" s="167" t="n">
        <f aca="false">SUM(P65:P67)</f>
        <v>30958.630371635</v>
      </c>
      <c r="Q68" s="167" t="n">
        <f aca="false">SUM(Q65:Q67)</f>
        <v>32791.4614699289</v>
      </c>
      <c r="R68" s="167" t="n">
        <f aca="false">SUM(R65:R67)</f>
        <v>55390.2280462507</v>
      </c>
      <c r="S68" s="167" t="n">
        <f aca="false">SUM(S65:S67)</f>
        <v>57460.7172772653</v>
      </c>
      <c r="T68" s="167" t="n">
        <f aca="false">SUM(T65:T67)</f>
        <v>59658.5953370641</v>
      </c>
      <c r="U68" s="167" t="n">
        <f aca="false">SUM(U65:U67)</f>
        <v>61994.5433402279</v>
      </c>
      <c r="V68" s="92"/>
      <c r="W68" s="322" t="n">
        <f aca="false">SUM(B68:U68)</f>
        <v>508871.967148583</v>
      </c>
      <c r="X68" s="349"/>
      <c r="Y68" s="349"/>
      <c r="Z68" s="340"/>
      <c r="AA68" s="340"/>
      <c r="AB68" s="340"/>
      <c r="AC68" s="340"/>
      <c r="AD68" s="340"/>
      <c r="AE68" s="340"/>
      <c r="AF68" s="340"/>
      <c r="AG68" s="340"/>
      <c r="AH68" s="340"/>
      <c r="AI68" s="340"/>
      <c r="AJ68" s="340"/>
      <c r="AK68" s="340"/>
      <c r="AL68" s="340"/>
      <c r="AM68" s="340"/>
      <c r="AN68" s="340"/>
      <c r="AO68" s="340"/>
      <c r="AP68" s="340"/>
      <c r="AQ68" s="340"/>
      <c r="AR68" s="340"/>
      <c r="AS68" s="340"/>
    </row>
    <row r="69" customFormat="false" ht="12.75" hidden="false" customHeight="true" outlineLevel="0" collapsed="false">
      <c r="A69" s="24"/>
      <c r="B69" s="167"/>
      <c r="C69" s="167"/>
      <c r="D69" s="167"/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67"/>
      <c r="P69" s="167"/>
      <c r="Q69" s="167"/>
      <c r="R69" s="167"/>
      <c r="S69" s="167"/>
      <c r="T69" s="167"/>
      <c r="U69" s="167"/>
      <c r="V69" s="92"/>
      <c r="W69" s="92"/>
      <c r="X69" s="349"/>
      <c r="Y69" s="349"/>
      <c r="Z69" s="340"/>
      <c r="AA69" s="340"/>
      <c r="AB69" s="340"/>
      <c r="AC69" s="340"/>
      <c r="AD69" s="340"/>
      <c r="AE69" s="340"/>
      <c r="AF69" s="340"/>
      <c r="AG69" s="340"/>
      <c r="AH69" s="340"/>
      <c r="AI69" s="340"/>
      <c r="AJ69" s="340"/>
      <c r="AK69" s="340"/>
      <c r="AL69" s="340"/>
      <c r="AM69" s="340"/>
      <c r="AN69" s="340"/>
      <c r="AO69" s="340"/>
      <c r="AP69" s="340"/>
      <c r="AQ69" s="340"/>
      <c r="AR69" s="340"/>
      <c r="AS69" s="340"/>
    </row>
    <row r="70" customFormat="false" ht="12.75" hidden="false" customHeight="true" outlineLevel="0" collapsed="false">
      <c r="A70" s="24" t="s">
        <v>77</v>
      </c>
      <c r="B70" s="330" t="n">
        <f aca="false">Assumptions!$E$37</f>
        <v>0.0718</v>
      </c>
      <c r="C70" s="330" t="n">
        <f aca="false">Assumptions!$E$37</f>
        <v>0.0718</v>
      </c>
      <c r="D70" s="330" t="n">
        <f aca="false">Assumptions!$E$37</f>
        <v>0.0718</v>
      </c>
      <c r="E70" s="330" t="n">
        <f aca="false">Assumptions!$E$37</f>
        <v>0.0718</v>
      </c>
      <c r="F70" s="330" t="n">
        <f aca="false">Assumptions!$E$37</f>
        <v>0.0718</v>
      </c>
      <c r="G70" s="330" t="n">
        <f aca="false">Assumptions!$E$37</f>
        <v>0.0718</v>
      </c>
      <c r="H70" s="330" t="n">
        <f aca="false">Assumptions!$E$37</f>
        <v>0.0718</v>
      </c>
      <c r="I70" s="330" t="n">
        <f aca="false">Assumptions!$E$37</f>
        <v>0.0718</v>
      </c>
      <c r="J70" s="330" t="n">
        <f aca="false">Assumptions!$E$37</f>
        <v>0.0718</v>
      </c>
      <c r="K70" s="330" t="n">
        <f aca="false">Assumptions!$E$37</f>
        <v>0.0718</v>
      </c>
      <c r="L70" s="330" t="n">
        <f aca="false">Assumptions!$E$37</f>
        <v>0.0718</v>
      </c>
      <c r="M70" s="330" t="n">
        <f aca="false">Assumptions!$E$37</f>
        <v>0.0718</v>
      </c>
      <c r="N70" s="330" t="n">
        <f aca="false">Assumptions!$E$37</f>
        <v>0.0718</v>
      </c>
      <c r="O70" s="330" t="n">
        <f aca="false">Assumptions!$E$37</f>
        <v>0.0718</v>
      </c>
      <c r="P70" s="330" t="n">
        <f aca="false">Assumptions!$E$37</f>
        <v>0.0718</v>
      </c>
      <c r="Q70" s="330" t="n">
        <f aca="false">Assumptions!$E$37</f>
        <v>0.0718</v>
      </c>
      <c r="R70" s="330" t="n">
        <f aca="false">Assumptions!$E$37</f>
        <v>0.0718</v>
      </c>
      <c r="S70" s="330" t="n">
        <f aca="false">Assumptions!$E$37</f>
        <v>0.0718</v>
      </c>
      <c r="T70" s="330" t="n">
        <f aca="false">Assumptions!$E$37</f>
        <v>0.0718</v>
      </c>
      <c r="U70" s="330" t="n">
        <f aca="false">Assumptions!$E$37</f>
        <v>0.0718</v>
      </c>
      <c r="V70" s="92"/>
      <c r="W70" s="92"/>
      <c r="X70" s="349"/>
      <c r="Y70" s="349"/>
      <c r="Z70" s="340"/>
      <c r="AA70" s="340"/>
      <c r="AB70" s="340"/>
      <c r="AC70" s="340"/>
      <c r="AD70" s="340"/>
      <c r="AE70" s="340"/>
      <c r="AF70" s="340"/>
      <c r="AG70" s="340"/>
      <c r="AH70" s="340"/>
      <c r="AI70" s="340"/>
      <c r="AJ70" s="340"/>
      <c r="AK70" s="340"/>
      <c r="AL70" s="340"/>
      <c r="AM70" s="340"/>
      <c r="AN70" s="340"/>
      <c r="AO70" s="340"/>
      <c r="AP70" s="340"/>
      <c r="AQ70" s="340"/>
      <c r="AR70" s="340"/>
      <c r="AS70" s="340"/>
    </row>
    <row r="71" customFormat="false" ht="12.75" hidden="false" customHeight="true" outlineLevel="0" collapsed="false">
      <c r="A71" s="24" t="s">
        <v>229</v>
      </c>
      <c r="B71" s="167" t="n">
        <f aca="false">B68*B70</f>
        <v>506.987144214251</v>
      </c>
      <c r="C71" s="167" t="n">
        <f aca="false">C68*C70</f>
        <v>-456.631728924808</v>
      </c>
      <c r="D71" s="167" t="n">
        <f aca="false">D68*D70</f>
        <v>-46.6876019727819</v>
      </c>
      <c r="E71" s="167" t="n">
        <f aca="false">E68*E70</f>
        <v>345.989037654085</v>
      </c>
      <c r="F71" s="167" t="n">
        <f aca="false">F68*F70</f>
        <v>736.142660936395</v>
      </c>
      <c r="G71" s="167" t="n">
        <f aca="false">G68*G70</f>
        <v>1018.10795759938</v>
      </c>
      <c r="H71" s="167" t="n">
        <f aca="false">H68*H70</f>
        <v>1210.42606168369</v>
      </c>
      <c r="I71" s="167" t="n">
        <f aca="false">I68*I70</f>
        <v>1317.77794080068</v>
      </c>
      <c r="J71" s="167" t="n">
        <f aca="false">J68*J70</f>
        <v>1438.27737795095</v>
      </c>
      <c r="K71" s="167" t="n">
        <f aca="false">K68*K70</f>
        <v>1555.19355523466</v>
      </c>
      <c r="L71" s="167" t="n">
        <f aca="false">L68*L70</f>
        <v>1679.62102629535</v>
      </c>
      <c r="M71" s="167" t="n">
        <f aca="false">M68*M70</f>
        <v>1802.4172261666</v>
      </c>
      <c r="N71" s="167" t="n">
        <f aca="false">N68*N70</f>
        <v>1939.41288020758</v>
      </c>
      <c r="O71" s="167" t="n">
        <f aca="false">O68*O70</f>
        <v>2075.32387793993</v>
      </c>
      <c r="P71" s="167" t="n">
        <f aca="false">P68*P70</f>
        <v>2222.82966068339</v>
      </c>
      <c r="Q71" s="167" t="n">
        <f aca="false">Q68*Q70</f>
        <v>2354.42693354089</v>
      </c>
      <c r="R71" s="167" t="n">
        <f aca="false">R68*R70</f>
        <v>3977.0183737208</v>
      </c>
      <c r="S71" s="167" t="n">
        <f aca="false">S68*S70</f>
        <v>4125.67950050765</v>
      </c>
      <c r="T71" s="167" t="n">
        <f aca="false">T68*T70</f>
        <v>4283.4871452012</v>
      </c>
      <c r="U71" s="167" t="n">
        <f aca="false">U68*U70</f>
        <v>4451.20821182836</v>
      </c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92"/>
      <c r="AK71" s="92"/>
      <c r="AL71" s="92"/>
      <c r="AM71" s="92"/>
      <c r="AN71" s="92"/>
      <c r="AO71" s="92"/>
      <c r="AP71" s="92"/>
      <c r="AQ71" s="92"/>
      <c r="AR71" s="92"/>
      <c r="AS71" s="92"/>
    </row>
    <row r="72" customFormat="false" ht="12.75" hidden="false" customHeight="true" outlineLevel="0" collapsed="false">
      <c r="A72" s="24"/>
      <c r="B72" s="167"/>
      <c r="C72" s="167"/>
      <c r="D72" s="167"/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92"/>
      <c r="W72" s="92"/>
      <c r="X72" s="92"/>
      <c r="Y72" s="92"/>
      <c r="Z72" s="92"/>
      <c r="AA72" s="92"/>
      <c r="AB72" s="92"/>
      <c r="AC72" s="92"/>
      <c r="AD72" s="92"/>
      <c r="AE72" s="92"/>
      <c r="AF72" s="92"/>
      <c r="AG72" s="92"/>
      <c r="AH72" s="92"/>
      <c r="AI72" s="92"/>
      <c r="AJ72" s="92"/>
      <c r="AK72" s="92"/>
      <c r="AL72" s="92"/>
      <c r="AM72" s="92"/>
      <c r="AN72" s="92"/>
      <c r="AO72" s="92"/>
      <c r="AP72" s="92"/>
      <c r="AQ72" s="92"/>
      <c r="AR72" s="92"/>
      <c r="AS72" s="92"/>
    </row>
    <row r="73" customFormat="false" ht="12.75" hidden="false" customHeight="true" outlineLevel="0" collapsed="false">
      <c r="A73" s="24" t="s">
        <v>234</v>
      </c>
      <c r="B73" s="167" t="n">
        <v>0</v>
      </c>
      <c r="C73" s="167" t="n">
        <f aca="false">B77</f>
        <v>0</v>
      </c>
      <c r="D73" s="167" t="n">
        <f aca="false">C77</f>
        <v>456.631728924808</v>
      </c>
      <c r="E73" s="167" t="n">
        <f aca="false">D77</f>
        <v>503.31933089759</v>
      </c>
      <c r="F73" s="167" t="n">
        <f aca="false">E77</f>
        <v>157.330293243505</v>
      </c>
      <c r="G73" s="167" t="n">
        <f aca="false">F77</f>
        <v>0</v>
      </c>
      <c r="H73" s="167" t="n">
        <f aca="false">G77</f>
        <v>0</v>
      </c>
      <c r="I73" s="167" t="n">
        <f aca="false">H77</f>
        <v>0</v>
      </c>
      <c r="J73" s="167" t="n">
        <f aca="false">I77</f>
        <v>0</v>
      </c>
      <c r="K73" s="167" t="n">
        <f aca="false">J77</f>
        <v>0</v>
      </c>
      <c r="L73" s="167" t="n">
        <f aca="false">K77</f>
        <v>0</v>
      </c>
      <c r="M73" s="167" t="n">
        <f aca="false">L77</f>
        <v>0</v>
      </c>
      <c r="N73" s="167" t="n">
        <f aca="false">M77</f>
        <v>0</v>
      </c>
      <c r="O73" s="167" t="n">
        <f aca="false">N77</f>
        <v>0</v>
      </c>
      <c r="P73" s="167" t="n">
        <f aca="false">O77</f>
        <v>0</v>
      </c>
      <c r="Q73" s="167" t="n">
        <f aca="false">P77</f>
        <v>0</v>
      </c>
      <c r="R73" s="167" t="n">
        <v>0</v>
      </c>
      <c r="S73" s="167" t="n">
        <f aca="false">R77</f>
        <v>0</v>
      </c>
      <c r="T73" s="167" t="n">
        <f aca="false">S77</f>
        <v>0</v>
      </c>
      <c r="U73" s="167" t="n">
        <f aca="false">T77</f>
        <v>0</v>
      </c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92"/>
      <c r="AK73" s="92"/>
      <c r="AL73" s="92"/>
      <c r="AM73" s="92"/>
      <c r="AN73" s="92"/>
      <c r="AO73" s="92"/>
      <c r="AP73" s="92"/>
      <c r="AQ73" s="92"/>
      <c r="AR73" s="92"/>
      <c r="AS73" s="92"/>
    </row>
    <row r="74" customFormat="false" ht="12.75" hidden="false" customHeight="true" outlineLevel="0" collapsed="false">
      <c r="A74" s="24" t="s">
        <v>235</v>
      </c>
      <c r="B74" s="167" t="n">
        <f aca="false">IF(B53&gt;2020,0,IF(B71&lt;0,-B71,0))</f>
        <v>0</v>
      </c>
      <c r="C74" s="167" t="n">
        <f aca="false">IF(C53&gt;2020,0,IF(C71&lt;0,-C71,0))</f>
        <v>456.631728924808</v>
      </c>
      <c r="D74" s="167" t="n">
        <f aca="false">IF(D53&gt;2020,0,IF(D71&lt;0,-D71,0))</f>
        <v>46.6876019727819</v>
      </c>
      <c r="E74" s="167" t="n">
        <f aca="false">IF(E53&gt;2020,0,IF(E71&lt;0,-E71,0))</f>
        <v>0</v>
      </c>
      <c r="F74" s="167" t="n">
        <f aca="false">IF(F53&gt;2020,0,IF(F71&lt;0,-F71,0))</f>
        <v>0</v>
      </c>
      <c r="G74" s="167" t="n">
        <f aca="false">IF(G53&gt;2020,0,IF(G71&lt;0,-G71,0))</f>
        <v>0</v>
      </c>
      <c r="H74" s="167" t="n">
        <f aca="false">IF(H53&gt;2020,0,IF(H71&lt;0,-H71,0))</f>
        <v>0</v>
      </c>
      <c r="I74" s="167" t="n">
        <f aca="false">IF(I53&gt;2020,0,IF(I71&lt;0,-I71,0))</f>
        <v>0</v>
      </c>
      <c r="J74" s="167" t="n">
        <f aca="false">IF(J53&gt;2020,0,IF(J71&lt;0,-J71,0))</f>
        <v>0</v>
      </c>
      <c r="K74" s="167" t="n">
        <f aca="false">IF(K53&gt;2020,0,IF(K71&lt;0,-K71,0))</f>
        <v>0</v>
      </c>
      <c r="L74" s="167" t="n">
        <f aca="false">IF(L53&gt;2020,0,IF(L71&lt;0,-L71,0))</f>
        <v>0</v>
      </c>
      <c r="M74" s="167" t="n">
        <f aca="false">IF(M53&gt;2020,0,IF(M71&lt;0,-M71,0))</f>
        <v>0</v>
      </c>
      <c r="N74" s="167" t="n">
        <f aca="false">IF(N53&gt;2020,0,IF(N71&lt;0,-N71,0))</f>
        <v>0</v>
      </c>
      <c r="O74" s="167" t="n">
        <f aca="false">IF(O53&gt;2020,0,IF(O71&lt;0,-O71,0))</f>
        <v>0</v>
      </c>
      <c r="P74" s="167" t="n">
        <f aca="false">IF(P53&gt;2020,0,IF(P71&lt;0,-P71,0))</f>
        <v>0</v>
      </c>
      <c r="Q74" s="167" t="n">
        <f aca="false">IF(Q53&gt;2020,0,IF(Q71&lt;0,-Q71,0))</f>
        <v>0</v>
      </c>
      <c r="R74" s="167" t="n">
        <f aca="false">IF(R53&gt;2020,0,IF(R71&lt;0,-R71,0))</f>
        <v>0</v>
      </c>
      <c r="S74" s="167" t="n">
        <f aca="false">IF(S53&gt;2020,0,IF(S71&lt;0,-S71,0))</f>
        <v>0</v>
      </c>
      <c r="T74" s="167" t="n">
        <f aca="false">IF(T53&gt;2020,0,IF(T71&lt;0,-T71,0))</f>
        <v>0</v>
      </c>
      <c r="U74" s="167" t="n">
        <f aca="false">IF(U53&gt;2020,0,IF(U71&lt;0,-U71,0))</f>
        <v>0</v>
      </c>
      <c r="V74" s="92"/>
      <c r="W74" s="92"/>
      <c r="X74" s="92"/>
      <c r="Y74" s="92"/>
      <c r="Z74" s="92"/>
      <c r="AA74" s="92"/>
      <c r="AB74" s="92"/>
      <c r="AC74" s="92"/>
      <c r="AD74" s="92"/>
      <c r="AE74" s="92"/>
      <c r="AF74" s="92"/>
      <c r="AG74" s="92"/>
      <c r="AH74" s="92"/>
      <c r="AI74" s="92"/>
      <c r="AJ74" s="92"/>
      <c r="AK74" s="92"/>
      <c r="AL74" s="92"/>
      <c r="AM74" s="92"/>
      <c r="AN74" s="92"/>
      <c r="AO74" s="92"/>
      <c r="AP74" s="92"/>
      <c r="AQ74" s="92"/>
      <c r="AR74" s="92"/>
      <c r="AS74" s="92"/>
    </row>
    <row r="75" customFormat="false" ht="12.75" hidden="false" customHeight="true" outlineLevel="0" collapsed="false">
      <c r="A75" s="24" t="s">
        <v>236</v>
      </c>
      <c r="B75" s="331" t="n">
        <v>0</v>
      </c>
      <c r="C75" s="331" t="n">
        <v>0</v>
      </c>
      <c r="D75" s="331" t="n">
        <v>0</v>
      </c>
      <c r="E75" s="331" t="n">
        <v>0</v>
      </c>
      <c r="F75" s="331" t="n">
        <v>0</v>
      </c>
      <c r="G75" s="331" t="n">
        <v>0</v>
      </c>
      <c r="H75" s="331" t="n">
        <v>0</v>
      </c>
      <c r="I75" s="331" t="n">
        <v>0</v>
      </c>
      <c r="J75" s="331" t="n">
        <v>0</v>
      </c>
      <c r="K75" s="331" t="n">
        <v>0</v>
      </c>
      <c r="L75" s="331" t="n">
        <v>0</v>
      </c>
      <c r="M75" s="331" t="n">
        <v>0</v>
      </c>
      <c r="N75" s="331" t="n">
        <v>0</v>
      </c>
      <c r="O75" s="331" t="n">
        <v>0</v>
      </c>
      <c r="P75" s="331" t="n">
        <v>0</v>
      </c>
      <c r="Q75" s="331" t="n">
        <v>0</v>
      </c>
      <c r="R75" s="331" t="n">
        <v>0</v>
      </c>
      <c r="S75" s="331" t="n">
        <v>0</v>
      </c>
      <c r="T75" s="167" t="n">
        <f aca="false">IF(L74&gt;(SUM(M76:S76)+SUM(L75:S75))*-1,L74-(SUM(L76:S76)+SUM(L75:S75))*-1,0)</f>
        <v>0</v>
      </c>
      <c r="U75" s="167" t="n">
        <f aca="false">IF(M74&gt;(SUM(N76:T76)+SUM(M75:T75))*-1,M74-(SUM(M76:T76)+SUM(M75:T75))*-1,0)</f>
        <v>0</v>
      </c>
      <c r="V75" s="92"/>
      <c r="W75" s="92"/>
      <c r="X75" s="92"/>
      <c r="Y75" s="92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92"/>
      <c r="AK75" s="92"/>
      <c r="AL75" s="92"/>
      <c r="AM75" s="92"/>
      <c r="AN75" s="92"/>
      <c r="AO75" s="92"/>
      <c r="AP75" s="92"/>
      <c r="AQ75" s="92"/>
      <c r="AR75" s="92"/>
      <c r="AS75" s="92"/>
    </row>
    <row r="76" customFormat="false" ht="12.75" hidden="false" customHeight="true" outlineLevel="0" collapsed="false">
      <c r="A76" s="12" t="s">
        <v>188</v>
      </c>
      <c r="B76" s="192" t="n">
        <f aca="false">IF(B71&lt;0,0,IF(B73&gt;B71,-B71,-B73))</f>
        <v>-0</v>
      </c>
      <c r="C76" s="192" t="n">
        <f aca="false">IF(C71&lt;0,0,IF(C73&gt;C71,-C71,-C73))</f>
        <v>0</v>
      </c>
      <c r="D76" s="192" t="n">
        <f aca="false">IF(D71&lt;0,0,IF(D73&gt;D71,-D71,-D73))</f>
        <v>0</v>
      </c>
      <c r="E76" s="192" t="n">
        <f aca="false">IF(E71&lt;0,0,IF(E73&gt;E71,-E71,-E73))</f>
        <v>-345.989037654085</v>
      </c>
      <c r="F76" s="192" t="n">
        <f aca="false">IF(F71&lt;0,0,IF(F73&gt;F71,-F71,-F73))</f>
        <v>-157.330293243505</v>
      </c>
      <c r="G76" s="192" t="n">
        <f aca="false">IF(G71&lt;0,0,IF(G73&gt;G71,-G71,-G73))</f>
        <v>-0</v>
      </c>
      <c r="H76" s="192" t="n">
        <f aca="false">IF(H71&lt;0,0,IF(H73&gt;H71,-H71,-H73))</f>
        <v>-0</v>
      </c>
      <c r="I76" s="192" t="n">
        <f aca="false">IF(I71&lt;0,0,IF(I73&gt;I71,-I71,-I73))</f>
        <v>-0</v>
      </c>
      <c r="J76" s="192" t="n">
        <f aca="false">IF(J71&lt;0,0,IF(J73&gt;J71,-J71,-J73))</f>
        <v>-0</v>
      </c>
      <c r="K76" s="192" t="n">
        <f aca="false">IF(K71&lt;0,0,IF(K73&gt;K71,-K71,-K73))</f>
        <v>-0</v>
      </c>
      <c r="L76" s="192" t="n">
        <f aca="false">IF(L71&lt;0,0,IF(L73&gt;L71,-L71,-L73))</f>
        <v>-0</v>
      </c>
      <c r="M76" s="192" t="n">
        <f aca="false">IF(M71&lt;0,0,IF(M73&gt;M71,-M71,-M73))</f>
        <v>-0</v>
      </c>
      <c r="N76" s="192" t="n">
        <f aca="false">IF(N71&lt;0,0,IF(N73&gt;N71,-N71,-N73))</f>
        <v>-0</v>
      </c>
      <c r="O76" s="192" t="n">
        <f aca="false">IF(O71&lt;0,0,IF(O73&gt;O71,-O71,-O73))</f>
        <v>-0</v>
      </c>
      <c r="P76" s="192" t="n">
        <f aca="false">IF(P71&lt;0,0,IF(P73&gt;P71,-P71,-P73))</f>
        <v>-0</v>
      </c>
      <c r="Q76" s="192" t="n">
        <f aca="false">IF(Q71&lt;0,0,IF(Q73&gt;Q71,-Q71,-Q73))</f>
        <v>-0</v>
      </c>
      <c r="R76" s="192" t="n">
        <f aca="false">IF(R71&lt;0,0,IF(R73&gt;R71,-R71,-R73))</f>
        <v>-0</v>
      </c>
      <c r="S76" s="192" t="n">
        <f aca="false">IF(S71&lt;0,0,IF(S73&gt;S71,-S71,-S73))</f>
        <v>-0</v>
      </c>
      <c r="T76" s="192" t="n">
        <f aca="false">IF(T71&lt;0,0,IF(T73&gt;T71,-T71,-T73))</f>
        <v>-0</v>
      </c>
      <c r="U76" s="192" t="n">
        <f aca="false">IF(U71&lt;0,0,IF(U73&gt;U71,-U71,-U73))</f>
        <v>-0</v>
      </c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</row>
    <row r="77" customFormat="false" ht="12.75" hidden="false" customHeight="true" outlineLevel="0" collapsed="false">
      <c r="A77" s="12" t="s">
        <v>237</v>
      </c>
      <c r="B77" s="192" t="n">
        <f aca="false">SUM(B73:B76)</f>
        <v>0</v>
      </c>
      <c r="C77" s="192" t="n">
        <f aca="false">SUM(C73:C76)</f>
        <v>456.631728924808</v>
      </c>
      <c r="D77" s="192" t="n">
        <f aca="false">SUM(D73:D76)</f>
        <v>503.31933089759</v>
      </c>
      <c r="E77" s="192" t="n">
        <f aca="false">SUM(E73:E76)</f>
        <v>157.330293243505</v>
      </c>
      <c r="F77" s="192" t="n">
        <f aca="false">SUM(F73:F76)</f>
        <v>0</v>
      </c>
      <c r="G77" s="192" t="n">
        <f aca="false">SUM(G73:G76)</f>
        <v>0</v>
      </c>
      <c r="H77" s="192" t="n">
        <f aca="false">SUM(H73:H76)</f>
        <v>0</v>
      </c>
      <c r="I77" s="192" t="n">
        <f aca="false">SUM(I73:I76)</f>
        <v>0</v>
      </c>
      <c r="J77" s="192" t="n">
        <f aca="false">SUM(J73:J76)</f>
        <v>0</v>
      </c>
      <c r="K77" s="192" t="n">
        <f aca="false">SUM(K73:K76)</f>
        <v>0</v>
      </c>
      <c r="L77" s="192" t="n">
        <f aca="false">SUM(L73:L76)</f>
        <v>0</v>
      </c>
      <c r="M77" s="192" t="n">
        <f aca="false">SUM(M73:M76)</f>
        <v>0</v>
      </c>
      <c r="N77" s="192" t="n">
        <f aca="false">SUM(N73:N76)</f>
        <v>0</v>
      </c>
      <c r="O77" s="192" t="n">
        <f aca="false">SUM(O73:O76)</f>
        <v>0</v>
      </c>
      <c r="P77" s="192" t="n">
        <f aca="false">SUM(P73:P76)</f>
        <v>0</v>
      </c>
      <c r="Q77" s="192" t="n">
        <f aca="false">SUM(Q73:Q76)</f>
        <v>0</v>
      </c>
      <c r="R77" s="192" t="n">
        <f aca="false">SUM(R73:R76)</f>
        <v>0</v>
      </c>
      <c r="S77" s="192" t="n">
        <f aca="false">SUM(S73:S76)</f>
        <v>0</v>
      </c>
      <c r="T77" s="192" t="n">
        <f aca="false">SUM(T73:T76)</f>
        <v>0</v>
      </c>
      <c r="U77" s="192" t="n">
        <f aca="false">SUM(U73:U76)</f>
        <v>0</v>
      </c>
      <c r="V77" s="92"/>
      <c r="W77" s="92"/>
      <c r="X77" s="92"/>
      <c r="Y77" s="92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92"/>
      <c r="AK77" s="92"/>
      <c r="AL77" s="92"/>
      <c r="AM77" s="92"/>
      <c r="AN77" s="92"/>
      <c r="AO77" s="92"/>
      <c r="AP77" s="92"/>
      <c r="AQ77" s="92"/>
      <c r="AR77" s="92"/>
      <c r="AS77" s="92"/>
    </row>
    <row r="78" customFormat="false" ht="12.75" hidden="false" customHeight="true" outlineLevel="0" collapsed="false">
      <c r="A78" s="12"/>
      <c r="B78" s="167"/>
      <c r="C78" s="167"/>
      <c r="D78" s="167"/>
      <c r="E78" s="167"/>
      <c r="F78" s="167"/>
      <c r="G78" s="167"/>
      <c r="H78" s="167"/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  <c r="T78" s="167"/>
      <c r="U78" s="167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92"/>
      <c r="AK78" s="92"/>
      <c r="AL78" s="92"/>
      <c r="AM78" s="92"/>
      <c r="AN78" s="92"/>
      <c r="AO78" s="92"/>
      <c r="AP78" s="92"/>
      <c r="AQ78" s="92"/>
      <c r="AR78" s="92"/>
      <c r="AS78" s="92"/>
    </row>
    <row r="79" customFormat="false" ht="13.5" hidden="false" customHeight="true" outlineLevel="0" collapsed="false">
      <c r="A79" s="40" t="s">
        <v>178</v>
      </c>
      <c r="B79" s="291" t="n">
        <f aca="false">IF(B71&lt;0,0,B71+B76)</f>
        <v>506.987144214251</v>
      </c>
      <c r="C79" s="291" t="n">
        <f aca="false">IF(C71&lt;0,0,C71+C76)</f>
        <v>0</v>
      </c>
      <c r="D79" s="291" t="n">
        <f aca="false">IF(D71&lt;0,0,D71+D76)</f>
        <v>0</v>
      </c>
      <c r="E79" s="291" t="n">
        <f aca="false">IF(E71&lt;0,0,E71+E76)</f>
        <v>0</v>
      </c>
      <c r="F79" s="291" t="n">
        <f aca="false">IF(F71&lt;0,0,F71+F76)</f>
        <v>578.81236769289</v>
      </c>
      <c r="G79" s="291" t="n">
        <f aca="false">IF(G71&lt;0,0,G71+G76)</f>
        <v>1018.10795759938</v>
      </c>
      <c r="H79" s="291" t="n">
        <f aca="false">IF(H71&lt;0,0,H71+H76)</f>
        <v>1210.42606168369</v>
      </c>
      <c r="I79" s="291" t="n">
        <f aca="false">IF(I71&lt;0,0,I71+I76)</f>
        <v>1317.77794080068</v>
      </c>
      <c r="J79" s="291" t="n">
        <f aca="false">IF(J71&lt;0,0,J71+J76)</f>
        <v>1438.27737795095</v>
      </c>
      <c r="K79" s="291" t="n">
        <f aca="false">IF(K71&lt;0,0,K71+K76)</f>
        <v>1555.19355523466</v>
      </c>
      <c r="L79" s="291" t="n">
        <f aca="false">IF(L71&lt;0,0,L71+L76)</f>
        <v>1679.62102629535</v>
      </c>
      <c r="M79" s="291" t="n">
        <f aca="false">IF(M71&lt;0,0,M71+M76)</f>
        <v>1802.4172261666</v>
      </c>
      <c r="N79" s="291" t="n">
        <f aca="false">IF(N71&lt;0,0,N71+N76)</f>
        <v>1939.41288020758</v>
      </c>
      <c r="O79" s="291" t="n">
        <f aca="false">IF(O71&lt;0,0,O71+O76)</f>
        <v>2075.32387793993</v>
      </c>
      <c r="P79" s="291" t="n">
        <f aca="false">IF(P71&lt;0,0,P71+P76)</f>
        <v>2222.82966068339</v>
      </c>
      <c r="Q79" s="291" t="n">
        <f aca="false">IF(Q71&lt;0,0,Q71+Q76)</f>
        <v>2354.42693354089</v>
      </c>
      <c r="R79" s="291" t="n">
        <f aca="false">IF(R71&lt;0,0,R71+R76)</f>
        <v>3977.0183737208</v>
      </c>
      <c r="S79" s="291" t="n">
        <f aca="false">IF(S71&lt;0,0,S71+S76)</f>
        <v>4125.67950050765</v>
      </c>
      <c r="T79" s="291" t="n">
        <f aca="false">IF(T71&lt;0,0,T71+T76)</f>
        <v>4283.4871452012</v>
      </c>
      <c r="U79" s="291" t="n">
        <f aca="false">IF(U71&lt;0,0,U71+U76)</f>
        <v>4451.20821182836</v>
      </c>
      <c r="V79" s="92"/>
      <c r="W79" s="322" t="n">
        <f aca="false">SUM(B79:U79)</f>
        <v>36537.0072412683</v>
      </c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  <c r="AK79" s="92"/>
      <c r="AL79" s="92"/>
      <c r="AM79" s="92"/>
      <c r="AN79" s="92"/>
      <c r="AO79" s="92"/>
      <c r="AP79" s="92"/>
      <c r="AQ79" s="92"/>
      <c r="AR79" s="92"/>
      <c r="AS79" s="9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&amp;L&amp;12Enron's Generation&amp;RCONFIDENTIAL</oddHeader>
    <oddFooter>&amp;L&amp;D&amp;C&amp;F&amp;RPage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6" activeCellId="0" sqref="C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28"/>
    <col collapsed="false" customWidth="true" hidden="false" outlineLevel="0" max="2" min="2" style="0" width="3.99"/>
    <col collapsed="false" customWidth="true" hidden="false" outlineLevel="0" max="3" min="3" style="0" width="17.28"/>
    <col collapsed="false" customWidth="true" hidden="false" outlineLevel="0" max="4" min="4" style="0" width="3.56"/>
    <col collapsed="false" customWidth="true" hidden="false" outlineLevel="0" max="5" min="5" style="0" width="13.7"/>
  </cols>
  <sheetData>
    <row r="1" customFormat="false" ht="12.75" hidden="false" customHeight="true" outlineLevel="0" collapsed="false"/>
    <row r="2" customFormat="false" ht="18" hidden="false" customHeight="true" outlineLevel="0" collapsed="false">
      <c r="A2" s="350" t="s">
        <v>238</v>
      </c>
      <c r="B2" s="2"/>
      <c r="C2" s="2"/>
      <c r="D2" s="2"/>
      <c r="E2" s="2"/>
    </row>
    <row r="3" customFormat="false" ht="15.75" hidden="false" customHeight="true" outlineLevel="0" collapsed="false">
      <c r="A3" s="351"/>
      <c r="B3" s="2"/>
      <c r="C3" s="2"/>
      <c r="D3" s="2"/>
      <c r="E3" s="2"/>
    </row>
    <row r="4" customFormat="false" ht="12.75" hidden="false" customHeight="true" outlineLevel="0" collapsed="false">
      <c r="A4" s="352" t="s">
        <v>239</v>
      </c>
      <c r="B4" s="223"/>
      <c r="C4" s="352" t="s">
        <v>240</v>
      </c>
      <c r="D4" s="223"/>
      <c r="E4" s="352" t="s">
        <v>241</v>
      </c>
    </row>
    <row r="5" customFormat="false" ht="12.75" hidden="false" customHeight="true" outlineLevel="0" collapsed="false">
      <c r="A5" s="2"/>
      <c r="B5" s="2"/>
      <c r="C5" s="2"/>
      <c r="D5" s="2"/>
      <c r="E5" s="2"/>
    </row>
    <row r="6" customFormat="false" ht="12.75" hidden="false" customHeight="true" outlineLevel="0" collapsed="false">
      <c r="A6" s="1" t="s">
        <v>55</v>
      </c>
      <c r="B6" s="2"/>
      <c r="C6" s="353" t="n">
        <v>0.29520493370916</v>
      </c>
      <c r="D6" s="2"/>
      <c r="E6" s="353" t="n">
        <v>0.307115093285811</v>
      </c>
    </row>
    <row r="7" customFormat="false" ht="12.75" hidden="false" customHeight="true" outlineLevel="0" collapsed="false">
      <c r="A7" s="1" t="s">
        <v>56</v>
      </c>
      <c r="B7" s="2"/>
      <c r="C7" s="353" t="n">
        <v>0.270036120145105</v>
      </c>
      <c r="D7" s="2"/>
      <c r="E7" s="353" t="n">
        <v>0.301311923179425</v>
      </c>
    </row>
    <row r="8" customFormat="false" ht="12.75" hidden="false" customHeight="true" outlineLevel="0" collapsed="false">
      <c r="A8" s="187" t="s">
        <v>57</v>
      </c>
      <c r="B8" s="2"/>
      <c r="C8" s="354" t="n">
        <v>0.434758946145734</v>
      </c>
      <c r="D8" s="2"/>
      <c r="E8" s="354" t="n">
        <v>0.391572983534764</v>
      </c>
    </row>
    <row r="9" customFormat="false" ht="12.75" hidden="false" customHeight="true" outlineLevel="0" collapsed="false">
      <c r="A9" s="187"/>
      <c r="B9" s="2"/>
      <c r="C9" s="355"/>
      <c r="D9" s="2"/>
      <c r="E9" s="355"/>
    </row>
    <row r="10" customFormat="false" ht="13.5" hidden="false" customHeight="true" outlineLevel="0" collapsed="false">
      <c r="A10" s="356" t="s">
        <v>15</v>
      </c>
      <c r="B10" s="357"/>
      <c r="C10" s="358" t="n">
        <f aca="false">SUM(C6:C8)</f>
        <v>1</v>
      </c>
      <c r="D10" s="357"/>
      <c r="E10" s="358" t="n">
        <f aca="false">SUM(E6:E8)</f>
        <v>1</v>
      </c>
    </row>
    <row r="11" customFormat="false" ht="13.5" hidden="false" customHeight="true" outlineLevel="0" collapsed="false">
      <c r="A11" s="2"/>
      <c r="B11" s="2"/>
      <c r="C11" s="2"/>
      <c r="D11" s="2"/>
      <c r="E11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&amp;L&amp;12Enron's Generation&amp;RCONFIDENTIAL</oddHeader>
    <oddFooter>&amp;L&amp;D&amp;C&amp;F&amp;RPage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28"/>
    <col collapsed="false" customWidth="true" hidden="false" outlineLevel="0" max="2" min="2" style="0" width="2.7"/>
    <col collapsed="false" customWidth="true" hidden="false" outlineLevel="0" max="3" min="3" style="0" width="9.85"/>
    <col collapsed="false" customWidth="true" hidden="false" outlineLevel="0" max="4" min="4" style="0" width="12.56"/>
    <col collapsed="false" customWidth="true" hidden="false" outlineLevel="0" max="5" min="5" style="0" width="10.41"/>
    <col collapsed="false" customWidth="true" hidden="false" outlineLevel="0" max="6" min="6" style="0" width="2.7"/>
    <col collapsed="false" customWidth="true" hidden="false" outlineLevel="0" max="7" min="7" style="0" width="7.28"/>
  </cols>
  <sheetData>
    <row r="1" customFormat="false" ht="12.75" hidden="false" customHeight="true" outlineLevel="0" collapsed="false"/>
    <row r="2" customFormat="false" ht="12.75" hidden="false" customHeight="true" outlineLevel="0" collapsed="false">
      <c r="A2" s="3" t="s">
        <v>52</v>
      </c>
      <c r="B2" s="2"/>
      <c r="C2" s="2"/>
      <c r="D2" s="2"/>
      <c r="E2" s="2"/>
      <c r="F2" s="2"/>
      <c r="G2" s="2"/>
    </row>
    <row r="3" customFormat="false" ht="12.75" hidden="false" customHeight="true" outlineLevel="0" collapsed="false">
      <c r="A3" s="2"/>
      <c r="B3" s="2"/>
      <c r="C3" s="2"/>
      <c r="D3" s="2"/>
      <c r="E3" s="2"/>
      <c r="F3" s="2"/>
      <c r="G3" s="2"/>
    </row>
    <row r="4" customFormat="false" ht="13.5" hidden="false" customHeight="true" outlineLevel="0" collapsed="false">
      <c r="A4" s="2"/>
      <c r="B4" s="2"/>
      <c r="C4" s="2"/>
      <c r="D4" s="2"/>
      <c r="E4" s="2"/>
      <c r="F4" s="2"/>
      <c r="G4" s="2"/>
    </row>
    <row r="5" customFormat="false" ht="12.75" hidden="false" customHeight="true" outlineLevel="0" collapsed="false">
      <c r="A5" s="68" t="s">
        <v>53</v>
      </c>
      <c r="B5" s="6"/>
      <c r="C5" s="90" t="s">
        <v>54</v>
      </c>
      <c r="D5" s="90"/>
      <c r="E5" s="90"/>
      <c r="F5" s="69"/>
      <c r="G5" s="91"/>
    </row>
    <row r="6" customFormat="false" ht="12.75" hidden="false" customHeight="true" outlineLevel="0" collapsed="false">
      <c r="A6" s="38"/>
      <c r="B6" s="12"/>
      <c r="C6" s="12"/>
      <c r="D6" s="12"/>
      <c r="E6" s="12"/>
      <c r="F6" s="92"/>
      <c r="G6" s="25"/>
    </row>
    <row r="7" customFormat="false" ht="12.75" hidden="false" customHeight="true" outlineLevel="0" collapsed="false">
      <c r="A7" s="38"/>
      <c r="B7" s="12"/>
      <c r="C7" s="39" t="s">
        <v>55</v>
      </c>
      <c r="D7" s="39" t="s">
        <v>56</v>
      </c>
      <c r="E7" s="39" t="s">
        <v>57</v>
      </c>
      <c r="F7" s="93"/>
      <c r="G7" s="94" t="s">
        <v>15</v>
      </c>
    </row>
    <row r="8" customFormat="false" ht="12.75" hidden="false" customHeight="true" outlineLevel="0" collapsed="false">
      <c r="A8" s="38" t="s">
        <v>58</v>
      </c>
      <c r="B8" s="12"/>
      <c r="C8" s="95" t="n">
        <v>3</v>
      </c>
      <c r="D8" s="95" t="n">
        <v>4</v>
      </c>
      <c r="E8" s="95" t="n">
        <v>8</v>
      </c>
      <c r="F8" s="74"/>
      <c r="G8" s="96" t="n">
        <f aca="false">SUM(C8:E8)</f>
        <v>15</v>
      </c>
    </row>
    <row r="9" customFormat="false" ht="12.75" hidden="false" customHeight="true" outlineLevel="0" collapsed="false">
      <c r="A9" s="38" t="s">
        <v>45</v>
      </c>
      <c r="B9" s="12"/>
      <c r="C9" s="95" t="n">
        <v>530</v>
      </c>
      <c r="D9" s="95" t="n">
        <v>480</v>
      </c>
      <c r="E9" s="95" t="n">
        <v>608</v>
      </c>
      <c r="F9" s="97"/>
      <c r="G9" s="96" t="n">
        <f aca="false">SUM(C9:E9)</f>
        <v>1618</v>
      </c>
    </row>
    <row r="10" customFormat="false" ht="12.75" hidden="false" customHeight="true" outlineLevel="0" collapsed="false">
      <c r="A10" s="38" t="s">
        <v>59</v>
      </c>
      <c r="B10" s="12"/>
      <c r="C10" s="95" t="n">
        <v>10800</v>
      </c>
      <c r="D10" s="95" t="n">
        <v>11500</v>
      </c>
      <c r="E10" s="95" t="n">
        <v>11900</v>
      </c>
      <c r="F10" s="74"/>
      <c r="G10" s="96" t="n">
        <f aca="false">SUMPRODUCT(C10:E10,C9:E9)/G9</f>
        <v>11421.0135970334</v>
      </c>
    </row>
    <row r="11" customFormat="false" ht="13.5" hidden="false" customHeight="true" outlineLevel="0" collapsed="false">
      <c r="A11" s="89" t="s">
        <v>60</v>
      </c>
      <c r="B11" s="29"/>
      <c r="C11" s="98" t="n">
        <v>75</v>
      </c>
      <c r="D11" s="98" t="n">
        <v>75</v>
      </c>
      <c r="E11" s="98" t="n">
        <v>75</v>
      </c>
      <c r="F11" s="29"/>
      <c r="G11" s="99" t="n">
        <f aca="false">SUM(C11:E11)</f>
        <v>225</v>
      </c>
    </row>
    <row r="12" customFormat="false" ht="12.75" hidden="false" customHeight="true" outlineLevel="0" collapsed="false">
      <c r="A12" s="2"/>
      <c r="B12" s="2"/>
      <c r="C12" s="2"/>
      <c r="D12" s="2"/>
      <c r="E12" s="2"/>
      <c r="F12" s="2"/>
      <c r="G12" s="2"/>
    </row>
    <row r="13" customFormat="false" ht="13.5" hidden="false" customHeight="true" outlineLevel="0" collapsed="false">
      <c r="A13" s="12"/>
      <c r="B13" s="12"/>
      <c r="C13" s="12"/>
      <c r="D13" s="12"/>
      <c r="E13" s="12"/>
      <c r="F13" s="12"/>
      <c r="G13" s="12"/>
    </row>
    <row r="14" customFormat="false" ht="12.75" hidden="false" customHeight="true" outlineLevel="0" collapsed="false">
      <c r="A14" s="68" t="s">
        <v>61</v>
      </c>
      <c r="B14" s="6"/>
      <c r="C14" s="7"/>
      <c r="D14" s="7"/>
      <c r="E14" s="7"/>
      <c r="F14" s="6"/>
      <c r="G14" s="100"/>
    </row>
    <row r="15" customFormat="false" ht="12.75" hidden="false" customHeight="true" outlineLevel="0" collapsed="false">
      <c r="A15" s="38"/>
      <c r="B15" s="12"/>
      <c r="C15" s="12"/>
      <c r="D15" s="12"/>
      <c r="E15" s="12"/>
      <c r="F15" s="92"/>
      <c r="G15" s="101"/>
    </row>
    <row r="16" customFormat="false" ht="12.75" hidden="false" customHeight="true" outlineLevel="0" collapsed="false">
      <c r="A16" s="38" t="s">
        <v>62</v>
      </c>
      <c r="B16" s="12"/>
      <c r="C16" s="102" t="n">
        <f aca="false">C22</f>
        <v>1.5</v>
      </c>
      <c r="D16" s="102" t="n">
        <f aca="false">D22</f>
        <v>3</v>
      </c>
      <c r="E16" s="102" t="n">
        <f aca="false">E22</f>
        <v>2</v>
      </c>
      <c r="F16" s="12"/>
      <c r="G16" s="25"/>
    </row>
    <row r="17" customFormat="false" ht="12.75" hidden="false" customHeight="true" outlineLevel="0" collapsed="false">
      <c r="A17" s="38" t="s">
        <v>63</v>
      </c>
      <c r="B17" s="12"/>
      <c r="C17" s="74" t="n">
        <f aca="false">C23</f>
        <v>3000</v>
      </c>
      <c r="D17" s="74" t="n">
        <f aca="false">D23</f>
        <v>1500</v>
      </c>
      <c r="E17" s="74" t="n">
        <f aca="false">E23</f>
        <v>1000</v>
      </c>
      <c r="F17" s="12"/>
      <c r="G17" s="96"/>
    </row>
    <row r="18" customFormat="false" ht="13.5" hidden="false" customHeight="true" outlineLevel="0" collapsed="false">
      <c r="A18" s="89" t="s">
        <v>64</v>
      </c>
      <c r="B18" s="29"/>
      <c r="C18" s="103" t="n">
        <v>532991.61978559</v>
      </c>
      <c r="D18" s="103" t="n">
        <v>461312.721856219</v>
      </c>
      <c r="E18" s="103" t="n">
        <v>2002000</v>
      </c>
      <c r="F18" s="29"/>
      <c r="G18" s="99"/>
    </row>
    <row r="19" customFormat="false" ht="12.75" hidden="false" customHeight="true" outlineLevel="0" collapsed="false">
      <c r="A19" s="12"/>
      <c r="B19" s="12"/>
      <c r="C19" s="12"/>
      <c r="D19" s="12"/>
      <c r="E19" s="12"/>
      <c r="F19" s="12"/>
      <c r="G19" s="12"/>
    </row>
    <row r="20" customFormat="false" ht="13.5" hidden="false" customHeight="true" outlineLevel="0" collapsed="false">
      <c r="A20" s="2"/>
      <c r="B20" s="2"/>
      <c r="C20" s="2"/>
      <c r="D20" s="2"/>
      <c r="E20" s="2"/>
      <c r="F20" s="2"/>
      <c r="G20" s="2"/>
    </row>
    <row r="21" customFormat="false" ht="12.75" hidden="false" customHeight="true" outlineLevel="0" collapsed="false">
      <c r="A21" s="5" t="s">
        <v>65</v>
      </c>
      <c r="B21" s="7"/>
      <c r="C21" s="104"/>
      <c r="D21" s="104"/>
      <c r="E21" s="105"/>
      <c r="F21" s="106"/>
      <c r="G21" s="107"/>
    </row>
    <row r="22" customFormat="false" ht="12.75" hidden="false" customHeight="true" outlineLevel="0" collapsed="false">
      <c r="A22" s="108" t="s">
        <v>66</v>
      </c>
      <c r="B22" s="12"/>
      <c r="C22" s="109" t="n">
        <v>1.5</v>
      </c>
      <c r="D22" s="109" t="n">
        <v>3</v>
      </c>
      <c r="E22" s="109" t="n">
        <v>2</v>
      </c>
      <c r="F22" s="110"/>
      <c r="G22" s="111"/>
    </row>
    <row r="23" customFormat="false" ht="12.75" hidden="false" customHeight="true" outlineLevel="0" collapsed="false">
      <c r="A23" s="38" t="s">
        <v>67</v>
      </c>
      <c r="B23" s="12"/>
      <c r="C23" s="95" t="n">
        <v>3000</v>
      </c>
      <c r="D23" s="95" t="n">
        <v>1500</v>
      </c>
      <c r="E23" s="95" t="n">
        <v>1000</v>
      </c>
      <c r="F23" s="112"/>
      <c r="G23" s="113"/>
    </row>
    <row r="24" customFormat="false" ht="12.75" hidden="false" customHeight="true" outlineLevel="0" collapsed="false">
      <c r="A24" s="38" t="s">
        <v>68</v>
      </c>
      <c r="B24" s="12"/>
      <c r="C24" s="60" t="n">
        <v>0.03</v>
      </c>
      <c r="D24" s="112" t="n">
        <f aca="false">C24</f>
        <v>0.03</v>
      </c>
      <c r="E24" s="112" t="n">
        <f aca="false">C24</f>
        <v>0.03</v>
      </c>
      <c r="F24" s="78"/>
      <c r="G24" s="114"/>
    </row>
    <row r="25" customFormat="false" ht="12.75" hidden="false" customHeight="true" outlineLevel="0" collapsed="false">
      <c r="A25" s="38"/>
      <c r="B25" s="12"/>
      <c r="C25" s="77"/>
      <c r="D25" s="77"/>
      <c r="E25" s="77"/>
      <c r="F25" s="115"/>
      <c r="G25" s="116"/>
    </row>
    <row r="26" customFormat="false" ht="12.75" hidden="false" customHeight="true" outlineLevel="0" collapsed="false">
      <c r="A26" s="42" t="s">
        <v>69</v>
      </c>
      <c r="B26" s="12"/>
      <c r="C26" s="117"/>
      <c r="D26" s="117"/>
      <c r="E26" s="117"/>
      <c r="F26" s="115"/>
      <c r="G26" s="116"/>
    </row>
    <row r="27" customFormat="false" ht="12.75" hidden="false" customHeight="true" outlineLevel="0" collapsed="false">
      <c r="A27" s="38" t="s">
        <v>70</v>
      </c>
      <c r="B27" s="12"/>
      <c r="C27" s="118" t="n">
        <v>1242.48171428571</v>
      </c>
      <c r="D27" s="118" t="n">
        <v>1515.79028571429</v>
      </c>
      <c r="E27" s="118" t="n">
        <v>1448.54057142857</v>
      </c>
      <c r="F27" s="115"/>
      <c r="G27" s="116"/>
    </row>
    <row r="28" customFormat="false" ht="12.75" hidden="false" customHeight="true" outlineLevel="0" collapsed="false">
      <c r="A28" s="38" t="s">
        <v>71</v>
      </c>
      <c r="B28" s="12"/>
      <c r="C28" s="97" t="n">
        <f aca="false">C22*C18/1000</f>
        <v>799.487429678385</v>
      </c>
      <c r="D28" s="97" t="n">
        <f aca="false">D22*D18/1000</f>
        <v>1383.93816556866</v>
      </c>
      <c r="E28" s="97" t="n">
        <f aca="false">E22*E18/1000</f>
        <v>4004</v>
      </c>
      <c r="F28" s="115"/>
      <c r="G28" s="116"/>
    </row>
    <row r="29" customFormat="false" ht="12.75" hidden="false" customHeight="true" outlineLevel="0" collapsed="false">
      <c r="A29" s="38" t="s">
        <v>72</v>
      </c>
      <c r="B29" s="12"/>
      <c r="C29" s="97" t="n">
        <f aca="false">C23*C11*C8/1000</f>
        <v>675</v>
      </c>
      <c r="D29" s="97" t="n">
        <f aca="false">D23*D11*D8/1000</f>
        <v>450</v>
      </c>
      <c r="E29" s="97" t="n">
        <f aca="false">E23*E11*E8/1000</f>
        <v>600</v>
      </c>
      <c r="F29" s="12"/>
      <c r="G29" s="25"/>
    </row>
    <row r="30" customFormat="false" ht="12.75" hidden="false" customHeight="true" outlineLevel="0" collapsed="false">
      <c r="A30" s="38" t="s">
        <v>73</v>
      </c>
      <c r="B30" s="12"/>
      <c r="C30" s="118" t="n">
        <v>322.251142857143</v>
      </c>
      <c r="D30" s="118" t="n">
        <v>306.267714285714</v>
      </c>
      <c r="E30" s="118" t="n">
        <v>400.647142857143</v>
      </c>
      <c r="F30" s="115"/>
      <c r="G30" s="116"/>
    </row>
    <row r="31" customFormat="false" ht="13.5" hidden="false" customHeight="true" outlineLevel="0" collapsed="false">
      <c r="A31" s="89" t="s">
        <v>74</v>
      </c>
      <c r="B31" s="29"/>
      <c r="C31" s="119" t="n">
        <f aca="false">-Gleason!B43</f>
        <v>92.2251014</v>
      </c>
      <c r="D31" s="119" t="n">
        <f aca="false">-Wheatland!B43</f>
        <v>203.273</v>
      </c>
      <c r="E31" s="119" t="n">
        <f aca="false">-Wilton!B43</f>
        <v>333.7</v>
      </c>
      <c r="F31" s="29"/>
      <c r="G31" s="67"/>
    </row>
    <row r="32" customFormat="false" ht="12.75" hidden="false" customHeight="true" outlineLevel="0" collapsed="false">
      <c r="A32" s="2"/>
      <c r="B32" s="2"/>
      <c r="C32" s="2"/>
      <c r="D32" s="2"/>
      <c r="E32" s="2"/>
      <c r="F32" s="2"/>
      <c r="G32" s="2"/>
    </row>
    <row r="33" customFormat="false" ht="13.5" hidden="false" customHeight="true" outlineLevel="0" collapsed="false">
      <c r="A33" s="12"/>
      <c r="B33" s="12"/>
      <c r="C33" s="12"/>
      <c r="D33" s="12"/>
      <c r="E33" s="12"/>
      <c r="F33" s="12"/>
      <c r="G33" s="12"/>
    </row>
    <row r="34" customFormat="false" ht="12.75" hidden="false" customHeight="true" outlineLevel="0" collapsed="false">
      <c r="A34" s="68" t="s">
        <v>75</v>
      </c>
      <c r="B34" s="6"/>
      <c r="C34" s="105"/>
      <c r="D34" s="105"/>
      <c r="E34" s="105"/>
      <c r="F34" s="105"/>
      <c r="G34" s="120"/>
    </row>
    <row r="35" customFormat="false" ht="12.75" hidden="false" customHeight="true" outlineLevel="0" collapsed="false">
      <c r="A35" s="38"/>
      <c r="B35" s="12"/>
      <c r="C35" s="110"/>
      <c r="D35" s="110"/>
      <c r="E35" s="110"/>
      <c r="F35" s="110"/>
      <c r="G35" s="111"/>
    </row>
    <row r="36" customFormat="false" ht="12.75" hidden="false" customHeight="true" outlineLevel="0" collapsed="false">
      <c r="A36" s="38" t="s">
        <v>76</v>
      </c>
      <c r="B36" s="12"/>
      <c r="C36" s="60" t="n">
        <v>0.35</v>
      </c>
      <c r="D36" s="60" t="n">
        <v>0.35</v>
      </c>
      <c r="E36" s="60" t="n">
        <v>0.35</v>
      </c>
      <c r="F36" s="112"/>
      <c r="G36" s="113" t="n">
        <v>0.35</v>
      </c>
    </row>
    <row r="37" customFormat="false" ht="12.75" hidden="false" customHeight="true" outlineLevel="0" collapsed="false">
      <c r="A37" s="38" t="s">
        <v>77</v>
      </c>
      <c r="B37" s="12"/>
      <c r="C37" s="121" t="n">
        <v>0.06</v>
      </c>
      <c r="D37" s="121" t="n">
        <v>0.045</v>
      </c>
      <c r="E37" s="121" t="n">
        <v>0.0718</v>
      </c>
      <c r="F37" s="78"/>
      <c r="G37" s="114"/>
    </row>
    <row r="38" customFormat="false" ht="12.75" hidden="false" customHeight="true" outlineLevel="0" collapsed="false">
      <c r="A38" s="38" t="s">
        <v>78</v>
      </c>
      <c r="B38" s="12"/>
      <c r="C38" s="121" t="s">
        <v>79</v>
      </c>
      <c r="D38" s="121" t="n">
        <v>0.034</v>
      </c>
      <c r="E38" s="121" t="s">
        <v>79</v>
      </c>
      <c r="F38" s="78"/>
      <c r="G38" s="114"/>
    </row>
    <row r="39" customFormat="false" ht="12.75" hidden="false" customHeight="true" outlineLevel="0" collapsed="false">
      <c r="A39" s="38" t="s">
        <v>80</v>
      </c>
      <c r="B39" s="12"/>
      <c r="C39" s="121" t="s">
        <v>79</v>
      </c>
      <c r="D39" s="121" t="n">
        <v>0.012</v>
      </c>
      <c r="E39" s="121" t="s">
        <v>79</v>
      </c>
      <c r="F39" s="110"/>
      <c r="G39" s="111"/>
    </row>
    <row r="40" customFormat="false" ht="12.75" hidden="false" customHeight="true" outlineLevel="0" collapsed="false">
      <c r="A40" s="38" t="s">
        <v>81</v>
      </c>
      <c r="B40" s="12"/>
      <c r="C40" s="121" t="n">
        <v>0.0025</v>
      </c>
      <c r="D40" s="121" t="s">
        <v>79</v>
      </c>
      <c r="E40" s="121" t="n">
        <v>0.0015</v>
      </c>
      <c r="F40" s="110"/>
      <c r="G40" s="111"/>
    </row>
    <row r="41" customFormat="false" ht="13.5" hidden="false" customHeight="true" outlineLevel="0" collapsed="false">
      <c r="A41" s="89" t="s">
        <v>82</v>
      </c>
      <c r="B41" s="29"/>
      <c r="C41" s="122" t="n">
        <v>0.0025</v>
      </c>
      <c r="D41" s="122" t="s">
        <v>79</v>
      </c>
      <c r="E41" s="122" t="n">
        <v>0.001</v>
      </c>
      <c r="F41" s="29"/>
      <c r="G41" s="67"/>
    </row>
  </sheetData>
  <mergeCells count="1">
    <mergeCell ref="C5:E5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&amp;L&amp;12Enron's Generation&amp;RCONFIDENTIAL</oddHeader>
    <oddFooter>&amp;L&amp;D&amp;C&amp;F&amp;RPage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56"/>
    <col collapsed="false" customWidth="true" hidden="false" outlineLevel="0" max="15" min="2" style="0" width="6.7"/>
    <col collapsed="false" customWidth="true" hidden="false" outlineLevel="0" max="22" min="16" style="0" width="7.7"/>
  </cols>
  <sheetData>
    <row r="1" customFormat="false" ht="12" hidden="false" customHeight="true" outlineLevel="0" collapsed="false">
      <c r="A1" s="1"/>
      <c r="B1" s="2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</row>
    <row r="2" customFormat="false" ht="12.75" hidden="false" customHeight="true" outlineLevel="0" collapsed="false">
      <c r="A2" s="3" t="s">
        <v>83</v>
      </c>
      <c r="B2" s="4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</row>
    <row r="3" customFormat="false" ht="12.75" hidden="false" customHeight="true" outlineLevel="0" collapsed="false">
      <c r="A3" s="2"/>
      <c r="B3" s="2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</row>
    <row r="4" customFormat="false" ht="12.75" hidden="false" customHeight="true" outlineLevel="0" collapsed="false">
      <c r="A4" s="2"/>
      <c r="B4" s="2"/>
      <c r="C4" s="125" t="n">
        <v>2001</v>
      </c>
      <c r="D4" s="125" t="n">
        <v>2002</v>
      </c>
      <c r="E4" s="125" t="n">
        <v>2003</v>
      </c>
      <c r="F4" s="125" t="n">
        <v>2004</v>
      </c>
      <c r="G4" s="125" t="n">
        <v>2005</v>
      </c>
      <c r="H4" s="125" t="n">
        <v>2006</v>
      </c>
      <c r="I4" s="125" t="n">
        <v>2007</v>
      </c>
      <c r="J4" s="125" t="n">
        <v>2008</v>
      </c>
      <c r="K4" s="125" t="n">
        <v>2009</v>
      </c>
      <c r="L4" s="125" t="n">
        <v>2010</v>
      </c>
      <c r="M4" s="125" t="n">
        <v>2011</v>
      </c>
      <c r="N4" s="125" t="n">
        <v>2012</v>
      </c>
      <c r="O4" s="125" t="n">
        <v>2013</v>
      </c>
      <c r="P4" s="125" t="n">
        <v>2014</v>
      </c>
      <c r="Q4" s="125" t="n">
        <v>2015</v>
      </c>
      <c r="R4" s="125" t="n">
        <v>2016</v>
      </c>
      <c r="S4" s="125" t="n">
        <v>2017</v>
      </c>
      <c r="T4" s="125" t="n">
        <v>2018</v>
      </c>
      <c r="U4" s="125" t="n">
        <v>2019</v>
      </c>
      <c r="V4" s="125" t="n">
        <v>2020</v>
      </c>
    </row>
    <row r="5" customFormat="false" ht="12.75" hidden="false" customHeight="true" outlineLevel="0" collapsed="false">
      <c r="A5" s="2"/>
      <c r="B5" s="2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</row>
    <row r="6" customFormat="false" ht="12.75" hidden="false" customHeight="true" outlineLevel="0" collapsed="false">
      <c r="A6" s="126" t="s">
        <v>84</v>
      </c>
      <c r="B6" s="2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</row>
    <row r="7" customFormat="false" ht="12.75" hidden="false" customHeight="true" outlineLevel="0" collapsed="false">
      <c r="A7" s="126"/>
      <c r="B7" s="2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</row>
    <row r="8" customFormat="false" ht="12.75" hidden="false" customHeight="true" outlineLevel="0" collapsed="false">
      <c r="A8" s="40" t="s">
        <v>85</v>
      </c>
      <c r="B8" s="2"/>
      <c r="C8" s="127" t="n">
        <f aca="false">Assumptions!C24</f>
        <v>0.03</v>
      </c>
      <c r="D8" s="12"/>
      <c r="E8" s="128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customFormat="false" ht="12.75" hidden="false" customHeight="true" outlineLevel="0" collapsed="false">
      <c r="A9" s="40"/>
      <c r="B9" s="129"/>
      <c r="C9" s="12"/>
      <c r="D9" s="12"/>
      <c r="E9" s="128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customFormat="false" ht="12.75" hidden="false" customHeight="true" outlineLevel="0" collapsed="false">
      <c r="A10" s="12"/>
      <c r="B10" s="61"/>
      <c r="C10" s="12"/>
      <c r="D10" s="12"/>
      <c r="E10" s="128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customFormat="false" ht="12.75" hidden="false" customHeight="true" outlineLevel="0" collapsed="false">
      <c r="A11" s="126" t="s">
        <v>86</v>
      </c>
      <c r="B11" s="12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</row>
    <row r="12" customFormat="false" ht="12.75" hidden="false" customHeight="true" outlineLevel="0" collapsed="false">
      <c r="A12" s="12" t="s">
        <v>87</v>
      </c>
      <c r="B12" s="1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customFormat="false" ht="12.75" hidden="false" customHeight="true" outlineLevel="0" collapsed="false">
      <c r="A13" s="12"/>
      <c r="B13" s="12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</row>
    <row r="14" customFormat="false" ht="12.75" hidden="false" customHeight="true" outlineLevel="0" collapsed="false">
      <c r="A14" s="131" t="s">
        <v>88</v>
      </c>
      <c r="B14" s="12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</row>
    <row r="15" customFormat="false" ht="12.75" hidden="false" customHeight="true" outlineLevel="0" collapsed="false">
      <c r="A15" s="12" t="s">
        <v>89</v>
      </c>
      <c r="B15" s="132"/>
      <c r="C15" s="133" t="n">
        <v>60.9722991689751</v>
      </c>
      <c r="D15" s="133" t="n">
        <v>62.1317424158014</v>
      </c>
      <c r="E15" s="133" t="n">
        <v>63.3132335214248</v>
      </c>
      <c r="F15" s="133" t="n">
        <v>64.5171917457606</v>
      </c>
      <c r="G15" s="133" t="n">
        <v>65.7440443213296</v>
      </c>
      <c r="H15" s="133" t="n">
        <v>64.6476957619109</v>
      </c>
      <c r="I15" s="133" t="n">
        <v>63.5696299256825</v>
      </c>
      <c r="J15" s="133" t="n">
        <v>62.5095419297088</v>
      </c>
      <c r="K15" s="133" t="n">
        <v>61.4671319752861</v>
      </c>
      <c r="L15" s="133" t="n">
        <v>60.4421052631579</v>
      </c>
      <c r="M15" s="133" t="n">
        <v>59.7920389893765</v>
      </c>
      <c r="N15" s="133" t="n">
        <v>59.1489643013195</v>
      </c>
      <c r="O15" s="133" t="n">
        <v>58.51280600316</v>
      </c>
      <c r="P15" s="133" t="n">
        <v>57.8834897078165</v>
      </c>
      <c r="Q15" s="133" t="n">
        <v>57.2609418282549</v>
      </c>
      <c r="R15" s="133" t="n">
        <v>56.3863179526819</v>
      </c>
      <c r="S15" s="133" t="n">
        <v>55.5250533914914</v>
      </c>
      <c r="T15" s="133" t="n">
        <v>54.6769440897911</v>
      </c>
      <c r="U15" s="133" t="n">
        <v>53.8417891094953</v>
      </c>
      <c r="V15" s="133" t="n">
        <v>53.0193905817175</v>
      </c>
    </row>
    <row r="16" customFormat="false" ht="12.75" hidden="false" customHeight="true" outlineLevel="0" collapsed="false">
      <c r="A16" s="12"/>
      <c r="B16" s="12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</row>
    <row r="17" customFormat="false" ht="12.75" hidden="false" customHeight="true" outlineLevel="0" collapsed="false">
      <c r="A17" s="131" t="s">
        <v>90</v>
      </c>
      <c r="B17" s="12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</row>
    <row r="18" customFormat="false" ht="12.75" hidden="false" customHeight="true" outlineLevel="0" collapsed="false">
      <c r="A18" s="12" t="s">
        <v>91</v>
      </c>
      <c r="B18" s="134"/>
      <c r="C18" s="133" t="n">
        <f aca="false">C15*(1+'Power Curves'!$C$8)^(C4-1998)</f>
        <v>66.6260775540166</v>
      </c>
      <c r="D18" s="133" t="n">
        <f aca="false">D15*(1+'Power Curves'!$C$8)^(D4-1998)</f>
        <v>69.9298234696352</v>
      </c>
      <c r="E18" s="133" t="n">
        <f aca="false">E15*(1+'Power Curves'!$C$8)^(E4-1998)</f>
        <v>73.3973901814894</v>
      </c>
      <c r="F18" s="133" t="n">
        <f aca="false">F15*(1+'Power Curves'!$C$8)^(F4-1998)</f>
        <v>77.0369009696273</v>
      </c>
      <c r="G18" s="133" t="n">
        <f aca="false">G15*(1+'Power Curves'!$C$8)^(G4-1998)</f>
        <v>80.8568819181377</v>
      </c>
      <c r="H18" s="133" t="n">
        <f aca="false">H15*(1+'Power Curves'!$C$8)^(H4-1998)</f>
        <v>81.8937668218377</v>
      </c>
      <c r="I18" s="133" t="n">
        <f aca="false">I15*(1+'Power Curves'!$C$8)^(I4-1998)</f>
        <v>82.9439484329796</v>
      </c>
      <c r="J18" s="133" t="n">
        <f aca="false">J15*(1+'Power Curves'!$C$8)^(J4-1998)</f>
        <v>84.0075972646339</v>
      </c>
      <c r="K18" s="133" t="n">
        <f aca="false">K15*(1+'Power Curves'!$C$8)^(K4-1998)</f>
        <v>85.0848860164807</v>
      </c>
      <c r="L18" s="133" t="n">
        <f aca="false">L15*(1+'Power Curves'!$C$8)^(L4-1998)</f>
        <v>86.1759896028501</v>
      </c>
      <c r="M18" s="133" t="n">
        <f aca="false">M15*(1+'Power Curves'!$C$8)^(M4-1998)</f>
        <v>87.8066250519098</v>
      </c>
      <c r="N18" s="133" t="n">
        <f aca="false">N15*(1+'Power Curves'!$C$8)^(N4-1998)</f>
        <v>89.4681156379976</v>
      </c>
      <c r="O18" s="133" t="n">
        <f aca="false">O15*(1+'Power Curves'!$C$8)^(O4-1998)</f>
        <v>91.1610452068049</v>
      </c>
      <c r="P18" s="133" t="n">
        <f aca="false">P15*(1+'Power Curves'!$C$8)^(P4-1998)</f>
        <v>92.8860086516416</v>
      </c>
      <c r="Q18" s="133" t="n">
        <f aca="false">Q15*(1+'Power Curves'!$C$8)^(Q4-1998)</f>
        <v>94.6436121224815</v>
      </c>
      <c r="R18" s="133" t="n">
        <f aca="false">R15*(1+'Power Curves'!$C$8)^(R4-1998)</f>
        <v>95.9939318842308</v>
      </c>
      <c r="S18" s="133" t="n">
        <f aca="false">S15*(1+'Power Curves'!$C$8)^(S4-1998)</f>
        <v>97.3635172194095</v>
      </c>
      <c r="T18" s="133" t="n">
        <f aca="false">T15*(1+'Power Curves'!$C$8)^(T4-1998)</f>
        <v>98.7526429979633</v>
      </c>
      <c r="U18" s="133" t="n">
        <f aca="false">U15*(1+'Power Curves'!$C$8)^(U4-1998)</f>
        <v>100.161588011522</v>
      </c>
      <c r="V18" s="133" t="n">
        <f aca="false">V15*(1+'Power Curves'!$C$8)^(V4-1998)</f>
        <v>101.59063502935</v>
      </c>
    </row>
    <row r="19" customFormat="false" ht="13.5" hidden="false" customHeight="true" outlineLevel="0" collapsed="false">
      <c r="A19" s="12"/>
      <c r="B19" s="12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</row>
    <row r="20" customFormat="false" ht="13.5" hidden="false" customHeight="true" outlineLevel="0" collapsed="false">
      <c r="A20" s="136" t="s">
        <v>92</v>
      </c>
      <c r="B20" s="137"/>
      <c r="C20" s="138" t="n">
        <f aca="false">C18/12</f>
        <v>5.55217312950138</v>
      </c>
      <c r="D20" s="138" t="n">
        <f aca="false">D18/12</f>
        <v>5.82748528913626</v>
      </c>
      <c r="E20" s="138" t="n">
        <f aca="false">E18/12</f>
        <v>6.11644918179079</v>
      </c>
      <c r="F20" s="138" t="n">
        <f aca="false">F18/12</f>
        <v>6.41974174746894</v>
      </c>
      <c r="G20" s="138" t="n">
        <f aca="false">G18/12</f>
        <v>6.73807349317814</v>
      </c>
      <c r="H20" s="138" t="n">
        <f aca="false">H18/12</f>
        <v>6.82448056848648</v>
      </c>
      <c r="I20" s="138" t="n">
        <f aca="false">I18/12</f>
        <v>6.9119957027483</v>
      </c>
      <c r="J20" s="138" t="n">
        <f aca="false">J18/12</f>
        <v>7.00063310538616</v>
      </c>
      <c r="K20" s="138" t="n">
        <f aca="false">K18/12</f>
        <v>7.09040716804006</v>
      </c>
      <c r="L20" s="138" t="n">
        <f aca="false">L18/12</f>
        <v>7.18133246690418</v>
      </c>
      <c r="M20" s="138" t="n">
        <f aca="false">M18/12</f>
        <v>7.31721875432582</v>
      </c>
      <c r="N20" s="138" t="n">
        <f aca="false">N18/12</f>
        <v>7.45567630316647</v>
      </c>
      <c r="O20" s="138" t="n">
        <f aca="false">O18/12</f>
        <v>7.59675376723374</v>
      </c>
      <c r="P20" s="138" t="n">
        <f aca="false">P18/12</f>
        <v>7.74050072097014</v>
      </c>
      <c r="Q20" s="138" t="n">
        <f aca="false">Q18/12</f>
        <v>7.88696767687346</v>
      </c>
      <c r="R20" s="138" t="n">
        <f aca="false">R18/12</f>
        <v>7.9994943236859</v>
      </c>
      <c r="S20" s="138" t="n">
        <f aca="false">S18/12</f>
        <v>8.11362643495079</v>
      </c>
      <c r="T20" s="138" t="n">
        <f aca="false">T18/12</f>
        <v>8.22938691649694</v>
      </c>
      <c r="U20" s="138" t="n">
        <f aca="false">U18/12</f>
        <v>8.34679900096013</v>
      </c>
      <c r="V20" s="138" t="n">
        <f aca="false">V18/12</f>
        <v>8.46588625244584</v>
      </c>
    </row>
    <row r="21" customFormat="false" ht="12.75" hidden="false" customHeight="true" outlineLevel="0" collapsed="false">
      <c r="A21" s="40"/>
      <c r="B21" s="12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</row>
    <row r="22" customFormat="false" ht="12.75" hidden="false" customHeight="true" outlineLevel="0" collapsed="false">
      <c r="A22" s="12"/>
      <c r="B22" s="140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</row>
    <row r="23" customFormat="false" ht="12.75" hidden="false" customHeight="true" outlineLevel="0" collapsed="false">
      <c r="A23" s="126" t="s">
        <v>93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</row>
    <row r="24" customFormat="false" ht="12.75" hidden="false" customHeight="true" outlineLevel="0" collapsed="false">
      <c r="A24" s="12" t="s">
        <v>94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</row>
    <row r="25" customFormat="false" ht="12.75" hidden="false" customHeight="true" outlineLevel="0" collapsed="false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</row>
    <row r="26" customFormat="false" ht="12.75" hidden="false" customHeight="true" outlineLevel="0" collapsed="false">
      <c r="A26" s="131" t="s">
        <v>88</v>
      </c>
      <c r="B26" s="12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</row>
    <row r="27" customFormat="false" ht="12.75" hidden="false" customHeight="true" outlineLevel="0" collapsed="false">
      <c r="A27" s="12" t="s">
        <v>89</v>
      </c>
      <c r="B27" s="140"/>
      <c r="C27" s="133" t="n">
        <v>63.6776595744681</v>
      </c>
      <c r="D27" s="133" t="n">
        <v>65.100779776943</v>
      </c>
      <c r="E27" s="133" t="n">
        <v>66.5557050288533</v>
      </c>
      <c r="F27" s="133" t="n">
        <v>68.0431461353494</v>
      </c>
      <c r="G27" s="133" t="n">
        <v>69.563829787234</v>
      </c>
      <c r="H27" s="133" t="n">
        <v>68.9095081877806</v>
      </c>
      <c r="I27" s="133" t="n">
        <v>68.261341176952</v>
      </c>
      <c r="J27" s="133" t="n">
        <v>67.6192708643146</v>
      </c>
      <c r="K27" s="133" t="n">
        <v>66.9832399039557</v>
      </c>
      <c r="L27" s="133" t="n">
        <v>66.3531914893617</v>
      </c>
      <c r="M27" s="133" t="n">
        <v>65.2466847836494</v>
      </c>
      <c r="N27" s="133" t="n">
        <v>64.1586301985105</v>
      </c>
      <c r="O27" s="133" t="n">
        <v>63.0887200261362</v>
      </c>
      <c r="P27" s="133" t="n">
        <v>62.0366516900575</v>
      </c>
      <c r="Q27" s="133" t="n">
        <v>61.0021276595745</v>
      </c>
      <c r="R27" s="133" t="n">
        <v>60.1208601723877</v>
      </c>
      <c r="S27" s="133" t="n">
        <v>59.2523239195654</v>
      </c>
      <c r="T27" s="133" t="n">
        <v>58.3963349792784</v>
      </c>
      <c r="U27" s="133" t="n">
        <v>57.5527120867245</v>
      </c>
      <c r="V27" s="133" t="n">
        <v>56.7212765957447</v>
      </c>
    </row>
    <row r="28" customFormat="false" ht="12.75" hidden="false" customHeight="true" outlineLevel="0" collapsed="false">
      <c r="A28" s="12"/>
      <c r="B28" s="140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</row>
    <row r="29" customFormat="false" ht="12.75" hidden="false" customHeight="true" outlineLevel="0" collapsed="false">
      <c r="A29" s="131" t="s">
        <v>90</v>
      </c>
      <c r="B29" s="140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</row>
    <row r="30" customFormat="false" ht="12.75" hidden="false" customHeight="true" outlineLevel="0" collapsed="false">
      <c r="A30" s="12" t="s">
        <v>91</v>
      </c>
      <c r="B30" s="140"/>
      <c r="C30" s="135" t="n">
        <f aca="false">C27*(1+'Power Curves'!$C$8)^(C4-1998)</f>
        <v>69.5822979138298</v>
      </c>
      <c r="D30" s="135" t="n">
        <f aca="false">D27*(1+'Power Curves'!$C$8)^(D4-1998)</f>
        <v>73.2715011768192</v>
      </c>
      <c r="E30" s="135" t="n">
        <f aca="false">E27*(1+'Power Curves'!$C$8)^(E4-1998)</f>
        <v>77.1563033367078</v>
      </c>
      <c r="F30" s="135" t="n">
        <f aca="false">F27*(1+'Power Curves'!$C$8)^(F4-1998)</f>
        <v>81.2470749059722</v>
      </c>
      <c r="G30" s="135" t="n">
        <f aca="false">G27*(1+'Power Curves'!$C$8)^(G4-1998)</f>
        <v>85.5547362341833</v>
      </c>
      <c r="H30" s="135" t="n">
        <f aca="false">H27*(1+'Power Curves'!$C$8)^(H4-1998)</f>
        <v>87.2925032954154</v>
      </c>
      <c r="I30" s="135" t="n">
        <f aca="false">I27*(1+'Power Curves'!$C$8)^(I4-1998)</f>
        <v>89.0655674599059</v>
      </c>
      <c r="J30" s="135" t="n">
        <f aca="false">J27*(1+'Power Curves'!$C$8)^(J4-1998)</f>
        <v>90.8746456738591</v>
      </c>
      <c r="K30" s="135" t="n">
        <f aca="false">K27*(1+'Power Curves'!$C$8)^(K4-1998)</f>
        <v>92.7204694459167</v>
      </c>
      <c r="L30" s="135" t="n">
        <f aca="false">L27*(1+'Power Curves'!$C$8)^(L4-1998)</f>
        <v>94.6037851429467</v>
      </c>
      <c r="M30" s="135" t="n">
        <f aca="false">M27*(1+'Power Curves'!$C$8)^(M4-1998)</f>
        <v>95.8169562957364</v>
      </c>
      <c r="N30" s="135" t="n">
        <f aca="false">N27*(1+'Power Curves'!$C$8)^(N4-1998)</f>
        <v>97.0456847990458</v>
      </c>
      <c r="O30" s="135" t="n">
        <f aca="false">O27*(1+'Power Curves'!$C$8)^(O4-1998)</f>
        <v>98.2901701557683</v>
      </c>
      <c r="P30" s="135" t="n">
        <f aca="false">P27*(1+'Power Curves'!$C$8)^(P4-1998)</f>
        <v>99.5506144271639</v>
      </c>
      <c r="Q30" s="135" t="n">
        <f aca="false">Q27*(1+'Power Curves'!$C$8)^(Q4-1998)</f>
        <v>100.827222265667</v>
      </c>
      <c r="R30" s="135" t="n">
        <f aca="false">R27*(1+'Power Curves'!$C$8)^(R4-1998)</f>
        <v>102.351740027654</v>
      </c>
      <c r="S30" s="135" t="n">
        <f aca="false">S27*(1+'Power Curves'!$C$8)^(S4-1998)</f>
        <v>103.899308651843</v>
      </c>
      <c r="T30" s="135" t="n">
        <f aca="false">T27*(1+'Power Curves'!$C$8)^(T4-1998)</f>
        <v>105.470276669593</v>
      </c>
      <c r="U30" s="135" t="n">
        <f aca="false">U27*(1+'Power Curves'!$C$8)^(U4-1998)</f>
        <v>107.064997882093</v>
      </c>
      <c r="V30" s="135" t="n">
        <f aca="false">V27*(1+'Power Curves'!$C$8)^(V4-1998)</f>
        <v>108.683831440042</v>
      </c>
    </row>
    <row r="31" customFormat="false" ht="13.5" hidden="false" customHeight="true" outlineLevel="0" collapsed="false">
      <c r="A31" s="12"/>
      <c r="B31" s="12"/>
      <c r="C31" s="139"/>
      <c r="D31" s="139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</row>
    <row r="32" customFormat="false" ht="13.5" hidden="false" customHeight="true" outlineLevel="0" collapsed="false">
      <c r="A32" s="136" t="s">
        <v>95</v>
      </c>
      <c r="B32" s="137"/>
      <c r="C32" s="138" t="n">
        <f aca="false">C30/12</f>
        <v>5.79852482615248</v>
      </c>
      <c r="D32" s="138" t="n">
        <f aca="false">D30/12</f>
        <v>6.1059584314016</v>
      </c>
      <c r="E32" s="138" t="n">
        <f aca="false">E30/12</f>
        <v>6.42969194472565</v>
      </c>
      <c r="F32" s="138" t="n">
        <f aca="false">F30/12</f>
        <v>6.77058957549769</v>
      </c>
      <c r="G32" s="138" t="n">
        <f aca="false">G30/12</f>
        <v>7.1295613528486</v>
      </c>
      <c r="H32" s="138" t="n">
        <f aca="false">H30/12</f>
        <v>7.27437527461795</v>
      </c>
      <c r="I32" s="138" t="n">
        <f aca="false">I30/12</f>
        <v>7.42213062165883</v>
      </c>
      <c r="J32" s="138" t="n">
        <f aca="false">J30/12</f>
        <v>7.57288713948826</v>
      </c>
      <c r="K32" s="138" t="n">
        <f aca="false">K30/12</f>
        <v>7.72670578715973</v>
      </c>
      <c r="L32" s="138" t="n">
        <f aca="false">L30/12</f>
        <v>7.88364876191223</v>
      </c>
      <c r="M32" s="138" t="n">
        <f aca="false">M30/12</f>
        <v>7.98474635797803</v>
      </c>
      <c r="N32" s="138" t="n">
        <f aca="false">N30/12</f>
        <v>8.08714039992048</v>
      </c>
      <c r="O32" s="138" t="n">
        <f aca="false">O30/12</f>
        <v>8.19084751298069</v>
      </c>
      <c r="P32" s="138" t="n">
        <f aca="false">P30/12</f>
        <v>8.295884535597</v>
      </c>
      <c r="Q32" s="138" t="n">
        <f aca="false">Q30/12</f>
        <v>8.4022685221389</v>
      </c>
      <c r="R32" s="138" t="n">
        <f aca="false">R30/12</f>
        <v>8.52931166897118</v>
      </c>
      <c r="S32" s="138" t="n">
        <f aca="false">S30/12</f>
        <v>8.65827572098693</v>
      </c>
      <c r="T32" s="138" t="n">
        <f aca="false">T30/12</f>
        <v>8.7891897224661</v>
      </c>
      <c r="U32" s="138" t="n">
        <f aca="false">U30/12</f>
        <v>8.9220831568411</v>
      </c>
      <c r="V32" s="138" t="n">
        <f aca="false">V30/12</f>
        <v>9.05698595333681</v>
      </c>
    </row>
    <row r="33" customFormat="false" ht="12.75" hidden="false" customHeight="true" outlineLevel="0" collapsed="false">
      <c r="A33" s="12"/>
      <c r="B33" s="140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</row>
    <row r="34" customFormat="false" ht="12.75" hidden="false" customHeight="true" outlineLevel="0" collapsed="false">
      <c r="A34" s="12"/>
      <c r="B34" s="140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</row>
    <row r="35" customFormat="false" ht="12.75" hidden="false" customHeight="true" outlineLevel="0" collapsed="false">
      <c r="A35" s="126" t="s">
        <v>96</v>
      </c>
      <c r="B35" s="140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</row>
    <row r="36" customFormat="false" ht="12.75" hidden="false" customHeight="true" outlineLevel="0" collapsed="false">
      <c r="A36" s="12" t="s">
        <v>97</v>
      </c>
      <c r="B36" s="140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</row>
    <row r="37" customFormat="false" ht="12.75" hidden="false" customHeight="true" outlineLevel="0" collapsed="false">
      <c r="A37" s="12"/>
      <c r="B37" s="140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</row>
    <row r="38" customFormat="false" ht="12.75" hidden="false" customHeight="true" outlineLevel="0" collapsed="false">
      <c r="A38" s="131" t="s">
        <v>88</v>
      </c>
      <c r="B38" s="140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</row>
    <row r="39" customFormat="false" ht="12.75" hidden="false" customHeight="true" outlineLevel="0" collapsed="false">
      <c r="A39" s="12" t="s">
        <v>89</v>
      </c>
      <c r="B39" s="140"/>
      <c r="C39" s="133" t="n">
        <v>64.1102368689919</v>
      </c>
      <c r="D39" s="133" t="n">
        <v>65.1617852049579</v>
      </c>
      <c r="E39" s="133" t="n">
        <v>66.230581237343</v>
      </c>
      <c r="F39" s="133" t="n">
        <v>67.3169078661543</v>
      </c>
      <c r="G39" s="133" t="n">
        <v>68.421052631579</v>
      </c>
      <c r="H39" s="133" t="n">
        <v>67.7672283516371</v>
      </c>
      <c r="I39" s="133" t="n">
        <v>67.1196519467658</v>
      </c>
      <c r="J39" s="133" t="n">
        <v>66.4782637129375</v>
      </c>
      <c r="K39" s="133" t="n">
        <v>65.8430045166497</v>
      </c>
      <c r="L39" s="133" t="n">
        <v>65.2138157894737</v>
      </c>
      <c r="M39" s="133" t="n">
        <v>64.5593641135854</v>
      </c>
      <c r="N39" s="133" t="n">
        <v>63.9114801717101</v>
      </c>
      <c r="O39" s="133" t="n">
        <v>63.2700980535113</v>
      </c>
      <c r="P39" s="133" t="n">
        <v>62.6351525100945</v>
      </c>
      <c r="Q39" s="133" t="n">
        <v>62.0065789473684</v>
      </c>
      <c r="R39" s="133" t="n">
        <v>61.1266962959832</v>
      </c>
      <c r="S39" s="133" t="n">
        <v>60.2592993113346</v>
      </c>
      <c r="T39" s="133" t="n">
        <v>59.4042108199395</v>
      </c>
      <c r="U39" s="133" t="n">
        <v>58.5612561624336</v>
      </c>
      <c r="V39" s="133" t="n">
        <v>57.7302631578947</v>
      </c>
    </row>
    <row r="40" customFormat="false" ht="12.75" hidden="false" customHeight="true" outlineLevel="0" collapsed="false">
      <c r="A40" s="84"/>
      <c r="B40" s="12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</row>
    <row r="41" customFormat="false" ht="12.75" hidden="false" customHeight="true" outlineLevel="0" collapsed="false">
      <c r="A41" s="131" t="s">
        <v>90</v>
      </c>
      <c r="B41" s="12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</row>
    <row r="42" customFormat="false" ht="12.75" hidden="false" customHeight="true" outlineLevel="0" collapsed="false">
      <c r="A42" s="12" t="s">
        <v>91</v>
      </c>
      <c r="B42" s="12"/>
      <c r="C42" s="133" t="n">
        <f aca="false">C39*(1+'Power Curves'!$C$8)^(C4-1998)</f>
        <v>70.0549868031429</v>
      </c>
      <c r="D42" s="133" t="n">
        <f aca="false">D39*(1+'Power Curves'!$C$8)^(D4-1998)</f>
        <v>73.3401633235078</v>
      </c>
      <c r="E42" s="133" t="n">
        <f aca="false">E39*(1+'Power Curves'!$C$8)^(E4-1998)</f>
        <v>76.7793957542717</v>
      </c>
      <c r="F42" s="133" t="n">
        <f aca="false">F39*(1+'Power Curves'!$C$8)^(F4-1998)</f>
        <v>80.3799084328127</v>
      </c>
      <c r="G42" s="133" t="n">
        <f aca="false">G39*(1+'Power Curves'!$C$8)^(G4-1998)</f>
        <v>84.1492644764385</v>
      </c>
      <c r="H42" s="133" t="n">
        <f aca="false">H39*(1+'Power Curves'!$C$8)^(H4-1998)</f>
        <v>85.8454973744165</v>
      </c>
      <c r="I42" s="133" t="n">
        <f aca="false">I39*(1+'Power Curves'!$C$8)^(I4-1998)</f>
        <v>87.5759219680924</v>
      </c>
      <c r="J42" s="133" t="n">
        <f aca="false">J39*(1+'Power Curves'!$C$8)^(J4-1998)</f>
        <v>89.3412274741746</v>
      </c>
      <c r="K42" s="133" t="n">
        <f aca="false">K39*(1+'Power Curves'!$C$8)^(K4-1998)</f>
        <v>91.1421170022092</v>
      </c>
      <c r="L42" s="133" t="n">
        <f aca="false">L39*(1+'Power Curves'!$C$8)^(L4-1998)</f>
        <v>92.9793078346234</v>
      </c>
      <c r="M42" s="133" t="n">
        <f aca="false">M39*(1+'Power Curves'!$C$8)^(M4-1998)</f>
        <v>94.8076027197953</v>
      </c>
      <c r="N42" s="133" t="n">
        <f aca="false">N39*(1+'Power Curves'!$C$8)^(N4-1998)</f>
        <v>96.6718482080099</v>
      </c>
      <c r="O42" s="133" t="n">
        <f aca="false">O39*(1+'Power Curves'!$C$8)^(O4-1998)</f>
        <v>98.5727512125061</v>
      </c>
      <c r="P42" s="133" t="n">
        <f aca="false">P39*(1+'Power Curves'!$C$8)^(P4-1998)</f>
        <v>100.511032546883</v>
      </c>
      <c r="Q42" s="133" t="n">
        <f aca="false">Q39*(1+'Power Curves'!$C$8)^(Q4-1998)</f>
        <v>102.487427198429</v>
      </c>
      <c r="R42" s="133" t="n">
        <f aca="false">R39*(1+'Power Curves'!$C$8)^(R4-1998)</f>
        <v>104.064108698653</v>
      </c>
      <c r="S42" s="133" t="n">
        <f aca="false">S39*(1+'Power Curves'!$C$8)^(S4-1998)</f>
        <v>105.66504609661</v>
      </c>
      <c r="T42" s="133" t="n">
        <f aca="false">T39*(1+'Power Curves'!$C$8)^(T4-1998)</f>
        <v>107.290612548563</v>
      </c>
      <c r="U42" s="133" t="n">
        <f aca="false">U39*(1+'Power Curves'!$C$8)^(U4-1998)</f>
        <v>108.941186951465</v>
      </c>
      <c r="V42" s="133" t="n">
        <f aca="false">V39*(1+'Power Curves'!$C$8)^(V4-1998)</f>
        <v>110.617154031272</v>
      </c>
    </row>
    <row r="43" customFormat="false" ht="13.5" hidden="false" customHeight="true" outlineLevel="0" collapsed="false">
      <c r="A43" s="12"/>
      <c r="B43" s="12"/>
      <c r="C43" s="139"/>
      <c r="D43" s="139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</row>
    <row r="44" customFormat="false" ht="13.5" hidden="false" customHeight="true" outlineLevel="0" collapsed="false">
      <c r="A44" s="136" t="s">
        <v>98</v>
      </c>
      <c r="B44" s="137"/>
      <c r="C44" s="138" t="n">
        <f aca="false">C42/12</f>
        <v>5.83791556692858</v>
      </c>
      <c r="D44" s="138" t="n">
        <f aca="false">D42/12</f>
        <v>6.11168027695898</v>
      </c>
      <c r="E44" s="138" t="n">
        <f aca="false">E42/12</f>
        <v>6.39828297952264</v>
      </c>
      <c r="F44" s="138" t="n">
        <f aca="false">F42/12</f>
        <v>6.69832570273439</v>
      </c>
      <c r="G44" s="138" t="n">
        <f aca="false">G42/12</f>
        <v>7.01243870636987</v>
      </c>
      <c r="H44" s="138" t="n">
        <f aca="false">H42/12</f>
        <v>7.15379144786804</v>
      </c>
      <c r="I44" s="138" t="n">
        <f aca="false">I42/12</f>
        <v>7.29799349734103</v>
      </c>
      <c r="J44" s="138" t="n">
        <f aca="false">J42/12</f>
        <v>7.44510228951455</v>
      </c>
      <c r="K44" s="138" t="n">
        <f aca="false">K42/12</f>
        <v>7.59517641685077</v>
      </c>
      <c r="L44" s="138" t="n">
        <f aca="false">L42/12</f>
        <v>7.74827565288528</v>
      </c>
      <c r="M44" s="138" t="n">
        <f aca="false">M42/12</f>
        <v>7.90063355998294</v>
      </c>
      <c r="N44" s="138" t="n">
        <f aca="false">N42/12</f>
        <v>8.05598735066749</v>
      </c>
      <c r="O44" s="138" t="n">
        <f aca="false">O42/12</f>
        <v>8.21439593437551</v>
      </c>
      <c r="P44" s="138" t="n">
        <f aca="false">P42/12</f>
        <v>8.37591937890693</v>
      </c>
      <c r="Q44" s="138" t="n">
        <f aca="false">Q42/12</f>
        <v>8.54061893320245</v>
      </c>
      <c r="R44" s="138" t="n">
        <f aca="false">R42/12</f>
        <v>8.67200905822106</v>
      </c>
      <c r="S44" s="138" t="n">
        <f aca="false">S42/12</f>
        <v>8.80542050805083</v>
      </c>
      <c r="T44" s="138" t="n">
        <f aca="false">T42/12</f>
        <v>8.94088437904694</v>
      </c>
      <c r="U44" s="138" t="n">
        <f aca="false">U42/12</f>
        <v>9.07843224595538</v>
      </c>
      <c r="V44" s="138" t="n">
        <f aca="false">V42/12</f>
        <v>9.21809616927268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&amp;L&amp;12Enron's Generation&amp;RCONFIDENTIAL</oddHeader>
    <oddFooter>&amp;L&amp;D&amp;C&amp;F&amp;RPage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56"/>
    <col collapsed="false" customWidth="true" hidden="false" outlineLevel="0" max="21" min="2" style="0" width="8.99"/>
    <col collapsed="false" customWidth="true" hidden="false" outlineLevel="0" max="22" min="22" style="0" width="12.56"/>
    <col collapsed="false" customWidth="true" hidden="false" outlineLevel="0" max="24" min="23" style="0" width="9.7"/>
    <col collapsed="false" customWidth="true" hidden="false" outlineLevel="0" max="25" min="25" style="0" width="7.28"/>
    <col collapsed="false" customWidth="true" hidden="false" outlineLevel="0" max="45" min="26" style="0" width="7.7"/>
  </cols>
  <sheetData>
    <row r="1" customFormat="false" ht="12.75" hidden="false" customHeight="true" outlineLevel="0" collapsed="false"/>
    <row r="2" customFormat="false" ht="18" hidden="false" customHeight="true" outlineLevel="0" collapsed="false">
      <c r="A2" s="144" t="s">
        <v>99</v>
      </c>
      <c r="B2" s="14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92"/>
      <c r="W2" s="9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</row>
    <row r="3" customFormat="false" ht="16.5" hidden="false" customHeight="true" outlineLevel="0" collapsed="false">
      <c r="A3" s="146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92"/>
      <c r="W3" s="9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</row>
    <row r="4" customFormat="false" ht="12.75" hidden="false" customHeight="true" outlineLevel="0" collapsed="false">
      <c r="A4" s="146"/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92"/>
      <c r="W4" s="9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</row>
    <row r="5" customFormat="false" ht="13.5" hidden="false" customHeight="true" outlineLevel="0" collapsed="false">
      <c r="A5" s="149" t="s">
        <v>100</v>
      </c>
      <c r="B5" s="150" t="n">
        <v>2001</v>
      </c>
      <c r="C5" s="150" t="n">
        <v>2002</v>
      </c>
      <c r="D5" s="150" t="n">
        <v>2003</v>
      </c>
      <c r="E5" s="150" t="n">
        <v>2004</v>
      </c>
      <c r="F5" s="150" t="n">
        <v>2005</v>
      </c>
      <c r="G5" s="150" t="n">
        <v>2006</v>
      </c>
      <c r="H5" s="150" t="n">
        <v>2007</v>
      </c>
      <c r="I5" s="150" t="n">
        <v>2008</v>
      </c>
      <c r="J5" s="150" t="n">
        <v>2009</v>
      </c>
      <c r="K5" s="150" t="n">
        <v>2010</v>
      </c>
      <c r="L5" s="150" t="n">
        <v>2011</v>
      </c>
      <c r="M5" s="150" t="n">
        <v>2012</v>
      </c>
      <c r="N5" s="150" t="n">
        <v>2013</v>
      </c>
      <c r="O5" s="150" t="n">
        <v>2014</v>
      </c>
      <c r="P5" s="150" t="n">
        <v>2015</v>
      </c>
      <c r="Q5" s="150" t="n">
        <v>2016</v>
      </c>
      <c r="R5" s="150" t="n">
        <v>2017</v>
      </c>
      <c r="S5" s="150" t="n">
        <v>2018</v>
      </c>
      <c r="T5" s="150" t="n">
        <v>2019</v>
      </c>
      <c r="U5" s="150" t="n">
        <v>2020</v>
      </c>
      <c r="V5" s="151"/>
      <c r="W5" s="151"/>
      <c r="X5" s="92"/>
      <c r="Y5" s="152" t="n">
        <f aca="false">SUM(Z5:AS5)-SUM(Z6:AS6)</f>
        <v>0</v>
      </c>
      <c r="Z5" s="153" t="n">
        <f aca="false">B12</f>
        <v>6965.29836310445</v>
      </c>
      <c r="AA5" s="153" t="n">
        <f aca="false">C12</f>
        <v>7174.25731399759</v>
      </c>
      <c r="AB5" s="153" t="n">
        <f aca="false">D12</f>
        <v>7389.48503341751</v>
      </c>
      <c r="AC5" s="153" t="n">
        <f aca="false">E12</f>
        <v>7611.16958442004</v>
      </c>
      <c r="AD5" s="153" t="n">
        <f aca="false">F12</f>
        <v>7839.50467195264</v>
      </c>
      <c r="AE5" s="153" t="n">
        <f aca="false">G12</f>
        <v>8074.68981211122</v>
      </c>
      <c r="AF5" s="153" t="n">
        <f aca="false">H12</f>
        <v>8316.93050647456</v>
      </c>
      <c r="AG5" s="153" t="n">
        <f aca="false">I12</f>
        <v>8566.43842166879</v>
      </c>
      <c r="AH5" s="153" t="n">
        <f aca="false">J12</f>
        <v>8823.43157431886</v>
      </c>
      <c r="AI5" s="153" t="n">
        <f aca="false">K12</f>
        <v>9088.13452154842</v>
      </c>
      <c r="AJ5" s="153" t="n">
        <f aca="false">L12</f>
        <v>9360.77855719488</v>
      </c>
      <c r="AK5" s="153" t="n">
        <f aca="false">M12</f>
        <v>9641.60191391072</v>
      </c>
      <c r="AL5" s="153" t="n">
        <f aca="false">N12</f>
        <v>9930.84997132805</v>
      </c>
      <c r="AM5" s="153" t="n">
        <f aca="false">O12</f>
        <v>10228.7754704679</v>
      </c>
      <c r="AN5" s="153" t="n">
        <f aca="false">P12</f>
        <v>10535.6387345819</v>
      </c>
      <c r="AO5" s="153" t="n">
        <f aca="false">Q12</f>
        <v>10851.7078966194</v>
      </c>
      <c r="AP5" s="153" t="n">
        <f aca="false">R12</f>
        <v>11177.259133518</v>
      </c>
      <c r="AQ5" s="153" t="n">
        <f aca="false">S12</f>
        <v>11512.5769075235</v>
      </c>
      <c r="AR5" s="153" t="n">
        <f aca="false">T12</f>
        <v>11857.9542147492</v>
      </c>
      <c r="AS5" s="153" t="n">
        <f aca="false">U12</f>
        <v>12213.6928411917</v>
      </c>
    </row>
    <row r="6" customFormat="false" ht="12.75" hidden="false" customHeight="true" outlineLevel="0" collapsed="false">
      <c r="A6" s="154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92"/>
      <c r="W6" s="92"/>
      <c r="X6" s="2"/>
      <c r="Y6" s="152" t="n">
        <v>0</v>
      </c>
      <c r="Z6" s="156" t="n">
        <f aca="false">B19+1/3*B20</f>
        <v>6965.29836310445</v>
      </c>
      <c r="AA6" s="156" t="n">
        <f aca="false">C19+1/3*C20</f>
        <v>7174.25731399759</v>
      </c>
      <c r="AB6" s="156" t="n">
        <f aca="false">D19+1/3*D20</f>
        <v>7389.48503341751</v>
      </c>
      <c r="AC6" s="156" t="n">
        <f aca="false">E19+1/3*E20</f>
        <v>7611.16958442004</v>
      </c>
      <c r="AD6" s="156" t="n">
        <f aca="false">F19+1/3*F20</f>
        <v>7839.50467195264</v>
      </c>
      <c r="AE6" s="156" t="n">
        <f aca="false">G19+1/3*G20</f>
        <v>8074.68981211122</v>
      </c>
      <c r="AF6" s="156" t="n">
        <f aca="false">H19+1/3*H20</f>
        <v>8316.93050647456</v>
      </c>
      <c r="AG6" s="156" t="n">
        <f aca="false">I19+1/3*I20</f>
        <v>8566.43842166879</v>
      </c>
      <c r="AH6" s="156" t="n">
        <f aca="false">J19+1/3*J20</f>
        <v>8823.43157431886</v>
      </c>
      <c r="AI6" s="156" t="n">
        <f aca="false">K19+1/3*K20</f>
        <v>9088.13452154842</v>
      </c>
      <c r="AJ6" s="156" t="n">
        <f aca="false">L19+1/3*L20</f>
        <v>9360.77855719488</v>
      </c>
      <c r="AK6" s="156" t="n">
        <f aca="false">M19+1/3*M20</f>
        <v>9641.60191391072</v>
      </c>
      <c r="AL6" s="156" t="n">
        <f aca="false">N19+1/3*N20</f>
        <v>9930.84997132805</v>
      </c>
      <c r="AM6" s="156" t="n">
        <f aca="false">O19+1/3*O20</f>
        <v>10228.7754704679</v>
      </c>
      <c r="AN6" s="156" t="n">
        <f aca="false">P19+1/3*P20</f>
        <v>10535.6387345819</v>
      </c>
      <c r="AO6" s="156" t="n">
        <f aca="false">Q19+1/3*Q20</f>
        <v>10851.7078966194</v>
      </c>
      <c r="AP6" s="156" t="n">
        <f aca="false">R19+1/3*R20</f>
        <v>11177.259133518</v>
      </c>
      <c r="AQ6" s="156" t="n">
        <f aca="false">S19+1/3*S20</f>
        <v>11512.5769075235</v>
      </c>
      <c r="AR6" s="156" t="n">
        <f aca="false">T19+1/3*T20</f>
        <v>11857.9542147492</v>
      </c>
      <c r="AS6" s="156" t="n">
        <f aca="false">U19+1/3*U20</f>
        <v>12213.6928411917</v>
      </c>
    </row>
    <row r="7" customFormat="false" ht="12.75" hidden="false" customHeight="true" outlineLevel="0" collapsed="false">
      <c r="A7" s="154"/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92"/>
      <c r="W7" s="9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</row>
    <row r="8" customFormat="false" ht="12.75" hidden="false" customHeight="true" outlineLevel="0" collapsed="false">
      <c r="A8" s="158" t="s">
        <v>101</v>
      </c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59"/>
      <c r="W8" s="159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</row>
    <row r="9" customFormat="false" ht="12.75" hidden="false" customHeight="true" outlineLevel="0" collapsed="false">
      <c r="A9" s="160"/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59"/>
      <c r="W9" s="159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</row>
    <row r="10" customFormat="false" ht="12.75" hidden="false" customHeight="true" outlineLevel="0" collapsed="false">
      <c r="A10" s="160" t="s">
        <v>102</v>
      </c>
      <c r="B10" s="161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92"/>
      <c r="W10" s="162"/>
      <c r="X10" s="163"/>
      <c r="Y10" s="163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</row>
    <row r="11" customFormat="false" ht="12.75" hidden="false" customHeight="true" outlineLevel="0" collapsed="false">
      <c r="A11" s="164" t="s">
        <v>103</v>
      </c>
      <c r="B11" s="161" t="n">
        <f aca="false">SUM(Wheatland!B8,Wilton!B8,Gleason!B8)</f>
        <v>111304.756078578</v>
      </c>
      <c r="C11" s="161" t="n">
        <f aca="false">SUM(Wheatland!C8,Wilton!C8,Gleason!C8)</f>
        <v>116823.946304473</v>
      </c>
      <c r="D11" s="161" t="n">
        <f aca="false">SUM(Wheatland!D8,Wilton!D8,Gleason!D8)</f>
        <v>122617.515016406</v>
      </c>
      <c r="E11" s="161" t="n">
        <f aca="false">SUM(Wheatland!E8,Wilton!E8,Gleason!E8)</f>
        <v>128699.137795919</v>
      </c>
      <c r="F11" s="161" t="n">
        <f aca="false">SUM(Wheatland!F8,Wilton!F8,Gleason!F8)</f>
        <v>135083.173610696</v>
      </c>
      <c r="G11" s="161" t="n">
        <f aca="false">SUM(Wheatland!G8,Wilton!G8,Gleason!G8)</f>
        <v>137498.160401019</v>
      </c>
      <c r="H11" s="161" t="n">
        <f aca="false">SUM(Wheatland!H8,Wilton!H8,Gleason!H8)</f>
        <v>139957.925606834</v>
      </c>
      <c r="I11" s="161" t="n">
        <f aca="false">SUM(Wheatland!I8,Wilton!I8,Gleason!I8)</f>
        <v>142463.322778007</v>
      </c>
      <c r="J11" s="161" t="n">
        <f aca="false">SUM(Wheatland!J8,Wilton!J8,Gleason!J8)</f>
        <v>145015.222060118</v>
      </c>
      <c r="K11" s="161" t="n">
        <f aca="false">SUM(Wheatland!K8,Wilton!K8,Gleason!K8)</f>
        <v>147614.510521576</v>
      </c>
      <c r="L11" s="161" t="n">
        <f aca="false">SUM(Wheatland!L8,Wilton!L8,Gleason!L8)</f>
        <v>150172.672753101</v>
      </c>
      <c r="M11" s="161" t="n">
        <f aca="false">SUM(Wheatland!M8,Wilton!M8,Gleason!M8)</f>
        <v>152776.513702151</v>
      </c>
      <c r="N11" s="161" t="n">
        <f aca="false">SUM(Wheatland!N8,Wilton!N8,Gleason!N8)</f>
        <v>155426.868371579</v>
      </c>
      <c r="O11" s="161" t="n">
        <f aca="false">SUM(Wheatland!O8,Wilton!O8,Gleason!O8)</f>
        <v>158124.587298914</v>
      </c>
      <c r="P11" s="161" t="n">
        <f aca="false">SUM(Wheatland!P8,Wilton!P8,Gleason!P8)</f>
        <v>160870.53684908</v>
      </c>
      <c r="Q11" s="161" t="n">
        <f aca="false">SUM(Wheatland!Q8,Wilton!Q8,Gleason!Q8)</f>
        <v>163276.597200697</v>
      </c>
      <c r="R11" s="161" t="n">
        <f aca="false">SUM(Wheatland!R8,Wilton!R8,Gleason!R8)</f>
        <v>165718.680305911</v>
      </c>
      <c r="S11" s="161" t="n">
        <f aca="false">SUM(Wheatland!S8,Wilton!S8,Gleason!S8)</f>
        <v>168197.326019852</v>
      </c>
      <c r="T11" s="161" t="n">
        <f aca="false">SUM(Wheatland!T8,Wilton!T8,Gleason!T8)</f>
        <v>170713.082296002</v>
      </c>
      <c r="U11" s="161" t="n">
        <f aca="false">SUM(Wheatland!U8,Wilton!U8,Gleason!U8)</f>
        <v>173266.505307789</v>
      </c>
      <c r="V11" s="92"/>
      <c r="W11" s="162" t="n">
        <f aca="false">SUM(B11:U11)</f>
        <v>2945621.0402787</v>
      </c>
      <c r="X11" s="165" t="n">
        <f aca="false">SUM(Wheatland!W8,Wilton!W8,Gleason!W8)</f>
        <v>2945621.0402787</v>
      </c>
      <c r="Y11" s="165" t="n">
        <f aca="false">W11-X11</f>
        <v>0</v>
      </c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</row>
    <row r="12" customFormat="false" ht="12.75" hidden="false" customHeight="true" outlineLevel="0" collapsed="false">
      <c r="A12" s="164" t="s">
        <v>104</v>
      </c>
      <c r="B12" s="161" t="n">
        <f aca="false">SUM(Wheatland!B9,Wilton!B9,Gleason!B9)</f>
        <v>6965.29836310445</v>
      </c>
      <c r="C12" s="161" t="n">
        <f aca="false">SUM(Wheatland!C9,Wilton!C9,Gleason!C9)</f>
        <v>7174.25731399759</v>
      </c>
      <c r="D12" s="161" t="n">
        <f aca="false">SUM(Wheatland!D9,Wilton!D9,Gleason!D9)</f>
        <v>7389.48503341751</v>
      </c>
      <c r="E12" s="161" t="n">
        <f aca="false">SUM(Wheatland!E9,Wilton!E9,Gleason!E9)</f>
        <v>7611.16958442004</v>
      </c>
      <c r="F12" s="161" t="n">
        <f aca="false">SUM(Wheatland!F9,Wilton!F9,Gleason!F9)</f>
        <v>7839.50467195264</v>
      </c>
      <c r="G12" s="161" t="n">
        <f aca="false">SUM(Wheatland!G9,Wilton!G9,Gleason!G9)</f>
        <v>8074.68981211122</v>
      </c>
      <c r="H12" s="161" t="n">
        <f aca="false">SUM(Wheatland!H9,Wilton!H9,Gleason!H9)</f>
        <v>8316.93050647456</v>
      </c>
      <c r="I12" s="161" t="n">
        <f aca="false">SUM(Wheatland!I9,Wilton!I9,Gleason!I9)</f>
        <v>8566.43842166879</v>
      </c>
      <c r="J12" s="161" t="n">
        <f aca="false">SUM(Wheatland!J9,Wilton!J9,Gleason!J9)</f>
        <v>8823.43157431886</v>
      </c>
      <c r="K12" s="161" t="n">
        <f aca="false">SUM(Wheatland!K9,Wilton!K9,Gleason!K9)</f>
        <v>9088.13452154842</v>
      </c>
      <c r="L12" s="161" t="n">
        <f aca="false">SUM(Wheatland!L9,Wilton!L9,Gleason!L9)</f>
        <v>9360.77855719488</v>
      </c>
      <c r="M12" s="161" t="n">
        <f aca="false">SUM(Wheatland!M9,Wilton!M9,Gleason!M9)</f>
        <v>9641.60191391072</v>
      </c>
      <c r="N12" s="161" t="n">
        <f aca="false">SUM(Wheatland!N9,Wilton!N9,Gleason!N9)</f>
        <v>9930.84997132805</v>
      </c>
      <c r="O12" s="161" t="n">
        <f aca="false">SUM(Wheatland!O9,Wilton!O9,Gleason!O9)</f>
        <v>10228.7754704679</v>
      </c>
      <c r="P12" s="161" t="n">
        <f aca="false">SUM(Wheatland!P9,Wilton!P9,Gleason!P9)</f>
        <v>10535.6387345819</v>
      </c>
      <c r="Q12" s="161" t="n">
        <f aca="false">SUM(Wheatland!Q9,Wilton!Q9,Gleason!Q9)</f>
        <v>10851.7078966194</v>
      </c>
      <c r="R12" s="161" t="n">
        <f aca="false">SUM(Wheatland!R9,Wilton!R9,Gleason!R9)</f>
        <v>11177.259133518</v>
      </c>
      <c r="S12" s="161" t="n">
        <f aca="false">SUM(Wheatland!S9,Wilton!S9,Gleason!S9)</f>
        <v>11512.5769075235</v>
      </c>
      <c r="T12" s="161" t="n">
        <f aca="false">SUM(Wheatland!T9,Wilton!T9,Gleason!T9)</f>
        <v>11857.9542147492</v>
      </c>
      <c r="U12" s="161" t="n">
        <f aca="false">SUM(Wheatland!U9,Wilton!U9,Gleason!U9)</f>
        <v>12213.6928411917</v>
      </c>
      <c r="V12" s="92"/>
      <c r="W12" s="162" t="n">
        <f aca="false">SUM(B12:U12)</f>
        <v>187160.175444099</v>
      </c>
      <c r="X12" s="165" t="n">
        <f aca="false">SUM(Wheatland!W9,Wilton!W9,Gleason!W9)</f>
        <v>187160.175444099</v>
      </c>
      <c r="Y12" s="165" t="n">
        <f aca="false">W12-X12</f>
        <v>0</v>
      </c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</row>
    <row r="13" customFormat="false" ht="12.75" hidden="false" customHeight="true" outlineLevel="0" collapsed="false">
      <c r="A13" s="164"/>
      <c r="B13" s="161"/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92"/>
      <c r="W13" s="162"/>
      <c r="X13" s="165"/>
      <c r="Y13" s="165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</row>
    <row r="14" customFormat="false" ht="12.75" hidden="false" customHeight="true" outlineLevel="0" collapsed="false">
      <c r="A14" s="164" t="s">
        <v>105</v>
      </c>
      <c r="B14" s="166" t="n">
        <f aca="false">SUM(Wheatland!B10,Wilton!B10,Gleason!B10)</f>
        <v>1288.84927709367</v>
      </c>
      <c r="C14" s="166" t="n">
        <f aca="false">SUM(Wheatland!C10,Wilton!C10,Gleason!C10)</f>
        <v>1353.07340756664</v>
      </c>
      <c r="D14" s="166" t="n">
        <f aca="false">SUM(Wheatland!D10,Wilton!D10,Gleason!D10)</f>
        <v>1420.70263718387</v>
      </c>
      <c r="E14" s="166" t="n">
        <f aca="false">SUM(Wheatland!E10,Wilton!E10,Gleason!E10)</f>
        <v>1493.19062519335</v>
      </c>
      <c r="F14" s="166" t="n">
        <f aca="false">SUM(Wheatland!F10,Wilton!F10,Gleason!F10)</f>
        <v>1569.73872216754</v>
      </c>
      <c r="G14" s="166" t="n">
        <f aca="false">SUM(Wheatland!G10,Wilton!G10,Gleason!G10)</f>
        <v>1594.59697224072</v>
      </c>
      <c r="H14" s="166" t="n">
        <f aca="false">SUM(Wheatland!H10,Wilton!H10,Gleason!H10)</f>
        <v>1620.55209263934</v>
      </c>
      <c r="I14" s="166" t="n">
        <f aca="false">SUM(Wheatland!I10,Wilton!I10,Gleason!I10)</f>
        <v>1647.74469169065</v>
      </c>
      <c r="J14" s="166" t="n">
        <f aca="false">SUM(Wheatland!J10,Wilton!J10,Gleason!J10)</f>
        <v>1676.68152271201</v>
      </c>
      <c r="K14" s="166" t="n">
        <f aca="false">SUM(Wheatland!K10,Wilton!K10,Gleason!K10)</f>
        <v>1707.09608585102</v>
      </c>
      <c r="L14" s="166" t="n">
        <f aca="false">SUM(Wheatland!L10,Wilton!L10,Gleason!L10)</f>
        <v>1734.13887076295</v>
      </c>
      <c r="M14" s="166" t="n">
        <f aca="false">SUM(Wheatland!M10,Wilton!M10,Gleason!M10)</f>
        <v>1763.59493965543</v>
      </c>
      <c r="N14" s="166" t="n">
        <f aca="false">SUM(Wheatland!N10,Wilton!N10,Gleason!N10)</f>
        <v>1789.17107106449</v>
      </c>
      <c r="O14" s="166" t="n">
        <f aca="false">SUM(Wheatland!O10,Wilton!O10,Gleason!O10)</f>
        <v>1819.59832581458</v>
      </c>
      <c r="P14" s="166" t="n">
        <f aca="false">SUM(Wheatland!P10,Wilton!P10,Gleason!P10)</f>
        <v>1845.07108557077</v>
      </c>
      <c r="Q14" s="166" t="n">
        <f aca="false">SUM(Wheatland!Q10,Wilton!Q10,Gleason!Q10)</f>
        <v>1878.69492441993</v>
      </c>
      <c r="R14" s="166" t="n">
        <f aca="false">SUM(Wheatland!R10,Wilton!R10,Gleason!R10)</f>
        <v>1905.41465009175</v>
      </c>
      <c r="S14" s="166" t="n">
        <f aca="false">SUM(Wheatland!S10,Wilton!S10,Gleason!S10)</f>
        <v>1932.47240298194</v>
      </c>
      <c r="T14" s="166" t="n">
        <f aca="false">SUM(Wheatland!T10,Wilton!T10,Gleason!T10)</f>
        <v>1959.87149954384</v>
      </c>
      <c r="U14" s="166" t="n">
        <f aca="false">SUM(Wheatland!U10,Wilton!U10,Gleason!U10)</f>
        <v>1987.61525373512</v>
      </c>
      <c r="V14" s="92"/>
      <c r="W14" s="162" t="n">
        <f aca="false">SUM(B14:U14)</f>
        <v>33987.8690579796</v>
      </c>
      <c r="X14" s="165" t="n">
        <f aca="false">SUM(Wheatland!W10,Wilton!W10,Gleason!W10)</f>
        <v>33987.8690579796</v>
      </c>
      <c r="Y14" s="165" t="n">
        <f aca="false">W14-X14</f>
        <v>0</v>
      </c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</row>
    <row r="15" customFormat="false" ht="12.75" hidden="false" customHeight="true" outlineLevel="0" collapsed="false">
      <c r="A15" s="164" t="s">
        <v>106</v>
      </c>
      <c r="B15" s="161" t="n">
        <f aca="false">SUM(B10:B14)</f>
        <v>119558.903718776</v>
      </c>
      <c r="C15" s="161" t="n">
        <f aca="false">SUM(C10:C14)</f>
        <v>125351.277026037</v>
      </c>
      <c r="D15" s="161" t="n">
        <f aca="false">SUM(D10:D14)</f>
        <v>131427.702687008</v>
      </c>
      <c r="E15" s="161" t="n">
        <f aca="false">SUM(E10:E14)</f>
        <v>137803.498005533</v>
      </c>
      <c r="F15" s="161" t="n">
        <f aca="false">SUM(F10:F14)</f>
        <v>144492.417004816</v>
      </c>
      <c r="G15" s="161" t="n">
        <f aca="false">SUM(G10:G14)</f>
        <v>147167.447185371</v>
      </c>
      <c r="H15" s="161" t="n">
        <f aca="false">SUM(H10:H14)</f>
        <v>149895.408205948</v>
      </c>
      <c r="I15" s="161" t="n">
        <f aca="false">SUM(I10:I14)</f>
        <v>152677.505891366</v>
      </c>
      <c r="J15" s="161" t="n">
        <f aca="false">SUM(J10:J14)</f>
        <v>155515.335157149</v>
      </c>
      <c r="K15" s="161" t="n">
        <f aca="false">SUM(K10:K14)</f>
        <v>158409.741128975</v>
      </c>
      <c r="L15" s="161" t="n">
        <f aca="false">SUM(L10:L14)</f>
        <v>161267.590181059</v>
      </c>
      <c r="M15" s="161" t="n">
        <f aca="false">SUM(M10:M14)</f>
        <v>164181.710555717</v>
      </c>
      <c r="N15" s="161" t="n">
        <f aca="false">SUM(N10:N14)</f>
        <v>167146.889413972</v>
      </c>
      <c r="O15" s="161" t="n">
        <f aca="false">SUM(O10:O14)</f>
        <v>170172.961095196</v>
      </c>
      <c r="P15" s="161" t="n">
        <f aca="false">SUM(P10:P14)</f>
        <v>173251.246669233</v>
      </c>
      <c r="Q15" s="161" t="n">
        <f aca="false">SUM(Q10:Q14)</f>
        <v>176007.000021737</v>
      </c>
      <c r="R15" s="161" t="n">
        <f aca="false">SUM(R10:R14)</f>
        <v>178801.35408952</v>
      </c>
      <c r="S15" s="161" t="n">
        <f aca="false">SUM(S10:S14)</f>
        <v>181642.375330357</v>
      </c>
      <c r="T15" s="161" t="n">
        <f aca="false">SUM(T10:T14)</f>
        <v>184530.908010295</v>
      </c>
      <c r="U15" s="161" t="n">
        <f aca="false">SUM(U10:U14)</f>
        <v>187467.813402716</v>
      </c>
      <c r="V15" s="92"/>
      <c r="W15" s="162" t="n">
        <f aca="false">SUM(B15:U15)</f>
        <v>3166769.08478078</v>
      </c>
      <c r="X15" s="165" t="n">
        <f aca="false">SUM(Wheatland!W11,Wilton!W11,Gleason!W11)</f>
        <v>3166769.08478078</v>
      </c>
      <c r="Y15" s="165" t="n">
        <f aca="false">W15-X15</f>
        <v>0</v>
      </c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</row>
    <row r="16" customFormat="false" ht="12.75" hidden="false" customHeight="true" outlineLevel="0" collapsed="false">
      <c r="A16" s="164"/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92"/>
      <c r="W16" s="162"/>
      <c r="X16" s="163"/>
      <c r="Y16" s="163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</row>
    <row r="17" customFormat="false" ht="12.75" hidden="false" customHeight="true" outlineLevel="0" collapsed="false">
      <c r="A17" s="158" t="s">
        <v>107</v>
      </c>
      <c r="B17" s="167"/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92"/>
      <c r="W17" s="162"/>
      <c r="X17" s="163"/>
      <c r="Y17" s="163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</row>
    <row r="18" customFormat="false" ht="12.75" hidden="false" customHeight="true" outlineLevel="0" collapsed="false">
      <c r="A18" s="164" t="s">
        <v>70</v>
      </c>
      <c r="B18" s="161" t="n">
        <f aca="false">SUM(Wheatland!B14,Wilton!B14,Gleason!B14)</f>
        <v>4333.01694857143</v>
      </c>
      <c r="C18" s="161" t="n">
        <f aca="false">SUM(Wheatland!C14,Wilton!C14,Gleason!C14)</f>
        <v>4463.00745702857</v>
      </c>
      <c r="D18" s="161" t="n">
        <f aca="false">SUM(Wheatland!D14,Wilton!D14,Gleason!D14)</f>
        <v>4596.89768073943</v>
      </c>
      <c r="E18" s="161" t="n">
        <f aca="false">SUM(Wheatland!E14,Wilton!E14,Gleason!E14)</f>
        <v>4734.80461116161</v>
      </c>
      <c r="F18" s="161" t="n">
        <f aca="false">SUM(Wheatland!F14,Wilton!F14,Gleason!F14)</f>
        <v>4876.84874949646</v>
      </c>
      <c r="G18" s="161" t="n">
        <f aca="false">SUM(Wheatland!G14,Wilton!G14,Gleason!G14)</f>
        <v>5023.15421198136</v>
      </c>
      <c r="H18" s="161" t="n">
        <f aca="false">SUM(Wheatland!H14,Wilton!H14,Gleason!H14)</f>
        <v>5173.8488383408</v>
      </c>
      <c r="I18" s="161" t="n">
        <f aca="false">SUM(Wheatland!I14,Wilton!I14,Gleason!I14)</f>
        <v>5329.06430349102</v>
      </c>
      <c r="J18" s="161" t="n">
        <f aca="false">SUM(Wheatland!J14,Wilton!J14,Gleason!J14)</f>
        <v>5488.93623259575</v>
      </c>
      <c r="K18" s="161" t="n">
        <f aca="false">SUM(Wheatland!K14,Wilton!K14,Gleason!K14)</f>
        <v>5653.60431957362</v>
      </c>
      <c r="L18" s="161" t="n">
        <f aca="false">SUM(Wheatland!L14,Wilton!L14,Gleason!L14)</f>
        <v>5823.21244916083</v>
      </c>
      <c r="M18" s="161" t="n">
        <f aca="false">SUM(Wheatland!M14,Wilton!M14,Gleason!M14)</f>
        <v>5997.90882263566</v>
      </c>
      <c r="N18" s="161" t="n">
        <f aca="false">SUM(Wheatland!N14,Wilton!N14,Gleason!N14)</f>
        <v>6177.84608731473</v>
      </c>
      <c r="O18" s="161" t="n">
        <f aca="false">SUM(Wheatland!O14,Wilton!O14,Gleason!O14)</f>
        <v>6363.18146993417</v>
      </c>
      <c r="P18" s="161" t="n">
        <f aca="false">SUM(Wheatland!P14,Wilton!P14,Gleason!P14)</f>
        <v>6554.07691403219</v>
      </c>
      <c r="Q18" s="161" t="n">
        <f aca="false">SUM(Wheatland!Q14,Wilton!Q14,Gleason!Q14)</f>
        <v>6750.69922145316</v>
      </c>
      <c r="R18" s="161" t="n">
        <f aca="false">SUM(Wheatland!R14,Wilton!R14,Gleason!R14)</f>
        <v>6953.22019809676</v>
      </c>
      <c r="S18" s="161" t="n">
        <f aca="false">SUM(Wheatland!S14,Wilton!S14,Gleason!S14)</f>
        <v>7161.81680403966</v>
      </c>
      <c r="T18" s="161" t="n">
        <f aca="false">SUM(Wheatland!T14,Wilton!T14,Gleason!T14)</f>
        <v>7376.67130816085</v>
      </c>
      <c r="U18" s="161" t="n">
        <f aca="false">SUM(Wheatland!U14,Wilton!U14,Gleason!U14)</f>
        <v>7597.97144740567</v>
      </c>
      <c r="V18" s="92"/>
      <c r="W18" s="162" t="n">
        <f aca="false">SUM(B18:U18)</f>
        <v>116429.788075214</v>
      </c>
      <c r="X18" s="165" t="n">
        <f aca="false">SUM(Wheatland!W14,Wilton!W14,Gleason!W14)</f>
        <v>116429.788075214</v>
      </c>
      <c r="Y18" s="165" t="n">
        <f aca="false">W18-X18</f>
        <v>0</v>
      </c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</row>
    <row r="19" customFormat="false" ht="12.75" hidden="false" customHeight="true" outlineLevel="0" collapsed="false">
      <c r="A19" s="164" t="s">
        <v>71</v>
      </c>
      <c r="B19" s="161" t="n">
        <f aca="false">SUM(Wheatland!B15,Wilton!B15,Gleason!B15)</f>
        <v>6373.04836310445</v>
      </c>
      <c r="C19" s="161" t="n">
        <f aca="false">SUM(Wheatland!C15,Wilton!C15,Gleason!C15)</f>
        <v>6564.23981399759</v>
      </c>
      <c r="D19" s="161" t="n">
        <f aca="false">SUM(Wheatland!D15,Wilton!D15,Gleason!D15)</f>
        <v>6761.16700841751</v>
      </c>
      <c r="E19" s="161" t="n">
        <f aca="false">SUM(Wheatland!E15,Wilton!E15,Gleason!E15)</f>
        <v>6964.00201867004</v>
      </c>
      <c r="F19" s="161" t="n">
        <f aca="false">SUM(Wheatland!F15,Wilton!F15,Gleason!F15)</f>
        <v>7172.92207923014</v>
      </c>
      <c r="G19" s="161" t="n">
        <f aca="false">SUM(Wheatland!G15,Wilton!G15,Gleason!G15)</f>
        <v>7388.10974160704</v>
      </c>
      <c r="H19" s="161" t="n">
        <f aca="false">SUM(Wheatland!H15,Wilton!H15,Gleason!H15)</f>
        <v>7609.75303385526</v>
      </c>
      <c r="I19" s="161" t="n">
        <f aca="false">SUM(Wheatland!I15,Wilton!I15,Gleason!I15)</f>
        <v>7838.04562487091</v>
      </c>
      <c r="J19" s="161" t="n">
        <f aca="false">SUM(Wheatland!J15,Wilton!J15,Gleason!J15)</f>
        <v>8073.18699361704</v>
      </c>
      <c r="K19" s="161" t="n">
        <f aca="false">SUM(Wheatland!K15,Wilton!K15,Gleason!K15)</f>
        <v>8315.38260342555</v>
      </c>
      <c r="L19" s="161" t="n">
        <f aca="false">SUM(Wheatland!L15,Wilton!L15,Gleason!L15)</f>
        <v>8564.84408152832</v>
      </c>
      <c r="M19" s="161" t="n">
        <f aca="false">SUM(Wheatland!M15,Wilton!M15,Gleason!M15)</f>
        <v>8821.78940397417</v>
      </c>
      <c r="N19" s="161" t="n">
        <f aca="false">SUM(Wheatland!N15,Wilton!N15,Gleason!N15)</f>
        <v>9086.4430860934</v>
      </c>
      <c r="O19" s="161" t="n">
        <f aca="false">SUM(Wheatland!O15,Wilton!O15,Gleason!O15)</f>
        <v>9359.0363786762</v>
      </c>
      <c r="P19" s="161" t="n">
        <f aca="false">SUM(Wheatland!P15,Wilton!P15,Gleason!P15)</f>
        <v>9639.80747003648</v>
      </c>
      <c r="Q19" s="161" t="n">
        <f aca="false">SUM(Wheatland!Q15,Wilton!Q15,Gleason!Q15)</f>
        <v>9929.00169413758</v>
      </c>
      <c r="R19" s="161" t="n">
        <f aca="false">SUM(Wheatland!R15,Wilton!R15,Gleason!R15)</f>
        <v>10226.8717449617</v>
      </c>
      <c r="S19" s="161" t="n">
        <f aca="false">SUM(Wheatland!S15,Wilton!S15,Gleason!S15)</f>
        <v>10533.6778973106</v>
      </c>
      <c r="T19" s="161" t="n">
        <f aca="false">SUM(Wheatland!T15,Wilton!T15,Gleason!T15)</f>
        <v>10849.6882342299</v>
      </c>
      <c r="U19" s="161" t="n">
        <f aca="false">SUM(Wheatland!U15,Wilton!U15,Gleason!U15)</f>
        <v>11175.1788812568</v>
      </c>
      <c r="V19" s="92"/>
      <c r="W19" s="162" t="n">
        <f aca="false">SUM(B19:U19)</f>
        <v>171246.196153001</v>
      </c>
      <c r="X19" s="165" t="n">
        <f aca="false">SUM(Wheatland!W15,Wilton!W15,Gleason!W15)</f>
        <v>171246.196153001</v>
      </c>
      <c r="Y19" s="165" t="n">
        <f aca="false">W19-X19</f>
        <v>0</v>
      </c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</row>
    <row r="20" customFormat="false" ht="12.75" hidden="false" customHeight="true" outlineLevel="0" collapsed="false">
      <c r="A20" s="164" t="s">
        <v>108</v>
      </c>
      <c r="B20" s="161" t="n">
        <f aca="false">SUM(Wheatland!B16,Wilton!B16,Gleason!B16)</f>
        <v>1776.75</v>
      </c>
      <c r="C20" s="161" t="n">
        <f aca="false">SUM(Wheatland!C16,Wilton!C16,Gleason!C16)</f>
        <v>1830.0525</v>
      </c>
      <c r="D20" s="161" t="n">
        <f aca="false">SUM(Wheatland!D16,Wilton!D16,Gleason!D16)</f>
        <v>1884.954075</v>
      </c>
      <c r="E20" s="161" t="n">
        <f aca="false">SUM(Wheatland!E16,Wilton!E16,Gleason!E16)</f>
        <v>1941.50269725</v>
      </c>
      <c r="F20" s="161" t="n">
        <f aca="false">SUM(Wheatland!F16,Wilton!F16,Gleason!F16)</f>
        <v>1999.7477781675</v>
      </c>
      <c r="G20" s="161" t="n">
        <f aca="false">SUM(Wheatland!G16,Wilton!G16,Gleason!G16)</f>
        <v>2059.74021151253</v>
      </c>
      <c r="H20" s="161" t="n">
        <f aca="false">SUM(Wheatland!H16,Wilton!H16,Gleason!H16)</f>
        <v>2121.5324178579</v>
      </c>
      <c r="I20" s="161" t="n">
        <f aca="false">SUM(Wheatland!I16,Wilton!I16,Gleason!I16)</f>
        <v>2185.17839039364</v>
      </c>
      <c r="J20" s="161" t="n">
        <f aca="false">SUM(Wheatland!J16,Wilton!J16,Gleason!J16)</f>
        <v>2250.73374210545</v>
      </c>
      <c r="K20" s="161" t="n">
        <f aca="false">SUM(Wheatland!K16,Wilton!K16,Gleason!K16)</f>
        <v>2318.25575436861</v>
      </c>
      <c r="L20" s="161" t="n">
        <f aca="false">SUM(Wheatland!L16,Wilton!L16,Gleason!L16)</f>
        <v>2387.80342699967</v>
      </c>
      <c r="M20" s="161" t="n">
        <f aca="false">SUM(Wheatland!M16,Wilton!M16,Gleason!M16)</f>
        <v>2459.43752980966</v>
      </c>
      <c r="N20" s="161" t="n">
        <f aca="false">SUM(Wheatland!N16,Wilton!N16,Gleason!N16)</f>
        <v>2533.22065570395</v>
      </c>
      <c r="O20" s="161" t="n">
        <f aca="false">SUM(Wheatland!O16,Wilton!O16,Gleason!O16)</f>
        <v>2609.21727537507</v>
      </c>
      <c r="P20" s="161" t="n">
        <f aca="false">SUM(Wheatland!P16,Wilton!P16,Gleason!P16)</f>
        <v>2687.49379363632</v>
      </c>
      <c r="Q20" s="161" t="n">
        <f aca="false">SUM(Wheatland!Q16,Wilton!Q16,Gleason!Q16)</f>
        <v>2768.11860744541</v>
      </c>
      <c r="R20" s="161" t="n">
        <f aca="false">SUM(Wheatland!R16,Wilton!R16,Gleason!R16)</f>
        <v>2851.16216566877</v>
      </c>
      <c r="S20" s="161" t="n">
        <f aca="false">SUM(Wheatland!S16,Wilton!S16,Gleason!S16)</f>
        <v>2936.69703063884</v>
      </c>
      <c r="T20" s="161" t="n">
        <f aca="false">SUM(Wheatland!T16,Wilton!T16,Gleason!T16)</f>
        <v>3024.797941558</v>
      </c>
      <c r="U20" s="161" t="n">
        <f aca="false">SUM(Wheatland!U16,Wilton!U16,Gleason!U16)</f>
        <v>3115.54187980474</v>
      </c>
      <c r="V20" s="92"/>
      <c r="W20" s="162" t="n">
        <f aca="false">SUM(B20:U20)</f>
        <v>47741.9378732961</v>
      </c>
      <c r="X20" s="165" t="n">
        <f aca="false">SUM(Wheatland!W16,Wilton!W16,Gleason!W16)</f>
        <v>47741.9378732961</v>
      </c>
      <c r="Y20" s="165" t="n">
        <f aca="false">W20-X20</f>
        <v>0</v>
      </c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</row>
    <row r="21" customFormat="false" ht="12.75" hidden="false" customHeight="true" outlineLevel="0" collapsed="false">
      <c r="A21" s="164" t="s">
        <v>73</v>
      </c>
      <c r="B21" s="161" t="n">
        <f aca="false">SUM(Wheatland!B17,Wilton!B17,Gleason!B17)</f>
        <v>1060.04098</v>
      </c>
      <c r="C21" s="161" t="n">
        <f aca="false">SUM(Wheatland!C17,Wilton!C17,Gleason!C17)</f>
        <v>1091.8422094</v>
      </c>
      <c r="D21" s="161" t="n">
        <f aca="false">SUM(Wheatland!D17,Wilton!D17,Gleason!D17)</f>
        <v>1124.597475682</v>
      </c>
      <c r="E21" s="161" t="n">
        <f aca="false">SUM(Wheatland!E17,Wilton!E17,Gleason!E17)</f>
        <v>1158.33539995246</v>
      </c>
      <c r="F21" s="161" t="n">
        <f aca="false">SUM(Wheatland!F17,Wilton!F17,Gleason!F17)</f>
        <v>1193.08546195103</v>
      </c>
      <c r="G21" s="161" t="n">
        <f aca="false">SUM(Wheatland!G17,Wilton!G17,Gleason!G17)</f>
        <v>1228.87802580956</v>
      </c>
      <c r="H21" s="161" t="n">
        <f aca="false">SUM(Wheatland!H17,Wilton!H17,Gleason!H17)</f>
        <v>1265.74436658385</v>
      </c>
      <c r="I21" s="161" t="n">
        <f aca="false">SUM(Wheatland!I17,Wilton!I17,Gleason!I17)</f>
        <v>1303.71669758137</v>
      </c>
      <c r="J21" s="161" t="n">
        <f aca="false">SUM(Wheatland!J17,Wilton!J17,Gleason!J17)</f>
        <v>1342.82819850881</v>
      </c>
      <c r="K21" s="161" t="n">
        <f aca="false">SUM(Wheatland!K17,Wilton!K17,Gleason!K17)</f>
        <v>1383.11304446407</v>
      </c>
      <c r="L21" s="161" t="n">
        <f aca="false">SUM(Wheatland!L17,Wilton!L17,Gleason!L17)</f>
        <v>1424.606435798</v>
      </c>
      <c r="M21" s="161" t="n">
        <f aca="false">SUM(Wheatland!M17,Wilton!M17,Gleason!M17)</f>
        <v>1467.34462887194</v>
      </c>
      <c r="N21" s="161" t="n">
        <f aca="false">SUM(Wheatland!N17,Wilton!N17,Gleason!N17)</f>
        <v>1511.36496773809</v>
      </c>
      <c r="O21" s="161" t="n">
        <f aca="false">SUM(Wheatland!O17,Wilton!O17,Gleason!O17)</f>
        <v>1556.70591677024</v>
      </c>
      <c r="P21" s="161" t="n">
        <f aca="false">SUM(Wheatland!P17,Wilton!P17,Gleason!P17)</f>
        <v>1603.40709427334</v>
      </c>
      <c r="Q21" s="161" t="n">
        <f aca="false">SUM(Wheatland!Q17,Wilton!Q17,Gleason!Q17)</f>
        <v>1651.50930710154</v>
      </c>
      <c r="R21" s="161" t="n">
        <f aca="false">SUM(Wheatland!R17,Wilton!R17,Gleason!R17)</f>
        <v>1701.05458631459</v>
      </c>
      <c r="S21" s="161" t="n">
        <f aca="false">SUM(Wheatland!S17,Wilton!S17,Gleason!S17)</f>
        <v>1752.08622390403</v>
      </c>
      <c r="T21" s="161" t="n">
        <f aca="false">SUM(Wheatland!T17,Wilton!T17,Gleason!T17)</f>
        <v>1804.64881062115</v>
      </c>
      <c r="U21" s="161" t="n">
        <f aca="false">SUM(Wheatland!U17,Wilton!U17,Gleason!U17)</f>
        <v>1858.78827493978</v>
      </c>
      <c r="V21" s="92"/>
      <c r="W21" s="162" t="n">
        <f aca="false">SUM(B21:U21)</f>
        <v>28483.6981062659</v>
      </c>
      <c r="X21" s="165" t="n">
        <f aca="false">SUM(Wheatland!W17,Wilton!W17,Gleason!W17)</f>
        <v>28483.6981062659</v>
      </c>
      <c r="Y21" s="165" t="n">
        <f aca="false">W21-X21</f>
        <v>0</v>
      </c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</row>
    <row r="22" customFormat="false" ht="14.25" hidden="false" customHeight="true" outlineLevel="0" collapsed="false">
      <c r="A22" s="164" t="s">
        <v>109</v>
      </c>
      <c r="B22" s="161" t="n">
        <f aca="false">SUM(Wheatland!B18,Wilton!B18,Gleason!B18)</f>
        <v>746.46</v>
      </c>
      <c r="C22" s="161" t="n">
        <f aca="false">SUM(Wheatland!C18,Wilton!C18,Gleason!C18)</f>
        <v>1050.307</v>
      </c>
      <c r="D22" s="161" t="n">
        <f aca="false">SUM(Wheatland!D18,Wilton!D18,Gleason!D18)</f>
        <v>1248.093</v>
      </c>
      <c r="E22" s="161" t="n">
        <f aca="false">SUM(Wheatland!E18,Wilton!E18,Gleason!E18)</f>
        <v>1339.135</v>
      </c>
      <c r="F22" s="161" t="n">
        <f aca="false">SUM(Wheatland!F18,Wilton!F18,Gleason!F18)</f>
        <v>1401.501</v>
      </c>
      <c r="G22" s="161" t="n">
        <f aca="false">SUM(Wheatland!G18,Wilton!G18,Gleason!G18)</f>
        <v>1623.537</v>
      </c>
      <c r="H22" s="161" t="n">
        <f aca="false">SUM(Wheatland!H18,Wilton!H18,Gleason!H18)</f>
        <v>1795.939</v>
      </c>
      <c r="I22" s="161" t="n">
        <f aca="false">SUM(Wheatland!I18,Wilton!I18,Gleason!I18)</f>
        <v>1908.112</v>
      </c>
      <c r="J22" s="161" t="n">
        <f aca="false">SUM(Wheatland!J18,Wilton!J18,Gleason!J18)</f>
        <v>1920.18</v>
      </c>
      <c r="K22" s="161" t="n">
        <f aca="false">SUM(Wheatland!K18,Wilton!K18,Gleason!K18)</f>
        <v>1854.138</v>
      </c>
      <c r="L22" s="161" t="n">
        <f aca="false">SUM(Wheatland!L18,Wilton!L18,Gleason!L18)</f>
        <v>2009.213</v>
      </c>
      <c r="M22" s="161" t="n">
        <f aca="false">SUM(Wheatland!M18,Wilton!M18,Gleason!M18)</f>
        <v>2009.18</v>
      </c>
      <c r="N22" s="161" t="n">
        <f aca="false">SUM(Wheatland!N18,Wilton!N18,Gleason!N18)</f>
        <v>2358.1</v>
      </c>
      <c r="O22" s="161" t="n">
        <f aca="false">SUM(Wheatland!O18,Wilton!O18,Gleason!O18)</f>
        <v>2358.1</v>
      </c>
      <c r="P22" s="161" t="n">
        <f aca="false">SUM(Wheatland!P18,Wilton!P18,Gleason!P18)</f>
        <v>2794.25</v>
      </c>
      <c r="Q22" s="161" t="n">
        <f aca="false">SUM(Wheatland!Q18,Wilton!Q18,Gleason!Q18)</f>
        <v>2229.731045</v>
      </c>
      <c r="R22" s="161" t="n">
        <f aca="false">SUM(Wheatland!R18,Wilton!R18,Gleason!R18)</f>
        <v>2244.6096659</v>
      </c>
      <c r="S22" s="161" t="n">
        <f aca="false">SUM(Wheatland!S18,Wilton!S18,Gleason!S18)</f>
        <v>2259.785859218</v>
      </c>
      <c r="T22" s="161" t="n">
        <f aca="false">SUM(Wheatland!T18,Wilton!T18,Gleason!T18)</f>
        <v>2275.26557640236</v>
      </c>
      <c r="U22" s="161" t="n">
        <f aca="false">SUM(Wheatland!U18,Wilton!U18,Gleason!U18)</f>
        <v>2291.05488793041</v>
      </c>
      <c r="V22" s="92"/>
      <c r="W22" s="162" t="n">
        <f aca="false">SUM(B22:U22)</f>
        <v>37716.6920344508</v>
      </c>
      <c r="X22" s="165" t="n">
        <f aca="false">SUM(Wheatland!W18,Wilton!W18,Gleason!W18)</f>
        <v>37716.6920344508</v>
      </c>
      <c r="Y22" s="165" t="n">
        <f aca="false">W22-X22</f>
        <v>0</v>
      </c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</row>
    <row r="23" customFormat="false" ht="12.75" hidden="false" customHeight="true" outlineLevel="0" collapsed="false">
      <c r="A23" s="164" t="s">
        <v>110</v>
      </c>
      <c r="B23" s="166" t="n">
        <f aca="false">SUM(Wheatland!B19,Wilton!B19,Gleason!B19)</f>
        <v>872.795982513306</v>
      </c>
      <c r="C23" s="166" t="n">
        <f aca="false">SUM(Wheatland!C19,Wilton!C19,Gleason!C19)</f>
        <v>752.882032712871</v>
      </c>
      <c r="D23" s="166" t="n">
        <f aca="false">SUM(Wheatland!D19,Wilton!D19,Gleason!D19)</f>
        <v>735.079835275125</v>
      </c>
      <c r="E23" s="166" t="n">
        <f aca="false">SUM(Wheatland!E19,Wilton!E19,Gleason!E19)</f>
        <v>717.27763783738</v>
      </c>
      <c r="F23" s="166" t="n">
        <f aca="false">SUM(Wheatland!F19,Wilton!F19,Gleason!F19)</f>
        <v>699.475440399634</v>
      </c>
      <c r="G23" s="166" t="n">
        <f aca="false">SUM(Wheatland!G19,Wilton!G19,Gleason!G19)</f>
        <v>681.673242961889</v>
      </c>
      <c r="H23" s="166" t="n">
        <f aca="false">SUM(Wheatland!H19,Wilton!H19,Gleason!H19)</f>
        <v>663.871045524144</v>
      </c>
      <c r="I23" s="166" t="n">
        <f aca="false">SUM(Wheatland!I19,Wilton!I19,Gleason!I19)</f>
        <v>646.068848086398</v>
      </c>
      <c r="J23" s="166" t="n">
        <f aca="false">SUM(Wheatland!J19,Wilton!J19,Gleason!J19)</f>
        <v>628.266650648652</v>
      </c>
      <c r="K23" s="166" t="n">
        <f aca="false">SUM(Wheatland!K19,Wilton!K19,Gleason!K19)</f>
        <v>610.464453210907</v>
      </c>
      <c r="L23" s="166" t="n">
        <f aca="false">SUM(Wheatland!L19,Wilton!L19,Gleason!L19)</f>
        <v>592.662255773162</v>
      </c>
      <c r="M23" s="166" t="n">
        <f aca="false">SUM(Wheatland!M19,Wilton!M19,Gleason!M19)</f>
        <v>574.860058335416</v>
      </c>
      <c r="N23" s="166" t="n">
        <f aca="false">SUM(Wheatland!N19,Wilton!N19,Gleason!N19)</f>
        <v>557.057860897671</v>
      </c>
      <c r="O23" s="166" t="n">
        <f aca="false">SUM(Wheatland!O19,Wilton!O19,Gleason!O19)</f>
        <v>539.255663459925</v>
      </c>
      <c r="P23" s="166" t="n">
        <f aca="false">SUM(Wheatland!P19,Wilton!P19,Gleason!P19)</f>
        <v>521.45346602218</v>
      </c>
      <c r="Q23" s="166" t="n">
        <f aca="false">SUM(Wheatland!Q19,Wilton!Q19,Gleason!Q19)</f>
        <v>503.651268584434</v>
      </c>
      <c r="R23" s="166" t="n">
        <f aca="false">SUM(Wheatland!R19,Wilton!R19,Gleason!R19)</f>
        <v>485.849071146689</v>
      </c>
      <c r="S23" s="166" t="n">
        <f aca="false">SUM(Wheatland!S19,Wilton!S19,Gleason!S19)</f>
        <v>468.046873708943</v>
      </c>
      <c r="T23" s="166" t="n">
        <f aca="false">SUM(Wheatland!T19,Wilton!T19,Gleason!T19)</f>
        <v>450.244676271198</v>
      </c>
      <c r="U23" s="166" t="n">
        <f aca="false">SUM(Wheatland!U19,Wilton!U19,Gleason!U19)</f>
        <v>432.442478833452</v>
      </c>
      <c r="V23" s="159"/>
      <c r="W23" s="162" t="n">
        <f aca="false">SUM(B23:U23)</f>
        <v>12133.3788422034</v>
      </c>
      <c r="X23" s="165" t="n">
        <f aca="false">SUM(Wheatland!W19,Wilton!W19,Gleason!W19)</f>
        <v>12133.3788422034</v>
      </c>
      <c r="Y23" s="165" t="n">
        <f aca="false">W23-X23</f>
        <v>0</v>
      </c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</row>
    <row r="24" customFormat="false" ht="12.75" hidden="false" customHeight="true" outlineLevel="0" collapsed="false">
      <c r="A24" s="164" t="s">
        <v>111</v>
      </c>
      <c r="B24" s="161" t="n">
        <f aca="false">SUM(B18:B23)</f>
        <v>15162.1122741892</v>
      </c>
      <c r="C24" s="161" t="n">
        <f aca="false">SUM(C18:C23)</f>
        <v>15752.331013139</v>
      </c>
      <c r="D24" s="161" t="n">
        <f aca="false">SUM(D18:D23)</f>
        <v>16350.7890751141</v>
      </c>
      <c r="E24" s="161" t="n">
        <f aca="false">SUM(E18:E23)</f>
        <v>16855.0573648715</v>
      </c>
      <c r="F24" s="161" t="n">
        <f aca="false">SUM(F18:F23)</f>
        <v>17343.5805092448</v>
      </c>
      <c r="G24" s="161" t="n">
        <f aca="false">SUM(G18:G23)</f>
        <v>18005.0924338724</v>
      </c>
      <c r="H24" s="161" t="n">
        <f aca="false">SUM(H18:H23)</f>
        <v>18630.6887021619</v>
      </c>
      <c r="I24" s="161" t="n">
        <f aca="false">SUM(I18:I23)</f>
        <v>19210.1858644233</v>
      </c>
      <c r="J24" s="161" t="n">
        <f aca="false">SUM(J18:J23)</f>
        <v>19704.1318174757</v>
      </c>
      <c r="K24" s="161" t="n">
        <f aca="false">SUM(K18:K23)</f>
        <v>20134.9581750428</v>
      </c>
      <c r="L24" s="161" t="n">
        <f aca="false">SUM(L18:L23)</f>
        <v>20802.34164926</v>
      </c>
      <c r="M24" s="161" t="n">
        <f aca="false">SUM(M18:M23)</f>
        <v>21330.5204436268</v>
      </c>
      <c r="N24" s="161" t="n">
        <f aca="false">SUM(N18:N23)</f>
        <v>22224.0326577478</v>
      </c>
      <c r="O24" s="161" t="n">
        <f aca="false">SUM(O18:O23)</f>
        <v>22785.4967042156</v>
      </c>
      <c r="P24" s="161" t="n">
        <f aca="false">SUM(P18:P23)</f>
        <v>23800.4887380005</v>
      </c>
      <c r="Q24" s="161" t="n">
        <f aca="false">SUM(Q18:Q23)</f>
        <v>23832.7111437221</v>
      </c>
      <c r="R24" s="161" t="n">
        <f aca="false">SUM(R18:R23)</f>
        <v>24462.7674320885</v>
      </c>
      <c r="S24" s="161" t="n">
        <f aca="false">SUM(S18:S23)</f>
        <v>25112.11068882</v>
      </c>
      <c r="T24" s="161" t="n">
        <f aca="false">SUM(T18:T23)</f>
        <v>25781.3165472434</v>
      </c>
      <c r="U24" s="161" t="n">
        <f aca="false">SUM(U18:U23)</f>
        <v>26470.9778501708</v>
      </c>
      <c r="V24" s="92"/>
      <c r="W24" s="162" t="n">
        <f aca="false">SUM(B24:U24)</f>
        <v>413751.69108443</v>
      </c>
      <c r="X24" s="165" t="n">
        <f aca="false">SUM(Wheatland!W20,Wilton!W20,Gleason!W20)</f>
        <v>413751.69108443</v>
      </c>
      <c r="Y24" s="165" t="n">
        <f aca="false">W24-X24</f>
        <v>0</v>
      </c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</row>
    <row r="25" customFormat="false" ht="12.75" hidden="false" customHeight="true" outlineLevel="0" collapsed="false">
      <c r="A25" s="168"/>
      <c r="B25" s="169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92"/>
      <c r="W25" s="162"/>
      <c r="X25" s="163"/>
      <c r="Y25" s="163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</row>
    <row r="26" customFormat="false" ht="12.75" hidden="false" customHeight="true" outlineLevel="0" collapsed="false">
      <c r="A26" s="170"/>
      <c r="B26" s="171"/>
      <c r="C26" s="171"/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92"/>
      <c r="W26" s="162"/>
      <c r="X26" s="163"/>
      <c r="Y26" s="163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</row>
    <row r="27" customFormat="false" ht="12.75" hidden="false" customHeight="true" outlineLevel="0" collapsed="false">
      <c r="A27" s="158" t="s">
        <v>112</v>
      </c>
      <c r="B27" s="172" t="n">
        <f aca="false">B15-B24</f>
        <v>104396.791444587</v>
      </c>
      <c r="C27" s="172" t="n">
        <f aca="false">C15-C24</f>
        <v>109598.946012898</v>
      </c>
      <c r="D27" s="172" t="n">
        <f aca="false">D15-D24</f>
        <v>115076.913611894</v>
      </c>
      <c r="E27" s="172" t="n">
        <f aca="false">E15-E24</f>
        <v>120948.440640661</v>
      </c>
      <c r="F27" s="172" t="n">
        <f aca="false">F15-F24</f>
        <v>127148.836495571</v>
      </c>
      <c r="G27" s="172" t="n">
        <f aca="false">G15-G24</f>
        <v>129162.354751498</v>
      </c>
      <c r="H27" s="172" t="n">
        <f aca="false">H15-H24</f>
        <v>131264.719503786</v>
      </c>
      <c r="I27" s="172" t="n">
        <f aca="false">I15-I24</f>
        <v>133467.320026943</v>
      </c>
      <c r="J27" s="172" t="n">
        <f aca="false">J15-J24</f>
        <v>135811.203339673</v>
      </c>
      <c r="K27" s="172" t="n">
        <f aca="false">K15-K24</f>
        <v>138274.782953933</v>
      </c>
      <c r="L27" s="172" t="n">
        <f aca="false">L15-L24</f>
        <v>140465.248531799</v>
      </c>
      <c r="M27" s="172" t="n">
        <f aca="false">M15-M24</f>
        <v>142851.19011209</v>
      </c>
      <c r="N27" s="172" t="n">
        <f aca="false">N15-N24</f>
        <v>144922.856756224</v>
      </c>
      <c r="O27" s="172" t="n">
        <f aca="false">O15-O24</f>
        <v>147387.464390981</v>
      </c>
      <c r="P27" s="172" t="n">
        <f aca="false">P15-P24</f>
        <v>149450.757931232</v>
      </c>
      <c r="Q27" s="172" t="n">
        <f aca="false">Q15-Q24</f>
        <v>152174.288878014</v>
      </c>
      <c r="R27" s="172" t="n">
        <f aca="false">R15-R24</f>
        <v>154338.586657432</v>
      </c>
      <c r="S27" s="172" t="n">
        <f aca="false">S15-S24</f>
        <v>156530.264641537</v>
      </c>
      <c r="T27" s="172" t="n">
        <f aca="false">T15-T24</f>
        <v>158749.591463051</v>
      </c>
      <c r="U27" s="172" t="n">
        <f aca="false">U15-U24</f>
        <v>160996.835552545</v>
      </c>
      <c r="V27" s="92"/>
      <c r="W27" s="162" t="n">
        <f aca="false">SUM(B27:U27)</f>
        <v>2753017.39369635</v>
      </c>
      <c r="X27" s="165" t="n">
        <f aca="false">SUM(Wheatland!W22,Wilton!W22,Gleason!W22)</f>
        <v>2753017.39369635</v>
      </c>
      <c r="Y27" s="165" t="n">
        <f aca="false">W27-X27</f>
        <v>0</v>
      </c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</row>
    <row r="28" customFormat="false" ht="12.75" hidden="false" customHeight="true" outlineLevel="0" collapsed="false">
      <c r="A28" s="158"/>
      <c r="B28" s="169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92"/>
      <c r="W28" s="162"/>
      <c r="X28" s="163"/>
      <c r="Y28" s="163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</row>
    <row r="29" customFormat="false" ht="12.75" hidden="false" customHeight="true" outlineLevel="0" collapsed="false">
      <c r="A29" s="164" t="s">
        <v>113</v>
      </c>
      <c r="B29" s="161" t="n">
        <f aca="false">Depreciation!C34</f>
        <v>24121.8620095977</v>
      </c>
      <c r="C29" s="161" t="n">
        <f aca="false">Depreciation!D34</f>
        <v>24121.8620095977</v>
      </c>
      <c r="D29" s="161" t="n">
        <f aca="false">Depreciation!E34</f>
        <v>24121.8620095977</v>
      </c>
      <c r="E29" s="161" t="n">
        <f aca="false">Depreciation!F34</f>
        <v>24121.8620095977</v>
      </c>
      <c r="F29" s="161" t="n">
        <f aca="false">Depreciation!G34</f>
        <v>24121.8620095977</v>
      </c>
      <c r="G29" s="161" t="n">
        <f aca="false">Depreciation!H34</f>
        <v>24121.8620095977</v>
      </c>
      <c r="H29" s="161" t="n">
        <f aca="false">Depreciation!I34</f>
        <v>24121.8620095977</v>
      </c>
      <c r="I29" s="161" t="n">
        <f aca="false">Depreciation!J34</f>
        <v>24121.8620095977</v>
      </c>
      <c r="J29" s="161" t="n">
        <f aca="false">Depreciation!K34</f>
        <v>24121.8620095977</v>
      </c>
      <c r="K29" s="161" t="n">
        <f aca="false">Depreciation!L34</f>
        <v>24121.8620095977</v>
      </c>
      <c r="L29" s="161" t="n">
        <f aca="false">Depreciation!M34</f>
        <v>24121.8620095977</v>
      </c>
      <c r="M29" s="161" t="n">
        <f aca="false">Depreciation!N34</f>
        <v>24121.8620095977</v>
      </c>
      <c r="N29" s="161" t="n">
        <f aca="false">Depreciation!O34</f>
        <v>24121.8620095977</v>
      </c>
      <c r="O29" s="161" t="n">
        <f aca="false">Depreciation!P34</f>
        <v>24121.8620095977</v>
      </c>
      <c r="P29" s="161" t="n">
        <f aca="false">Depreciation!Q34</f>
        <v>24121.8620095977</v>
      </c>
      <c r="Q29" s="161" t="n">
        <f aca="false">Depreciation!R34</f>
        <v>24121.8620095977</v>
      </c>
      <c r="R29" s="161" t="n">
        <f aca="false">Depreciation!S34</f>
        <v>24121.8620095977</v>
      </c>
      <c r="S29" s="161" t="n">
        <f aca="false">Depreciation!T34</f>
        <v>24121.8620095977</v>
      </c>
      <c r="T29" s="161" t="n">
        <f aca="false">Depreciation!U34</f>
        <v>24121.8620095977</v>
      </c>
      <c r="U29" s="161" t="n">
        <f aca="false">Depreciation!V34</f>
        <v>24121.8620095977</v>
      </c>
      <c r="V29" s="92"/>
      <c r="W29" s="162" t="n">
        <f aca="false">SUM(B29:U29)</f>
        <v>482437.240191954</v>
      </c>
      <c r="X29" s="165" t="n">
        <f aca="false">SUM(Wheatland!W24,Wilton!W24,Gleason!W24)</f>
        <v>482437.240191954</v>
      </c>
      <c r="Y29" s="165" t="n">
        <f aca="false">W29-X29</f>
        <v>0</v>
      </c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</row>
    <row r="30" customFormat="false" ht="12.75" hidden="false" customHeight="true" outlineLevel="0" collapsed="false">
      <c r="A30" s="164"/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92"/>
      <c r="W30" s="162"/>
      <c r="X30" s="163"/>
      <c r="Y30" s="163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</row>
    <row r="31" customFormat="false" ht="12.75" hidden="false" customHeight="true" outlineLevel="0" collapsed="false">
      <c r="A31" s="158" t="s">
        <v>114</v>
      </c>
      <c r="B31" s="172" t="n">
        <f aca="false">B27-B29</f>
        <v>80274.9294349892</v>
      </c>
      <c r="C31" s="172" t="n">
        <f aca="false">C27-C29</f>
        <v>85477.0840033001</v>
      </c>
      <c r="D31" s="172" t="n">
        <f aca="false">D27-D29</f>
        <v>90955.051602296</v>
      </c>
      <c r="E31" s="172" t="n">
        <f aca="false">E27-E29</f>
        <v>96826.5786310635</v>
      </c>
      <c r="F31" s="172" t="n">
        <f aca="false">F27-F29</f>
        <v>103026.974485973</v>
      </c>
      <c r="G31" s="172" t="n">
        <f aca="false">G27-G29</f>
        <v>105040.492741901</v>
      </c>
      <c r="H31" s="172" t="n">
        <f aca="false">H27-H29</f>
        <v>107142.857494188</v>
      </c>
      <c r="I31" s="172" t="n">
        <f aca="false">I27-I29</f>
        <v>109345.458017345</v>
      </c>
      <c r="J31" s="172" t="n">
        <f aca="false">J27-J29</f>
        <v>111689.341330075</v>
      </c>
      <c r="K31" s="172" t="n">
        <f aca="false">K27-K29</f>
        <v>114152.920944335</v>
      </c>
      <c r="L31" s="172" t="n">
        <f aca="false">L27-L29</f>
        <v>116343.386522201</v>
      </c>
      <c r="M31" s="172" t="n">
        <f aca="false">M27-M29</f>
        <v>118729.328102492</v>
      </c>
      <c r="N31" s="172" t="n">
        <f aca="false">N27-N29</f>
        <v>120800.994746626</v>
      </c>
      <c r="O31" s="172" t="n">
        <f aca="false">O27-O29</f>
        <v>123265.602381383</v>
      </c>
      <c r="P31" s="172" t="n">
        <f aca="false">P27-P29</f>
        <v>125328.895921635</v>
      </c>
      <c r="Q31" s="172" t="n">
        <f aca="false">Q27-Q29</f>
        <v>128052.426868417</v>
      </c>
      <c r="R31" s="172" t="n">
        <f aca="false">R27-R29</f>
        <v>130216.724647834</v>
      </c>
      <c r="S31" s="172" t="n">
        <f aca="false">S27-S29</f>
        <v>132408.402631939</v>
      </c>
      <c r="T31" s="172" t="n">
        <f aca="false">T27-T29</f>
        <v>134627.729453454</v>
      </c>
      <c r="U31" s="172" t="n">
        <f aca="false">U27-U29</f>
        <v>136874.973542947</v>
      </c>
      <c r="V31" s="92"/>
      <c r="W31" s="162" t="n">
        <f aca="false">SUM(B31:U31)</f>
        <v>2270580.15350439</v>
      </c>
      <c r="X31" s="165" t="n">
        <f aca="false">SUM(Wheatland!W26,Wilton!W26,Gleason!W26)</f>
        <v>2270580.15350439</v>
      </c>
      <c r="Y31" s="165" t="n">
        <f aca="false">W31-X31</f>
        <v>0</v>
      </c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</row>
    <row r="32" customFormat="false" ht="12.75" hidden="false" customHeight="true" outlineLevel="0" collapsed="false">
      <c r="A32" s="158"/>
      <c r="B32" s="172"/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92"/>
      <c r="W32" s="162"/>
      <c r="X32" s="163"/>
      <c r="Y32" s="163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</row>
    <row r="33" customFormat="false" ht="12.75" hidden="false" customHeight="true" outlineLevel="0" collapsed="false">
      <c r="A33" s="164" t="s">
        <v>115</v>
      </c>
      <c r="B33" s="161" t="n">
        <f aca="false">Debt!B83</f>
        <v>39239.2739971855</v>
      </c>
      <c r="C33" s="161" t="n">
        <f aca="false">Debt!C83</f>
        <v>38547.9224191759</v>
      </c>
      <c r="D33" s="161" t="n">
        <f aca="false">Debt!D83</f>
        <v>37639.4901744613</v>
      </c>
      <c r="E33" s="161" t="n">
        <f aca="false">Debt!E83</f>
        <v>36699.9738262012</v>
      </c>
      <c r="F33" s="161" t="n">
        <f aca="false">Debt!F83</f>
        <v>35395.209640219</v>
      </c>
      <c r="G33" s="161" t="n">
        <f aca="false">Debt!G83</f>
        <v>34047.7326311677</v>
      </c>
      <c r="H33" s="161" t="n">
        <f aca="false">Debt!H83</f>
        <v>32665.4595012786</v>
      </c>
      <c r="I33" s="161" t="n">
        <f aca="false">Debt!I83</f>
        <v>31318.5570408214</v>
      </c>
      <c r="J33" s="161" t="n">
        <f aca="false">Debt!J83</f>
        <v>29732.0717140753</v>
      </c>
      <c r="K33" s="161" t="n">
        <f aca="false">Debt!K83</f>
        <v>28144.9281115784</v>
      </c>
      <c r="L33" s="161" t="n">
        <f aca="false">Debt!L83</f>
        <v>26448.3539355072</v>
      </c>
      <c r="M33" s="161" t="n">
        <f aca="false">Debt!M83</f>
        <v>24680.7374642464</v>
      </c>
      <c r="N33" s="161" t="n">
        <f aca="false">Debt!N83</f>
        <v>22637.0037039923</v>
      </c>
      <c r="O33" s="161" t="n">
        <f aca="false">Debt!O83</f>
        <v>20504.6016669087</v>
      </c>
      <c r="P33" s="161" t="n">
        <f aca="false">Debt!P83</f>
        <v>18190.5733889577</v>
      </c>
      <c r="Q33" s="161" t="n">
        <f aca="false">Debt!Q83</f>
        <v>15716.7948007819</v>
      </c>
      <c r="R33" s="161" t="n">
        <f aca="false">Debt!R83</f>
        <v>12912.6071092216</v>
      </c>
      <c r="S33" s="161" t="n">
        <f aca="false">Debt!S83</f>
        <v>9892.19559645833</v>
      </c>
      <c r="T33" s="161" t="n">
        <f aca="false">Debt!T83</f>
        <v>6577.12237371226</v>
      </c>
      <c r="U33" s="161" t="n">
        <f aca="false">Debt!U83</f>
        <v>2940.45528108858</v>
      </c>
      <c r="V33" s="92"/>
      <c r="W33" s="162" t="n">
        <f aca="false">SUM(B33:U33)</f>
        <v>503931.064377039</v>
      </c>
      <c r="X33" s="165" t="n">
        <f aca="false">SUM(Wheatland!W28,Wilton!W28,Gleason!W28)</f>
        <v>503931.064377039</v>
      </c>
      <c r="Y33" s="165" t="n">
        <f aca="false">W33-X33</f>
        <v>0</v>
      </c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</row>
    <row r="34" customFormat="false" ht="12.75" hidden="false" customHeight="true" outlineLevel="0" collapsed="false">
      <c r="A34" s="4"/>
      <c r="B34" s="161"/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92"/>
      <c r="W34" s="162"/>
      <c r="X34" s="163"/>
      <c r="Y34" s="163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</row>
    <row r="35" customFormat="false" ht="12.75" hidden="false" customHeight="true" outlineLevel="0" collapsed="false">
      <c r="A35" s="158" t="s">
        <v>116</v>
      </c>
      <c r="B35" s="172" t="n">
        <f aca="false">B31-B33</f>
        <v>41035.6554378037</v>
      </c>
      <c r="C35" s="172" t="n">
        <f aca="false">C31-C33</f>
        <v>46929.1615841242</v>
      </c>
      <c r="D35" s="172" t="n">
        <f aca="false">D31-D33</f>
        <v>53315.5614278346</v>
      </c>
      <c r="E35" s="172" t="n">
        <f aca="false">E31-E33</f>
        <v>60126.6048048622</v>
      </c>
      <c r="F35" s="172" t="n">
        <f aca="false">F31-F33</f>
        <v>67631.7648457542</v>
      </c>
      <c r="G35" s="172" t="n">
        <f aca="false">G31-G33</f>
        <v>70992.7601107328</v>
      </c>
      <c r="H35" s="172" t="n">
        <f aca="false">H31-H33</f>
        <v>74477.3979929098</v>
      </c>
      <c r="I35" s="172" t="n">
        <f aca="false">I31-I33</f>
        <v>78026.9009765236</v>
      </c>
      <c r="J35" s="172" t="n">
        <f aca="false">J31-J33</f>
        <v>81957.2696160002</v>
      </c>
      <c r="K35" s="172" t="n">
        <f aca="false">K31-K33</f>
        <v>86007.9928327566</v>
      </c>
      <c r="L35" s="172" t="n">
        <f aca="false">L31-L33</f>
        <v>89895.0325866942</v>
      </c>
      <c r="M35" s="172" t="n">
        <f aca="false">M31-M33</f>
        <v>94048.5906382459</v>
      </c>
      <c r="N35" s="172" t="n">
        <f aca="false">N31-N33</f>
        <v>98163.9910426337</v>
      </c>
      <c r="O35" s="172" t="n">
        <f aca="false">O31-O33</f>
        <v>102761.000714474</v>
      </c>
      <c r="P35" s="172" t="n">
        <f aca="false">P31-P33</f>
        <v>107138.322532677</v>
      </c>
      <c r="Q35" s="172" t="n">
        <f aca="false">Q31-Q33</f>
        <v>112335.632067635</v>
      </c>
      <c r="R35" s="172" t="n">
        <f aca="false">R31-R33</f>
        <v>117304.117538612</v>
      </c>
      <c r="S35" s="172" t="n">
        <f aca="false">S31-S33</f>
        <v>122516.207035481</v>
      </c>
      <c r="T35" s="172" t="n">
        <f aca="false">T31-T33</f>
        <v>128050.607079741</v>
      </c>
      <c r="U35" s="172" t="n">
        <f aca="false">U31-U33</f>
        <v>133934.518261859</v>
      </c>
      <c r="V35" s="92"/>
      <c r="W35" s="162" t="n">
        <f aca="false">SUM(B35:U35)</f>
        <v>1766649.08912736</v>
      </c>
      <c r="X35" s="165" t="n">
        <f aca="false">SUM(Wheatland!W30,Wilton!W30,Gleason!W30)</f>
        <v>1766649.08912736</v>
      </c>
      <c r="Y35" s="165" t="n">
        <f aca="false">W35-X35</f>
        <v>0</v>
      </c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</row>
    <row r="36" customFormat="false" ht="12.75" hidden="false" customHeight="true" outlineLevel="0" collapsed="false">
      <c r="A36" s="158"/>
      <c r="B36" s="172"/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92"/>
      <c r="W36" s="162"/>
      <c r="X36" s="163"/>
      <c r="Y36" s="163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</row>
    <row r="37" customFormat="false" ht="12.75" hidden="false" customHeight="true" outlineLevel="0" collapsed="false">
      <c r="A37" s="164" t="s">
        <v>117</v>
      </c>
      <c r="B37" s="161" t="n">
        <f aca="false">Wheatland!B32+Wilton!B32+Gleason!B32</f>
        <v>-2428.95579685898</v>
      </c>
      <c r="C37" s="161" t="n">
        <f aca="false">Wheatland!C32+Wilton!C32+Gleason!C32</f>
        <v>-2782.59200687784</v>
      </c>
      <c r="D37" s="161" t="n">
        <f aca="false">Wheatland!D32+Wilton!D32+Gleason!D32</f>
        <v>-3164.06236785924</v>
      </c>
      <c r="E37" s="161" t="n">
        <f aca="false">Wheatland!E32+Wilton!E32+Gleason!E32</f>
        <v>-3570.38783095181</v>
      </c>
      <c r="F37" s="161" t="n">
        <f aca="false">Wheatland!F32+Wilton!F32+Gleason!F32</f>
        <v>-4017.6068305153</v>
      </c>
      <c r="G37" s="161" t="n">
        <f aca="false">Wheatland!G32+Wilton!G32+Gleason!G32</f>
        <v>-4220.95291731665</v>
      </c>
      <c r="H37" s="161" t="n">
        <f aca="false">Wheatland!H32+Wilton!H32+Gleason!H32</f>
        <v>-4432.62517882055</v>
      </c>
      <c r="I37" s="161" t="n">
        <f aca="false">Wheatland!I32+Wilton!I32+Gleason!I32</f>
        <v>-4647.26764195329</v>
      </c>
      <c r="J37" s="161" t="n">
        <f aca="false">Wheatland!J32+Wilton!J32+Gleason!J32</f>
        <v>-4883.26240863064</v>
      </c>
      <c r="K37" s="161" t="n">
        <f aca="false">Wheatland!K32+Wilton!K32+Gleason!K32</f>
        <v>-5125.28870718046</v>
      </c>
      <c r="L37" s="161" t="n">
        <f aca="false">Wheatland!L32+Wilton!L32+Gleason!L32</f>
        <v>-5365.69027508441</v>
      </c>
      <c r="M37" s="161" t="n">
        <f aca="false">Wheatland!M32+Wilton!M32+Gleason!M32</f>
        <v>-5619.88861890362</v>
      </c>
      <c r="N37" s="161" t="n">
        <f aca="false">Wheatland!N32+Wilton!N32+Gleason!N32</f>
        <v>-5871.98394940375</v>
      </c>
      <c r="O37" s="161" t="n">
        <f aca="false">Wheatland!O32+Wilton!O32+Gleason!O32</f>
        <v>-6153.14683319572</v>
      </c>
      <c r="P37" s="161" t="n">
        <f aca="false">Wheatland!P32+Wilton!P32+Gleason!P32</f>
        <v>-6421.31287412764</v>
      </c>
      <c r="Q37" s="161" t="n">
        <f aca="false">Wheatland!Q32+Wilton!Q32+Gleason!Q32</f>
        <v>-6733.99077448715</v>
      </c>
      <c r="R37" s="161" t="n">
        <f aca="false">Wheatland!R32+Wilton!R32+Gleason!R32</f>
        <v>-7032.98823030082</v>
      </c>
      <c r="S37" s="161" t="n">
        <f aca="false">Wheatland!S32+Wilton!S32+Gleason!S32</f>
        <v>-7346.63980284913</v>
      </c>
      <c r="T37" s="161" t="n">
        <f aca="false">Wheatland!T32+Wilton!T32+Gleason!T32</f>
        <v>-7679.67620163357</v>
      </c>
      <c r="U37" s="161" t="n">
        <f aca="false">Wheatland!U32+Wilton!U32+Gleason!U32</f>
        <v>-8033.73259458118</v>
      </c>
      <c r="V37" s="92"/>
      <c r="W37" s="162" t="n">
        <f aca="false">SUM(B37:U37)</f>
        <v>-105532.051841532</v>
      </c>
      <c r="X37" s="165" t="n">
        <f aca="false">SUM(Wheatland!W32,Wilton!W32,Gleason!W32)</f>
        <v>-105532.051841532</v>
      </c>
      <c r="Y37" s="165" t="n">
        <f aca="false">W37-X37</f>
        <v>0</v>
      </c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</row>
    <row r="38" customFormat="false" ht="12.75" hidden="false" customHeight="true" outlineLevel="0" collapsed="false">
      <c r="A38" s="164" t="s">
        <v>118</v>
      </c>
      <c r="B38" s="161" t="n">
        <f aca="false">Wheatland!B33+Wilton!B33+Gleason!B33</f>
        <v>-13512.3448743307</v>
      </c>
      <c r="C38" s="161" t="n">
        <f aca="false">Wheatland!C33+Wilton!C33+Gleason!C33</f>
        <v>-15451.2993520362</v>
      </c>
      <c r="D38" s="161" t="n">
        <f aca="false">Wheatland!D33+Wilton!D33+Gleason!D33</f>
        <v>-17553.0246709914</v>
      </c>
      <c r="E38" s="161" t="n">
        <f aca="false">Wheatland!E33+Wilton!E33+Gleason!E33</f>
        <v>-19794.6759408686</v>
      </c>
      <c r="F38" s="161" t="n">
        <f aca="false">Wheatland!F33+Wilton!F33+Gleason!F33</f>
        <v>-22264.9553053336</v>
      </c>
      <c r="G38" s="161" t="n">
        <f aca="false">Wheatland!G33+Wilton!G33+Gleason!G33</f>
        <v>-23370.1325176956</v>
      </c>
      <c r="H38" s="161" t="n">
        <f aca="false">Wheatland!H33+Wilton!H33+Gleason!H33</f>
        <v>-24515.6704849313</v>
      </c>
      <c r="I38" s="161" t="n">
        <f aca="false">Wheatland!I33+Wilton!I33+Gleason!I33</f>
        <v>-25682.8716670996</v>
      </c>
      <c r="J38" s="161" t="n">
        <f aca="false">Wheatland!J33+Wilton!J33+Gleason!J33</f>
        <v>-26975.9025225793</v>
      </c>
      <c r="K38" s="161" t="n">
        <f aca="false">Wheatland!K33+Wilton!K33+Gleason!K33</f>
        <v>-28308.9464439516</v>
      </c>
      <c r="L38" s="161" t="n">
        <f aca="false">Wheatland!L33+Wilton!L33+Gleason!L33</f>
        <v>-29585.2698090634</v>
      </c>
      <c r="M38" s="161" t="n">
        <f aca="false">Wheatland!M33+Wilton!M33+Gleason!M33</f>
        <v>-30950.0457067698</v>
      </c>
      <c r="N38" s="161" t="n">
        <f aca="false">Wheatland!N33+Wilton!N33+Gleason!N33</f>
        <v>-32302.2024826305</v>
      </c>
      <c r="O38" s="161" t="n">
        <f aca="false">Wheatland!O33+Wilton!O33+Gleason!O33</f>
        <v>-33812.7488584475</v>
      </c>
      <c r="P38" s="161" t="n">
        <f aca="false">Wheatland!P33+Wilton!P33+Gleason!P33</f>
        <v>-35250.9533804923</v>
      </c>
      <c r="Q38" s="161" t="n">
        <f aca="false">Wheatland!Q33+Wilton!Q33+Gleason!Q33</f>
        <v>-36960.5744526016</v>
      </c>
      <c r="R38" s="161" t="n">
        <f aca="false">Wheatland!R33+Wilton!R33+Gleason!R33</f>
        <v>-38594.8952579091</v>
      </c>
      <c r="S38" s="161" t="n">
        <f aca="false">Wheatland!S33+Wilton!S33+Gleason!S33</f>
        <v>-40309.3485314212</v>
      </c>
      <c r="T38" s="161" t="n">
        <f aca="false">Wheatland!T33+Wilton!T33+Gleason!T33</f>
        <v>-42129.8258073377</v>
      </c>
      <c r="U38" s="161" t="n">
        <f aca="false">Wheatland!U33+Wilton!U33+Gleason!U33</f>
        <v>-44065.2749835471</v>
      </c>
      <c r="V38" s="92"/>
      <c r="W38" s="162" t="n">
        <f aca="false">SUM(B38:U38)</f>
        <v>-581390.963050038</v>
      </c>
      <c r="X38" s="165" t="n">
        <f aca="false">SUM(Wheatland!W33,Wilton!W33,Gleason!W33)</f>
        <v>-581390.963050038</v>
      </c>
      <c r="Y38" s="165" t="n">
        <f aca="false">W38-X38</f>
        <v>0</v>
      </c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</row>
    <row r="39" customFormat="false" ht="12.75" hidden="false" customHeight="true" outlineLevel="0" collapsed="false">
      <c r="A39" s="4"/>
      <c r="B39" s="161"/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92"/>
      <c r="W39" s="162"/>
      <c r="X39" s="163"/>
      <c r="Y39" s="163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</row>
    <row r="40" customFormat="false" ht="15.75" hidden="false" customHeight="true" outlineLevel="0" collapsed="false">
      <c r="A40" s="173" t="s">
        <v>119</v>
      </c>
      <c r="B40" s="174" t="n">
        <f aca="false">B35+B37+B38</f>
        <v>25094.3547666141</v>
      </c>
      <c r="C40" s="174" t="n">
        <f aca="false">C35+C37+C38</f>
        <v>28695.2702252101</v>
      </c>
      <c r="D40" s="174" t="n">
        <f aca="false">D35+D37+D38</f>
        <v>32598.474388984</v>
      </c>
      <c r="E40" s="174" t="n">
        <f aca="false">E35+E37+E38</f>
        <v>36761.5410330418</v>
      </c>
      <c r="F40" s="174" t="n">
        <f aca="false">F35+F37+F38</f>
        <v>41349.2027099053</v>
      </c>
      <c r="G40" s="174" t="n">
        <f aca="false">G35+G37+G38</f>
        <v>43401.6746757205</v>
      </c>
      <c r="H40" s="174" t="n">
        <f aca="false">H35+H37+H38</f>
        <v>45529.102329158</v>
      </c>
      <c r="I40" s="174" t="n">
        <f aca="false">I35+I37+I38</f>
        <v>47696.7616674707</v>
      </c>
      <c r="J40" s="174" t="n">
        <f aca="false">J35+J37+J38</f>
        <v>50098.1046847902</v>
      </c>
      <c r="K40" s="174" t="n">
        <f aca="false">K35+K37+K38</f>
        <v>52573.7576816245</v>
      </c>
      <c r="L40" s="174" t="n">
        <f aca="false">L35+L37+L38</f>
        <v>54944.0725025464</v>
      </c>
      <c r="M40" s="174" t="n">
        <f aca="false">M35+M37+M38</f>
        <v>57478.6563125725</v>
      </c>
      <c r="N40" s="174" t="n">
        <f aca="false">N35+N37+N38</f>
        <v>59989.8046105995</v>
      </c>
      <c r="O40" s="174" t="n">
        <f aca="false">O35+O37+O38</f>
        <v>62795.105022831</v>
      </c>
      <c r="P40" s="174" t="n">
        <f aca="false">P35+P37+P38</f>
        <v>65466.0562780571</v>
      </c>
      <c r="Q40" s="174" t="n">
        <f aca="false">Q35+Q37+Q38</f>
        <v>68641.0668405459</v>
      </c>
      <c r="R40" s="174" t="n">
        <f aca="false">R35+R37+R38</f>
        <v>71676.2340504026</v>
      </c>
      <c r="S40" s="174" t="n">
        <f aca="false">S35+S37+S38</f>
        <v>74860.2187012108</v>
      </c>
      <c r="T40" s="174" t="n">
        <f aca="false">T35+T37+T38</f>
        <v>78241.1050707701</v>
      </c>
      <c r="U40" s="174" t="n">
        <f aca="false">U35+U37+U38</f>
        <v>81835.5106837304</v>
      </c>
      <c r="V40" s="92"/>
      <c r="W40" s="162" t="n">
        <f aca="false">SUM(B40:U40)</f>
        <v>1079726.07423579</v>
      </c>
      <c r="X40" s="165" t="n">
        <f aca="false">SUM(Wheatland!W35,Wilton!W35,Gleason!W35)</f>
        <v>1079726.07423579</v>
      </c>
      <c r="Y40" s="165" t="n">
        <f aca="false">W40-X40</f>
        <v>0</v>
      </c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&amp;L&amp;12Enron's Generation&amp;RCONFIDENTIAL</oddHeader>
    <oddFooter>&amp;L&amp;D&amp;C&amp;F&amp;RPage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1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56"/>
    <col collapsed="false" customWidth="true" hidden="false" outlineLevel="0" max="21" min="2" style="0" width="10.71"/>
    <col collapsed="false" customWidth="true" hidden="false" outlineLevel="0" max="24" min="22" style="0" width="14.56"/>
  </cols>
  <sheetData>
    <row r="1" customFormat="false" ht="12.75" hidden="false" customHeight="true" outlineLevel="0" collapsed="false">
      <c r="A1" s="175"/>
      <c r="B1" s="2"/>
      <c r="C1" s="43"/>
      <c r="D1" s="176"/>
      <c r="E1" s="176"/>
      <c r="F1" s="47"/>
      <c r="G1" s="4"/>
      <c r="H1" s="4"/>
      <c r="I1" s="154"/>
      <c r="J1" s="154"/>
      <c r="K1" s="154"/>
      <c r="L1" s="47"/>
      <c r="M1" s="4"/>
      <c r="N1" s="4"/>
      <c r="O1" s="154"/>
      <c r="P1" s="154"/>
      <c r="Q1" s="154"/>
      <c r="R1" s="47"/>
      <c r="S1" s="4"/>
      <c r="T1" s="4"/>
      <c r="U1" s="4"/>
      <c r="V1" s="2"/>
      <c r="W1" s="2"/>
      <c r="X1" s="2"/>
    </row>
    <row r="2" customFormat="false" ht="18" hidden="false" customHeight="true" outlineLevel="0" collapsed="false">
      <c r="A2" s="144" t="s">
        <v>120</v>
      </c>
      <c r="B2" s="177"/>
      <c r="C2" s="43"/>
      <c r="D2" s="176"/>
      <c r="E2" s="176"/>
      <c r="F2" s="47"/>
      <c r="G2" s="2"/>
      <c r="H2" s="2"/>
      <c r="I2" s="43"/>
      <c r="J2" s="43"/>
      <c r="K2" s="43"/>
      <c r="L2" s="47"/>
      <c r="M2" s="2"/>
      <c r="N2" s="2"/>
      <c r="O2" s="43"/>
      <c r="P2" s="43"/>
      <c r="Q2" s="43"/>
      <c r="R2" s="47"/>
      <c r="S2" s="2"/>
      <c r="T2" s="2"/>
      <c r="U2" s="2"/>
      <c r="V2" s="2"/>
      <c r="W2" s="2"/>
      <c r="X2" s="2"/>
    </row>
    <row r="3" customFormat="false" ht="12.75" hidden="false" customHeight="true" outlineLevel="0" collapsed="false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78"/>
      <c r="Q3" s="178"/>
      <c r="R3" s="178"/>
      <c r="S3" s="178"/>
      <c r="T3" s="178"/>
      <c r="U3" s="178"/>
      <c r="V3" s="12"/>
      <c r="W3" s="12"/>
      <c r="X3" s="12"/>
    </row>
    <row r="4" customFormat="false" ht="12.75" hidden="false" customHeight="true" outlineLevel="0" collapsed="false">
      <c r="A4" s="179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1"/>
      <c r="W4" s="181"/>
      <c r="X4" s="181"/>
    </row>
    <row r="5" customFormat="false" ht="13.5" hidden="false" customHeight="true" outlineLevel="0" collapsed="false">
      <c r="A5" s="149" t="s">
        <v>100</v>
      </c>
      <c r="B5" s="182" t="n">
        <v>2001</v>
      </c>
      <c r="C5" s="182" t="n">
        <f aca="false">B5+1</f>
        <v>2002</v>
      </c>
      <c r="D5" s="182" t="n">
        <f aca="false">C5+1</f>
        <v>2003</v>
      </c>
      <c r="E5" s="182" t="n">
        <f aca="false">D5+1</f>
        <v>2004</v>
      </c>
      <c r="F5" s="182" t="n">
        <f aca="false">E5+1</f>
        <v>2005</v>
      </c>
      <c r="G5" s="182" t="n">
        <f aca="false">F5+1</f>
        <v>2006</v>
      </c>
      <c r="H5" s="182" t="n">
        <f aca="false">G5+1</f>
        <v>2007</v>
      </c>
      <c r="I5" s="182" t="n">
        <f aca="false">H5+1</f>
        <v>2008</v>
      </c>
      <c r="J5" s="182" t="n">
        <f aca="false">I5+1</f>
        <v>2009</v>
      </c>
      <c r="K5" s="182" t="n">
        <f aca="false">J5+1</f>
        <v>2010</v>
      </c>
      <c r="L5" s="182" t="n">
        <f aca="false">K5+1</f>
        <v>2011</v>
      </c>
      <c r="M5" s="182" t="n">
        <f aca="false">L5+1</f>
        <v>2012</v>
      </c>
      <c r="N5" s="182" t="n">
        <f aca="false">M5+1</f>
        <v>2013</v>
      </c>
      <c r="O5" s="182" t="n">
        <f aca="false">N5+1</f>
        <v>2014</v>
      </c>
      <c r="P5" s="182" t="n">
        <f aca="false">O5+1</f>
        <v>2015</v>
      </c>
      <c r="Q5" s="182" t="n">
        <f aca="false">P5+1</f>
        <v>2016</v>
      </c>
      <c r="R5" s="182" t="n">
        <f aca="false">Q5+1</f>
        <v>2017</v>
      </c>
      <c r="S5" s="182" t="n">
        <f aca="false">R5+1</f>
        <v>2018</v>
      </c>
      <c r="T5" s="182" t="n">
        <f aca="false">S5+1</f>
        <v>2019</v>
      </c>
      <c r="U5" s="182" t="n">
        <f aca="false">T5+1</f>
        <v>2020</v>
      </c>
      <c r="V5" s="2"/>
      <c r="W5" s="2"/>
      <c r="X5" s="2"/>
    </row>
    <row r="6" customFormat="false" ht="12.75" hidden="false" customHeight="true" outlineLevel="0" collapsed="false">
      <c r="A6" s="183"/>
      <c r="B6" s="184" t="n">
        <v>37256</v>
      </c>
      <c r="C6" s="184" t="n">
        <v>37621</v>
      </c>
      <c r="D6" s="184" t="n">
        <v>37986</v>
      </c>
      <c r="E6" s="184" t="n">
        <v>38352</v>
      </c>
      <c r="F6" s="184" t="n">
        <v>38717</v>
      </c>
      <c r="G6" s="184" t="n">
        <v>39082</v>
      </c>
      <c r="H6" s="184" t="n">
        <v>39447</v>
      </c>
      <c r="I6" s="184" t="n">
        <v>39813</v>
      </c>
      <c r="J6" s="184" t="n">
        <v>40178</v>
      </c>
      <c r="K6" s="184" t="n">
        <v>40543</v>
      </c>
      <c r="L6" s="184" t="n">
        <v>40908</v>
      </c>
      <c r="M6" s="184" t="n">
        <v>41274</v>
      </c>
      <c r="N6" s="184" t="n">
        <v>41639</v>
      </c>
      <c r="O6" s="184" t="n">
        <v>42004</v>
      </c>
      <c r="P6" s="184" t="n">
        <v>42369</v>
      </c>
      <c r="Q6" s="184" t="n">
        <v>42735</v>
      </c>
      <c r="R6" s="184" t="n">
        <v>43100</v>
      </c>
      <c r="S6" s="184" t="n">
        <v>43465</v>
      </c>
      <c r="T6" s="184" t="n">
        <v>43830</v>
      </c>
      <c r="U6" s="184" t="n">
        <v>44196</v>
      </c>
      <c r="V6" s="185"/>
      <c r="W6" s="185"/>
      <c r="X6" s="185"/>
    </row>
    <row r="7" customFormat="false" ht="12.75" hidden="false" customHeight="true" outlineLevel="0" collapsed="false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12"/>
      <c r="S7" s="12"/>
      <c r="T7" s="12"/>
      <c r="U7" s="12"/>
      <c r="V7" s="2"/>
      <c r="W7" s="2"/>
      <c r="X7" s="2"/>
    </row>
    <row r="8" customFormat="false" ht="12.75" hidden="false" customHeight="true" outlineLevel="0" collapsed="false">
      <c r="A8" s="1" t="s">
        <v>112</v>
      </c>
      <c r="B8" s="161" t="n">
        <f aca="false">IS!B27</f>
        <v>104396.791444587</v>
      </c>
      <c r="C8" s="161" t="n">
        <f aca="false">IS!C27</f>
        <v>109598.946012898</v>
      </c>
      <c r="D8" s="161" t="n">
        <f aca="false">IS!D27</f>
        <v>115076.913611894</v>
      </c>
      <c r="E8" s="161" t="n">
        <f aca="false">IS!E27</f>
        <v>120948.440640661</v>
      </c>
      <c r="F8" s="161" t="n">
        <f aca="false">IS!F27</f>
        <v>127148.836495571</v>
      </c>
      <c r="G8" s="161" t="n">
        <f aca="false">IS!G27</f>
        <v>129162.354751498</v>
      </c>
      <c r="H8" s="161" t="n">
        <f aca="false">IS!H27</f>
        <v>131264.719503786</v>
      </c>
      <c r="I8" s="161" t="n">
        <f aca="false">IS!I27</f>
        <v>133467.320026943</v>
      </c>
      <c r="J8" s="161" t="n">
        <f aca="false">IS!J27</f>
        <v>135811.203339673</v>
      </c>
      <c r="K8" s="161" t="n">
        <f aca="false">IS!K27</f>
        <v>138274.782953933</v>
      </c>
      <c r="L8" s="161" t="n">
        <f aca="false">IS!L27</f>
        <v>140465.248531799</v>
      </c>
      <c r="M8" s="161" t="n">
        <f aca="false">IS!M27</f>
        <v>142851.19011209</v>
      </c>
      <c r="N8" s="161" t="n">
        <f aca="false">IS!N27</f>
        <v>144922.856756224</v>
      </c>
      <c r="O8" s="161" t="n">
        <f aca="false">IS!O27</f>
        <v>147387.464390981</v>
      </c>
      <c r="P8" s="161" t="n">
        <f aca="false">IS!P27</f>
        <v>149450.757931232</v>
      </c>
      <c r="Q8" s="161" t="n">
        <f aca="false">IS!Q27</f>
        <v>152174.288878014</v>
      </c>
      <c r="R8" s="161" t="n">
        <f aca="false">IS!R27</f>
        <v>154338.586657432</v>
      </c>
      <c r="S8" s="161" t="n">
        <f aca="false">IS!S27</f>
        <v>156530.264641537</v>
      </c>
      <c r="T8" s="161" t="n">
        <f aca="false">IS!T27</f>
        <v>158749.591463051</v>
      </c>
      <c r="U8" s="161" t="n">
        <f aca="false">IS!U27</f>
        <v>160996.835552545</v>
      </c>
      <c r="V8" s="2"/>
      <c r="W8" s="2"/>
      <c r="X8" s="2"/>
    </row>
    <row r="9" customFormat="false" ht="12.75" hidden="false" customHeight="true" outlineLevel="0" collapsed="false">
      <c r="A9" s="2"/>
      <c r="B9" s="4"/>
      <c r="C9" s="186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2"/>
      <c r="W9" s="2"/>
      <c r="X9" s="2"/>
    </row>
    <row r="10" customFormat="false" ht="12.75" hidden="false" customHeight="true" outlineLevel="0" collapsed="false">
      <c r="A10" s="187" t="s">
        <v>12</v>
      </c>
      <c r="B10" s="4"/>
      <c r="C10" s="186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2"/>
      <c r="W10" s="2"/>
      <c r="X10" s="2"/>
    </row>
    <row r="11" customFormat="false" ht="12.75" hidden="false" customHeight="true" outlineLevel="0" collapsed="false">
      <c r="A11" s="2"/>
      <c r="B11" s="188" t="n">
        <f aca="false">'Summary Output'!$C$14</f>
        <v>36892</v>
      </c>
      <c r="C11" s="188" t="n">
        <v>37257</v>
      </c>
      <c r="D11" s="188" t="n">
        <v>37622</v>
      </c>
      <c r="E11" s="188" t="n">
        <v>37987</v>
      </c>
      <c r="F11" s="188" t="n">
        <v>38353</v>
      </c>
      <c r="G11" s="188" t="n">
        <v>38718</v>
      </c>
      <c r="H11" s="188" t="n">
        <v>39083</v>
      </c>
      <c r="I11" s="188" t="n">
        <v>39448</v>
      </c>
      <c r="J11" s="188" t="n">
        <v>39814</v>
      </c>
      <c r="K11" s="188" t="n">
        <v>40179</v>
      </c>
      <c r="L11" s="188" t="n">
        <v>40544</v>
      </c>
      <c r="M11" s="188" t="n">
        <v>40909</v>
      </c>
      <c r="N11" s="188" t="n">
        <v>41275</v>
      </c>
      <c r="O11" s="188" t="n">
        <v>41640</v>
      </c>
      <c r="P11" s="188" t="n">
        <v>42005</v>
      </c>
      <c r="Q11" s="188" t="n">
        <v>42370</v>
      </c>
      <c r="R11" s="188" t="n">
        <v>42736</v>
      </c>
      <c r="S11" s="188" t="n">
        <v>43101</v>
      </c>
      <c r="T11" s="188" t="n">
        <v>43466</v>
      </c>
      <c r="U11" s="188" t="n">
        <v>43831</v>
      </c>
      <c r="V11" s="2"/>
      <c r="W11" s="189" t="s">
        <v>121</v>
      </c>
      <c r="X11" s="189" t="s">
        <v>122</v>
      </c>
    </row>
    <row r="12" customFormat="false" ht="12.75" hidden="false" customHeight="true" outlineLevel="0" collapsed="false">
      <c r="A12" s="190" t="s">
        <v>123</v>
      </c>
      <c r="B12" s="167" t="n">
        <v>0</v>
      </c>
      <c r="C12" s="167" t="n">
        <f aca="false">B28</f>
        <v>0</v>
      </c>
      <c r="D12" s="167" t="n">
        <f aca="false">C28</f>
        <v>0</v>
      </c>
      <c r="E12" s="167" t="n">
        <f aca="false">D28</f>
        <v>0</v>
      </c>
      <c r="F12" s="167" t="n">
        <f aca="false">E28</f>
        <v>0</v>
      </c>
      <c r="G12" s="167" t="n">
        <f aca="false">F28</f>
        <v>0</v>
      </c>
      <c r="H12" s="167" t="n">
        <f aca="false">G28</f>
        <v>0</v>
      </c>
      <c r="I12" s="167" t="n">
        <f aca="false">H28</f>
        <v>0</v>
      </c>
      <c r="J12" s="167" t="n">
        <f aca="false">I28</f>
        <v>0</v>
      </c>
      <c r="K12" s="167" t="n">
        <f aca="false">J28</f>
        <v>0</v>
      </c>
      <c r="L12" s="167" t="n">
        <f aca="false">K28</f>
        <v>0</v>
      </c>
      <c r="M12" s="167" t="n">
        <f aca="false">L28</f>
        <v>0</v>
      </c>
      <c r="N12" s="167" t="n">
        <f aca="false">M28</f>
        <v>0</v>
      </c>
      <c r="O12" s="167" t="n">
        <f aca="false">N28</f>
        <v>0</v>
      </c>
      <c r="P12" s="167" t="n">
        <f aca="false">O28</f>
        <v>0</v>
      </c>
      <c r="Q12" s="167" t="n">
        <f aca="false">P28</f>
        <v>0</v>
      </c>
      <c r="R12" s="167" t="n">
        <f aca="false">Q28</f>
        <v>0</v>
      </c>
      <c r="S12" s="167" t="n">
        <f aca="false">R28</f>
        <v>0</v>
      </c>
      <c r="T12" s="167" t="n">
        <f aca="false">S28</f>
        <v>0</v>
      </c>
      <c r="U12" s="167" t="n">
        <f aca="false">T28</f>
        <v>0</v>
      </c>
      <c r="V12" s="2"/>
      <c r="W12" s="191"/>
      <c r="X12" s="191"/>
    </row>
    <row r="13" customFormat="false" ht="12.75" hidden="false" customHeight="true" outlineLevel="0" collapsed="false">
      <c r="A13" s="190" t="s">
        <v>124</v>
      </c>
      <c r="B13" s="192" t="n">
        <v>0</v>
      </c>
      <c r="C13" s="192" t="n">
        <f aca="false">C12*$E$89*(C11-B23)/365.25</f>
        <v>0</v>
      </c>
      <c r="D13" s="192" t="n">
        <f aca="false">D12*$E$89*(D11-C23)/365.25</f>
        <v>0</v>
      </c>
      <c r="E13" s="192" t="n">
        <f aca="false">E12*$E$89*(E11-D23)/365.25</f>
        <v>0</v>
      </c>
      <c r="F13" s="192" t="n">
        <f aca="false">F12*$E$89*(F11-E23)/365.25</f>
        <v>0</v>
      </c>
      <c r="G13" s="192" t="n">
        <f aca="false">G12*$E$89*(G11-F23)/365.25</f>
        <v>0</v>
      </c>
      <c r="H13" s="192" t="n">
        <f aca="false">H12*$E$89*(H11-G23)/365.25</f>
        <v>0</v>
      </c>
      <c r="I13" s="192" t="n">
        <f aca="false">I12*$E$89*(I11-H23)/365.25</f>
        <v>0</v>
      </c>
      <c r="J13" s="192" t="n">
        <f aca="false">J12*$E$89*(J11-I23)/365.25</f>
        <v>0</v>
      </c>
      <c r="K13" s="192" t="n">
        <f aca="false">K12*$E$89*(K11-J23)/365.25</f>
        <v>0</v>
      </c>
      <c r="L13" s="192" t="n">
        <f aca="false">L12*$E$89*(L11-K23)/365.25</f>
        <v>0</v>
      </c>
      <c r="M13" s="192" t="n">
        <f aca="false">M12*$E$89*(M11-L23)/365.25</f>
        <v>0</v>
      </c>
      <c r="N13" s="192" t="n">
        <f aca="false">N12*$E$89*(N11-M23)/365.25</f>
        <v>0</v>
      </c>
      <c r="O13" s="192" t="n">
        <f aca="false">O12*$E$89*(O11-N23)/365.25</f>
        <v>0</v>
      </c>
      <c r="P13" s="192" t="n">
        <f aca="false">P12*$E$89*(P11-O23)/365.25</f>
        <v>0</v>
      </c>
      <c r="Q13" s="192" t="n">
        <f aca="false">Q12*$E$89*(Q11-P23)/365.25</f>
        <v>0</v>
      </c>
      <c r="R13" s="192" t="n">
        <f aca="false">R12*$E$89*(R11-Q23)/365.25</f>
        <v>0</v>
      </c>
      <c r="S13" s="192" t="n">
        <f aca="false">S12*$E$89*(S11-R23)/365.25</f>
        <v>0</v>
      </c>
      <c r="T13" s="192" t="n">
        <f aca="false">T12*$E$89*(T11-S23)/365.25</f>
        <v>0</v>
      </c>
      <c r="U13" s="192" t="n">
        <f aca="false">U12*$E$89*(U11-T23)/365.25</f>
        <v>0</v>
      </c>
      <c r="V13" s="2"/>
      <c r="W13" s="191"/>
      <c r="X13" s="191"/>
    </row>
    <row r="14" customFormat="false" ht="12.75" hidden="false" customHeight="true" outlineLevel="0" collapsed="false">
      <c r="A14" s="190" t="s">
        <v>125</v>
      </c>
      <c r="B14" s="155" t="n">
        <f aca="false">'Summary Output'!B15</f>
        <v>0</v>
      </c>
      <c r="C14" s="167" t="n">
        <f aca="false">C12</f>
        <v>0</v>
      </c>
      <c r="D14" s="167" t="n">
        <f aca="false">D12</f>
        <v>0</v>
      </c>
      <c r="E14" s="167" t="n">
        <f aca="false">E12</f>
        <v>0</v>
      </c>
      <c r="F14" s="167" t="n">
        <f aca="false">F12</f>
        <v>0</v>
      </c>
      <c r="G14" s="167" t="n">
        <f aca="false">G12</f>
        <v>0</v>
      </c>
      <c r="H14" s="167" t="n">
        <f aca="false">H12</f>
        <v>0</v>
      </c>
      <c r="I14" s="167" t="n">
        <f aca="false">I12</f>
        <v>0</v>
      </c>
      <c r="J14" s="167" t="n">
        <f aca="false">J12</f>
        <v>0</v>
      </c>
      <c r="K14" s="167" t="n">
        <f aca="false">K12</f>
        <v>0</v>
      </c>
      <c r="L14" s="167" t="n">
        <f aca="false">L12</f>
        <v>0</v>
      </c>
      <c r="M14" s="167" t="n">
        <f aca="false">M12</f>
        <v>0</v>
      </c>
      <c r="N14" s="167" t="n">
        <f aca="false">N12</f>
        <v>0</v>
      </c>
      <c r="O14" s="167" t="n">
        <f aca="false">O12</f>
        <v>0</v>
      </c>
      <c r="P14" s="167" t="n">
        <f aca="false">P12</f>
        <v>0</v>
      </c>
      <c r="Q14" s="167" t="n">
        <f aca="false">Q12</f>
        <v>0</v>
      </c>
      <c r="R14" s="167" t="n">
        <f aca="false">R12</f>
        <v>0</v>
      </c>
      <c r="S14" s="167" t="n">
        <f aca="false">S12</f>
        <v>0</v>
      </c>
      <c r="T14" s="167" t="n">
        <f aca="false">T12</f>
        <v>0</v>
      </c>
      <c r="U14" s="167" t="n">
        <f aca="false">U12</f>
        <v>0</v>
      </c>
      <c r="V14" s="2"/>
      <c r="W14" s="193" t="n">
        <f aca="false">SUM(B19:U19,B26:U26)</f>
        <v>0</v>
      </c>
      <c r="X14" s="194" t="n">
        <f aca="false">B14-W14</f>
        <v>0</v>
      </c>
    </row>
    <row r="15" customFormat="false" ht="12.75" hidden="false" customHeight="true" outlineLevel="0" collapsed="false">
      <c r="A15" s="2"/>
      <c r="B15" s="195"/>
      <c r="C15" s="186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2"/>
      <c r="W15" s="191"/>
      <c r="X15" s="191"/>
    </row>
    <row r="16" customFormat="false" ht="12.75" hidden="false" customHeight="true" outlineLevel="0" collapsed="false">
      <c r="A16" s="163"/>
      <c r="B16" s="188" t="n">
        <v>37072</v>
      </c>
      <c r="C16" s="188" t="n">
        <v>37437</v>
      </c>
      <c r="D16" s="188" t="n">
        <v>37802</v>
      </c>
      <c r="E16" s="188" t="n">
        <v>38168</v>
      </c>
      <c r="F16" s="188" t="n">
        <v>38533</v>
      </c>
      <c r="G16" s="188" t="n">
        <v>38898</v>
      </c>
      <c r="H16" s="188" t="n">
        <v>39263</v>
      </c>
      <c r="I16" s="188" t="n">
        <v>39629</v>
      </c>
      <c r="J16" s="188" t="n">
        <v>39994</v>
      </c>
      <c r="K16" s="188" t="n">
        <v>40359</v>
      </c>
      <c r="L16" s="188" t="n">
        <v>40724</v>
      </c>
      <c r="M16" s="188" t="n">
        <v>41090</v>
      </c>
      <c r="N16" s="188" t="n">
        <v>41455</v>
      </c>
      <c r="O16" s="188" t="n">
        <v>41820</v>
      </c>
      <c r="P16" s="188" t="n">
        <v>42185</v>
      </c>
      <c r="Q16" s="188" t="n">
        <v>42551</v>
      </c>
      <c r="R16" s="188" t="n">
        <v>42916</v>
      </c>
      <c r="S16" s="188" t="n">
        <v>43281</v>
      </c>
      <c r="T16" s="188" t="n">
        <v>43646</v>
      </c>
      <c r="U16" s="188" t="n">
        <v>44012</v>
      </c>
      <c r="V16" s="2"/>
      <c r="W16" s="191"/>
      <c r="X16" s="191"/>
    </row>
    <row r="17" customFormat="false" ht="12.75" hidden="false" customHeight="true" outlineLevel="0" collapsed="false">
      <c r="A17" s="190" t="s">
        <v>123</v>
      </c>
      <c r="B17" s="167" t="n">
        <f aca="false">B14</f>
        <v>0</v>
      </c>
      <c r="C17" s="167" t="n">
        <f aca="false">C14</f>
        <v>0</v>
      </c>
      <c r="D17" s="167" t="n">
        <f aca="false">D14</f>
        <v>0</v>
      </c>
      <c r="E17" s="167" t="n">
        <f aca="false">E14</f>
        <v>0</v>
      </c>
      <c r="F17" s="167" t="n">
        <f aca="false">F14</f>
        <v>0</v>
      </c>
      <c r="G17" s="167" t="n">
        <f aca="false">G14</f>
        <v>0</v>
      </c>
      <c r="H17" s="167" t="n">
        <f aca="false">H14</f>
        <v>0</v>
      </c>
      <c r="I17" s="167" t="n">
        <f aca="false">I14</f>
        <v>0</v>
      </c>
      <c r="J17" s="167" t="n">
        <f aca="false">J14</f>
        <v>0</v>
      </c>
      <c r="K17" s="167" t="n">
        <f aca="false">K14</f>
        <v>0</v>
      </c>
      <c r="L17" s="167" t="n">
        <f aca="false">L14</f>
        <v>0</v>
      </c>
      <c r="M17" s="167" t="n">
        <f aca="false">M14</f>
        <v>0</v>
      </c>
      <c r="N17" s="167" t="n">
        <f aca="false">N14</f>
        <v>0</v>
      </c>
      <c r="O17" s="167" t="n">
        <f aca="false">O14</f>
        <v>0</v>
      </c>
      <c r="P17" s="167" t="n">
        <f aca="false">P14</f>
        <v>0</v>
      </c>
      <c r="Q17" s="167" t="n">
        <f aca="false">Q14</f>
        <v>0</v>
      </c>
      <c r="R17" s="167" t="n">
        <f aca="false">R14</f>
        <v>0</v>
      </c>
      <c r="S17" s="167" t="n">
        <f aca="false">S14</f>
        <v>0</v>
      </c>
      <c r="T17" s="167" t="n">
        <f aca="false">T14</f>
        <v>0</v>
      </c>
      <c r="U17" s="167" t="n">
        <f aca="false">U14</f>
        <v>0</v>
      </c>
      <c r="V17" s="2"/>
      <c r="W17" s="191"/>
      <c r="X17" s="191"/>
    </row>
    <row r="18" customFormat="false" ht="12.75" hidden="false" customHeight="true" outlineLevel="0" collapsed="false">
      <c r="A18" s="190" t="s">
        <v>126</v>
      </c>
      <c r="B18" s="196" t="n">
        <v>0</v>
      </c>
      <c r="C18" s="196" t="n">
        <v>0</v>
      </c>
      <c r="D18" s="196" t="n">
        <v>0</v>
      </c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2"/>
      <c r="W18" s="191"/>
      <c r="X18" s="191"/>
    </row>
    <row r="19" customFormat="false" ht="12.75" hidden="false" customHeight="true" outlineLevel="0" collapsed="false">
      <c r="A19" s="190" t="s">
        <v>127</v>
      </c>
      <c r="B19" s="167" t="n">
        <f aca="false">$B$14*B18</f>
        <v>0</v>
      </c>
      <c r="C19" s="167" t="n">
        <f aca="false">$B$14*C18</f>
        <v>0</v>
      </c>
      <c r="D19" s="167" t="n">
        <f aca="false">$B$14*D18</f>
        <v>0</v>
      </c>
      <c r="E19" s="167" t="n">
        <f aca="false">$B$14*E18</f>
        <v>0</v>
      </c>
      <c r="F19" s="167" t="n">
        <f aca="false">$B$14*F18</f>
        <v>0</v>
      </c>
      <c r="G19" s="167" t="n">
        <f aca="false">$B$14*G18</f>
        <v>0</v>
      </c>
      <c r="H19" s="167" t="n">
        <f aca="false">$B$14*H18</f>
        <v>0</v>
      </c>
      <c r="I19" s="167" t="n">
        <f aca="false">$B$14*I18</f>
        <v>0</v>
      </c>
      <c r="J19" s="167" t="n">
        <f aca="false">$B$14*J18</f>
        <v>0</v>
      </c>
      <c r="K19" s="167" t="n">
        <f aca="false">$B$14*K18</f>
        <v>0</v>
      </c>
      <c r="L19" s="167" t="n">
        <f aca="false">$B$14*L18</f>
        <v>0</v>
      </c>
      <c r="M19" s="167" t="n">
        <f aca="false">$B$14*M18</f>
        <v>0</v>
      </c>
      <c r="N19" s="167" t="n">
        <f aca="false">$B$14*N18</f>
        <v>0</v>
      </c>
      <c r="O19" s="167" t="n">
        <f aca="false">$B$14*O18</f>
        <v>0</v>
      </c>
      <c r="P19" s="167" t="n">
        <f aca="false">$B$14*P18</f>
        <v>0</v>
      </c>
      <c r="Q19" s="167" t="n">
        <f aca="false">$B$14*Q18</f>
        <v>0</v>
      </c>
      <c r="R19" s="167" t="n">
        <f aca="false">$B$14*R18</f>
        <v>0</v>
      </c>
      <c r="S19" s="167" t="n">
        <f aca="false">$B$14*S18</f>
        <v>0</v>
      </c>
      <c r="T19" s="167" t="n">
        <f aca="false">$B$14*T18</f>
        <v>0</v>
      </c>
      <c r="U19" s="167" t="n">
        <f aca="false">$B$14*U18</f>
        <v>0</v>
      </c>
      <c r="V19" s="4"/>
      <c r="W19" s="197"/>
      <c r="X19" s="197"/>
    </row>
    <row r="20" customFormat="false" ht="12.75" hidden="false" customHeight="true" outlineLevel="0" collapsed="false">
      <c r="A20" s="190" t="s">
        <v>124</v>
      </c>
      <c r="B20" s="192" t="n">
        <f aca="false">B17*$E$89*(B16-B11)/365.25</f>
        <v>0</v>
      </c>
      <c r="C20" s="192" t="n">
        <f aca="false">C17*$E$89*(C16-C11)/365.25</f>
        <v>0</v>
      </c>
      <c r="D20" s="192" t="n">
        <f aca="false">D17*$E$89*(D16-D11)/365.25</f>
        <v>0</v>
      </c>
      <c r="E20" s="192" t="n">
        <f aca="false">E17*$E$89*(E16-E11)/365.25</f>
        <v>0</v>
      </c>
      <c r="F20" s="192" t="n">
        <f aca="false">F17*$E$89*(F16-F11)/365.25</f>
        <v>0</v>
      </c>
      <c r="G20" s="192" t="n">
        <f aca="false">G17*$E$89*(G16-G11)/365.25</f>
        <v>0</v>
      </c>
      <c r="H20" s="192" t="n">
        <f aca="false">H17*$E$89*(H16-H11)/365.25</f>
        <v>0</v>
      </c>
      <c r="I20" s="192" t="n">
        <f aca="false">I17*$E$89*(I16-I11)/365.25</f>
        <v>0</v>
      </c>
      <c r="J20" s="192" t="n">
        <f aca="false">J17*$E$89*(J16-J11)/365.25</f>
        <v>0</v>
      </c>
      <c r="K20" s="192" t="n">
        <f aca="false">K17*$E$89*(K16-K11)/365.25</f>
        <v>0</v>
      </c>
      <c r="L20" s="192" t="n">
        <f aca="false">L17*$E$89*(L16-L11)/365.25</f>
        <v>0</v>
      </c>
      <c r="M20" s="192" t="n">
        <f aca="false">M17*$E$89*(M16-M11)/365.25</f>
        <v>0</v>
      </c>
      <c r="N20" s="192" t="n">
        <f aca="false">N17*$E$89*(N16-N11)/365.25</f>
        <v>0</v>
      </c>
      <c r="O20" s="192" t="n">
        <f aca="false">O17*$E$89*(O16-O11)/365.25</f>
        <v>0</v>
      </c>
      <c r="P20" s="192" t="n">
        <f aca="false">P17*$E$89*(P16-P11)/365.25</f>
        <v>0</v>
      </c>
      <c r="Q20" s="192" t="n">
        <f aca="false">Q17*$E$89*(Q16-Q11)/365.25</f>
        <v>0</v>
      </c>
      <c r="R20" s="192" t="n">
        <f aca="false">R17*$E$89*(R16-R11)/365.25</f>
        <v>0</v>
      </c>
      <c r="S20" s="192" t="n">
        <f aca="false">S17*$E$89*(S16-S11)/365.25</f>
        <v>0</v>
      </c>
      <c r="T20" s="192" t="n">
        <f aca="false">T17*$E$89*(T16-T11)/365.25</f>
        <v>0</v>
      </c>
      <c r="U20" s="192" t="n">
        <f aca="false">U17*$E$89*(U16-U11)/365.25</f>
        <v>0</v>
      </c>
      <c r="V20" s="4"/>
      <c r="W20" s="197"/>
      <c r="X20" s="197"/>
    </row>
    <row r="21" customFormat="false" ht="12.75" hidden="false" customHeight="true" outlineLevel="0" collapsed="false">
      <c r="A21" s="190" t="s">
        <v>125</v>
      </c>
      <c r="B21" s="167" t="n">
        <f aca="false">B17-B19</f>
        <v>0</v>
      </c>
      <c r="C21" s="167" t="n">
        <f aca="false">C17-C19</f>
        <v>0</v>
      </c>
      <c r="D21" s="167" t="n">
        <f aca="false">D17-D19</f>
        <v>0</v>
      </c>
      <c r="E21" s="167" t="n">
        <f aca="false">E17-E19</f>
        <v>0</v>
      </c>
      <c r="F21" s="167" t="n">
        <f aca="false">F17-F19</f>
        <v>0</v>
      </c>
      <c r="G21" s="167" t="n">
        <f aca="false">G17-G19</f>
        <v>0</v>
      </c>
      <c r="H21" s="167" t="n">
        <f aca="false">H17-H19</f>
        <v>0</v>
      </c>
      <c r="I21" s="167" t="n">
        <f aca="false">I17-I19</f>
        <v>0</v>
      </c>
      <c r="J21" s="167" t="n">
        <f aca="false">J17-J19</f>
        <v>0</v>
      </c>
      <c r="K21" s="167" t="n">
        <f aca="false">K17-K19</f>
        <v>0</v>
      </c>
      <c r="L21" s="167" t="n">
        <f aca="false">L17-L19</f>
        <v>0</v>
      </c>
      <c r="M21" s="167" t="n">
        <f aca="false">M17-M19</f>
        <v>0</v>
      </c>
      <c r="N21" s="167" t="n">
        <f aca="false">N17-N19</f>
        <v>0</v>
      </c>
      <c r="O21" s="167" t="n">
        <f aca="false">O17-O19</f>
        <v>0</v>
      </c>
      <c r="P21" s="167" t="n">
        <f aca="false">P17-P19</f>
        <v>0</v>
      </c>
      <c r="Q21" s="167" t="n">
        <f aca="false">Q17-Q19</f>
        <v>0</v>
      </c>
      <c r="R21" s="167" t="n">
        <f aca="false">R17-R19</f>
        <v>0</v>
      </c>
      <c r="S21" s="167" t="n">
        <f aca="false">S17-S19</f>
        <v>0</v>
      </c>
      <c r="T21" s="167" t="n">
        <f aca="false">T17-T19</f>
        <v>0</v>
      </c>
      <c r="U21" s="167" t="n">
        <f aca="false">U17-U19</f>
        <v>0</v>
      </c>
      <c r="V21" s="4"/>
      <c r="W21" s="197"/>
      <c r="X21" s="197"/>
    </row>
    <row r="22" customFormat="false" ht="12.75" hidden="false" customHeight="true" outlineLevel="0" collapsed="false">
      <c r="A22" s="190"/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4"/>
      <c r="W22" s="197"/>
      <c r="X22" s="197"/>
    </row>
    <row r="23" customFormat="false" ht="12.75" hidden="false" customHeight="true" outlineLevel="0" collapsed="false">
      <c r="A23" s="163"/>
      <c r="B23" s="188" t="n">
        <v>37256</v>
      </c>
      <c r="C23" s="188" t="n">
        <v>37621</v>
      </c>
      <c r="D23" s="188" t="n">
        <v>37986</v>
      </c>
      <c r="E23" s="188" t="n">
        <v>38352</v>
      </c>
      <c r="F23" s="188" t="n">
        <v>38717</v>
      </c>
      <c r="G23" s="188" t="n">
        <v>39082</v>
      </c>
      <c r="H23" s="188" t="n">
        <v>39447</v>
      </c>
      <c r="I23" s="188" t="n">
        <v>39813</v>
      </c>
      <c r="J23" s="188" t="n">
        <v>40178</v>
      </c>
      <c r="K23" s="188" t="n">
        <v>40543</v>
      </c>
      <c r="L23" s="188" t="n">
        <v>40908</v>
      </c>
      <c r="M23" s="188" t="n">
        <v>41274</v>
      </c>
      <c r="N23" s="188" t="n">
        <v>41639</v>
      </c>
      <c r="O23" s="188" t="n">
        <v>42004</v>
      </c>
      <c r="P23" s="188" t="n">
        <v>42369</v>
      </c>
      <c r="Q23" s="188" t="n">
        <v>42735</v>
      </c>
      <c r="R23" s="188" t="n">
        <v>43100</v>
      </c>
      <c r="S23" s="188" t="n">
        <v>43465</v>
      </c>
      <c r="T23" s="188" t="n">
        <v>43830</v>
      </c>
      <c r="U23" s="188" t="n">
        <v>44196</v>
      </c>
      <c r="V23" s="4"/>
      <c r="W23" s="197"/>
      <c r="X23" s="197"/>
    </row>
    <row r="24" customFormat="false" ht="12.75" hidden="false" customHeight="true" outlineLevel="0" collapsed="false">
      <c r="A24" s="190" t="s">
        <v>123</v>
      </c>
      <c r="B24" s="167" t="n">
        <f aca="false">B21</f>
        <v>0</v>
      </c>
      <c r="C24" s="167" t="n">
        <f aca="false">C21</f>
        <v>0</v>
      </c>
      <c r="D24" s="167" t="n">
        <f aca="false">D21</f>
        <v>0</v>
      </c>
      <c r="E24" s="167" t="n">
        <f aca="false">E21</f>
        <v>0</v>
      </c>
      <c r="F24" s="167" t="n">
        <f aca="false">F21</f>
        <v>0</v>
      </c>
      <c r="G24" s="167" t="n">
        <f aca="false">G21</f>
        <v>0</v>
      </c>
      <c r="H24" s="167" t="n">
        <f aca="false">H21</f>
        <v>0</v>
      </c>
      <c r="I24" s="167" t="n">
        <f aca="false">I21</f>
        <v>0</v>
      </c>
      <c r="J24" s="167" t="n">
        <f aca="false">J21</f>
        <v>0</v>
      </c>
      <c r="K24" s="167" t="n">
        <f aca="false">K21</f>
        <v>0</v>
      </c>
      <c r="L24" s="167" t="n">
        <f aca="false">L21</f>
        <v>0</v>
      </c>
      <c r="M24" s="167" t="n">
        <f aca="false">M21</f>
        <v>0</v>
      </c>
      <c r="N24" s="167" t="n">
        <f aca="false">N21</f>
        <v>0</v>
      </c>
      <c r="O24" s="167" t="n">
        <f aca="false">O21</f>
        <v>0</v>
      </c>
      <c r="P24" s="167" t="n">
        <f aca="false">P21</f>
        <v>0</v>
      </c>
      <c r="Q24" s="167" t="n">
        <f aca="false">Q21</f>
        <v>0</v>
      </c>
      <c r="R24" s="167" t="n">
        <f aca="false">R21</f>
        <v>0</v>
      </c>
      <c r="S24" s="167" t="n">
        <f aca="false">S21</f>
        <v>0</v>
      </c>
      <c r="T24" s="167" t="n">
        <f aca="false">T21</f>
        <v>0</v>
      </c>
      <c r="U24" s="167" t="n">
        <f aca="false">U21</f>
        <v>0</v>
      </c>
      <c r="V24" s="4"/>
      <c r="W24" s="197"/>
      <c r="X24" s="197"/>
    </row>
    <row r="25" customFormat="false" ht="12.75" hidden="false" customHeight="true" outlineLevel="0" collapsed="false">
      <c r="A25" s="190" t="s">
        <v>126</v>
      </c>
      <c r="B25" s="196" t="n">
        <v>0</v>
      </c>
      <c r="C25" s="196" t="n">
        <v>0</v>
      </c>
      <c r="D25" s="196" t="n">
        <v>0</v>
      </c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4"/>
      <c r="W25" s="197"/>
      <c r="X25" s="197"/>
    </row>
    <row r="26" customFormat="false" ht="12.75" hidden="false" customHeight="true" outlineLevel="0" collapsed="false">
      <c r="A26" s="190" t="s">
        <v>127</v>
      </c>
      <c r="B26" s="167" t="n">
        <f aca="false">B25*$B$14</f>
        <v>0</v>
      </c>
      <c r="C26" s="167" t="n">
        <f aca="false">C25*$B$14</f>
        <v>0</v>
      </c>
      <c r="D26" s="167" t="n">
        <f aca="false">D25*$B$14</f>
        <v>0</v>
      </c>
      <c r="E26" s="167" t="n">
        <f aca="false">E25*$B$14</f>
        <v>0</v>
      </c>
      <c r="F26" s="167" t="n">
        <f aca="false">F25*$B$14</f>
        <v>0</v>
      </c>
      <c r="G26" s="167" t="n">
        <f aca="false">G25*$B$14</f>
        <v>0</v>
      </c>
      <c r="H26" s="167" t="n">
        <f aca="false">H25*$B$14</f>
        <v>0</v>
      </c>
      <c r="I26" s="167" t="n">
        <f aca="false">I25*$B$14</f>
        <v>0</v>
      </c>
      <c r="J26" s="167" t="n">
        <f aca="false">J25*$B$14</f>
        <v>0</v>
      </c>
      <c r="K26" s="167" t="n">
        <f aca="false">K25*$B$14</f>
        <v>0</v>
      </c>
      <c r="L26" s="167" t="n">
        <f aca="false">L25*$B$14</f>
        <v>0</v>
      </c>
      <c r="M26" s="167" t="n">
        <f aca="false">M25*$B$14</f>
        <v>0</v>
      </c>
      <c r="N26" s="167" t="n">
        <f aca="false">N25*$B$14</f>
        <v>0</v>
      </c>
      <c r="O26" s="167" t="n">
        <f aca="false">O25*$B$14</f>
        <v>0</v>
      </c>
      <c r="P26" s="167" t="n">
        <f aca="false">P25*$B$14</f>
        <v>0</v>
      </c>
      <c r="Q26" s="167" t="n">
        <f aca="false">Q25*$B$14</f>
        <v>0</v>
      </c>
      <c r="R26" s="167" t="n">
        <f aca="false">R25*$B$14</f>
        <v>0</v>
      </c>
      <c r="S26" s="167" t="n">
        <f aca="false">S25*$B$14</f>
        <v>0</v>
      </c>
      <c r="T26" s="167" t="n">
        <f aca="false">T25*$B$14</f>
        <v>0</v>
      </c>
      <c r="U26" s="167" t="n">
        <f aca="false">U25*$B$14</f>
        <v>0</v>
      </c>
      <c r="V26" s="4"/>
      <c r="W26" s="197"/>
      <c r="X26" s="197"/>
    </row>
    <row r="27" customFormat="false" ht="12.75" hidden="false" customHeight="true" outlineLevel="0" collapsed="false">
      <c r="A27" s="190" t="s">
        <v>124</v>
      </c>
      <c r="B27" s="192" t="n">
        <f aca="false">B24*$E$89*(B23-B16)/365.25</f>
        <v>0</v>
      </c>
      <c r="C27" s="192" t="n">
        <f aca="false">C24*$E$89*(C23-C16)/365.25</f>
        <v>0</v>
      </c>
      <c r="D27" s="192" t="n">
        <f aca="false">D24*$E$89*(D23-D16)/365.25</f>
        <v>0</v>
      </c>
      <c r="E27" s="192" t="n">
        <f aca="false">E24*$E$89*(E23-E16)/365.25</f>
        <v>0</v>
      </c>
      <c r="F27" s="192" t="n">
        <f aca="false">F24*$E$89*(F23-F16)/365.25</f>
        <v>0</v>
      </c>
      <c r="G27" s="192" t="n">
        <f aca="false">G24*$E$89*(G23-G16)/365.25</f>
        <v>0</v>
      </c>
      <c r="H27" s="192" t="n">
        <f aca="false">H24*$E$89*(H23-H16)/365.25</f>
        <v>0</v>
      </c>
      <c r="I27" s="192" t="n">
        <f aca="false">I24*$E$89*(I23-I16)/365.25</f>
        <v>0</v>
      </c>
      <c r="J27" s="192" t="n">
        <f aca="false">J24*$E$89*(J23-J16)/365.25</f>
        <v>0</v>
      </c>
      <c r="K27" s="192" t="n">
        <f aca="false">K24*$E$89*(K23-K16)/365.25</f>
        <v>0</v>
      </c>
      <c r="L27" s="192" t="n">
        <f aca="false">L24*$E$89*(L23-L16)/365.25</f>
        <v>0</v>
      </c>
      <c r="M27" s="192" t="n">
        <f aca="false">M24*$E$89*(M23-M16)/365.25</f>
        <v>0</v>
      </c>
      <c r="N27" s="192" t="n">
        <f aca="false">N24*$E$89*(N23-N16)/365.25</f>
        <v>0</v>
      </c>
      <c r="O27" s="192" t="n">
        <f aca="false">O24*$E$89*(O23-O16)/365.25</f>
        <v>0</v>
      </c>
      <c r="P27" s="192" t="n">
        <f aca="false">P24*$E$89*(P23-P16)/365.25</f>
        <v>0</v>
      </c>
      <c r="Q27" s="192" t="n">
        <f aca="false">Q24*$E$89*(Q23-Q16)/365.25</f>
        <v>0</v>
      </c>
      <c r="R27" s="192" t="n">
        <f aca="false">R24*$E$89*(R23-R16)/365.25</f>
        <v>0</v>
      </c>
      <c r="S27" s="192" t="n">
        <f aca="false">S24*$E$89*(S23-S16)/365.25</f>
        <v>0</v>
      </c>
      <c r="T27" s="192" t="n">
        <f aca="false">T24*$E$89*(T23-T16)/365.25</f>
        <v>0</v>
      </c>
      <c r="U27" s="192" t="n">
        <f aca="false">U24*$E$89*(U23-U16)/365.25</f>
        <v>0</v>
      </c>
      <c r="V27" s="4"/>
      <c r="W27" s="197"/>
      <c r="X27" s="197"/>
    </row>
    <row r="28" customFormat="false" ht="12.75" hidden="false" customHeight="true" outlineLevel="0" collapsed="false">
      <c r="A28" s="190" t="s">
        <v>125</v>
      </c>
      <c r="B28" s="167" t="n">
        <f aca="false">B24-B26</f>
        <v>0</v>
      </c>
      <c r="C28" s="167" t="n">
        <f aca="false">C24-C26</f>
        <v>0</v>
      </c>
      <c r="D28" s="167" t="n">
        <f aca="false">D24-D26</f>
        <v>0</v>
      </c>
      <c r="E28" s="167" t="n">
        <f aca="false">E24-E26</f>
        <v>0</v>
      </c>
      <c r="F28" s="167" t="n">
        <f aca="false">F24-F26</f>
        <v>0</v>
      </c>
      <c r="G28" s="167" t="n">
        <f aca="false">G24-G26</f>
        <v>0</v>
      </c>
      <c r="H28" s="167" t="n">
        <f aca="false">H24-H26</f>
        <v>0</v>
      </c>
      <c r="I28" s="167" t="n">
        <f aca="false">I24-I26</f>
        <v>0</v>
      </c>
      <c r="J28" s="167" t="n">
        <f aca="false">J24-J26</f>
        <v>0</v>
      </c>
      <c r="K28" s="167" t="n">
        <f aca="false">K24-K26</f>
        <v>0</v>
      </c>
      <c r="L28" s="167" t="n">
        <f aca="false">L24-L26</f>
        <v>0</v>
      </c>
      <c r="M28" s="167" t="n">
        <f aca="false">M24-M26</f>
        <v>0</v>
      </c>
      <c r="N28" s="167" t="n">
        <f aca="false">N24-N26</f>
        <v>0</v>
      </c>
      <c r="O28" s="167" t="n">
        <f aca="false">O24-O26</f>
        <v>0</v>
      </c>
      <c r="P28" s="167" t="n">
        <f aca="false">P24-P26</f>
        <v>0</v>
      </c>
      <c r="Q28" s="167" t="n">
        <f aca="false">Q24-Q26</f>
        <v>0</v>
      </c>
      <c r="R28" s="167" t="n">
        <f aca="false">R24-R26</f>
        <v>0</v>
      </c>
      <c r="S28" s="167" t="n">
        <f aca="false">S24-S26</f>
        <v>0</v>
      </c>
      <c r="T28" s="167" t="n">
        <f aca="false">T24-T26</f>
        <v>0</v>
      </c>
      <c r="U28" s="167" t="n">
        <f aca="false">U24-U26</f>
        <v>0</v>
      </c>
      <c r="V28" s="2"/>
      <c r="W28" s="191"/>
      <c r="X28" s="191"/>
    </row>
    <row r="29" customFormat="false" ht="12.75" hidden="false" customHeight="true" outlineLevel="0" collapsed="false">
      <c r="A29" s="190"/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2"/>
      <c r="W29" s="191"/>
      <c r="X29" s="191"/>
    </row>
    <row r="30" customFormat="false" ht="12.75" hidden="false" customHeight="true" outlineLevel="0" collapsed="false">
      <c r="A30" s="187" t="s">
        <v>13</v>
      </c>
      <c r="B30" s="4"/>
      <c r="C30" s="186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2"/>
      <c r="W30" s="191"/>
      <c r="X30" s="191"/>
    </row>
    <row r="31" customFormat="false" ht="12.75" hidden="false" customHeight="true" outlineLevel="0" collapsed="false">
      <c r="A31" s="2"/>
      <c r="B31" s="188" t="n">
        <f aca="false">'Summary Output'!$C$14</f>
        <v>36892</v>
      </c>
      <c r="C31" s="188" t="n">
        <v>37257</v>
      </c>
      <c r="D31" s="188" t="n">
        <v>37622</v>
      </c>
      <c r="E31" s="188" t="n">
        <v>37987</v>
      </c>
      <c r="F31" s="188" t="n">
        <v>38353</v>
      </c>
      <c r="G31" s="188" t="n">
        <v>38718</v>
      </c>
      <c r="H31" s="188" t="n">
        <v>39083</v>
      </c>
      <c r="I31" s="188" t="n">
        <v>39448</v>
      </c>
      <c r="J31" s="188" t="n">
        <v>39814</v>
      </c>
      <c r="K31" s="188" t="n">
        <v>40179</v>
      </c>
      <c r="L31" s="188" t="n">
        <v>40544</v>
      </c>
      <c r="M31" s="188" t="n">
        <v>40909</v>
      </c>
      <c r="N31" s="188" t="n">
        <v>41275</v>
      </c>
      <c r="O31" s="188" t="n">
        <v>41640</v>
      </c>
      <c r="P31" s="188" t="n">
        <v>42005</v>
      </c>
      <c r="Q31" s="188" t="n">
        <v>42370</v>
      </c>
      <c r="R31" s="188" t="n">
        <v>42736</v>
      </c>
      <c r="S31" s="188" t="n">
        <v>43101</v>
      </c>
      <c r="T31" s="188" t="n">
        <v>43466</v>
      </c>
      <c r="U31" s="188" t="n">
        <v>43831</v>
      </c>
      <c r="V31" s="2"/>
      <c r="W31" s="191"/>
      <c r="X31" s="191"/>
    </row>
    <row r="32" customFormat="false" ht="12.75" hidden="false" customHeight="true" outlineLevel="0" collapsed="false">
      <c r="A32" s="190" t="s">
        <v>123</v>
      </c>
      <c r="B32" s="167" t="n">
        <v>0</v>
      </c>
      <c r="C32" s="167" t="n">
        <f aca="false">B48</f>
        <v>107949.7956</v>
      </c>
      <c r="D32" s="167" t="n">
        <f aca="false">C48</f>
        <v>99969.6978</v>
      </c>
      <c r="E32" s="167" t="n">
        <f aca="false">D48</f>
        <v>90862.7274</v>
      </c>
      <c r="F32" s="167" t="n">
        <f aca="false">E48</f>
        <v>80329.9182</v>
      </c>
      <c r="G32" s="167" t="n">
        <f aca="false">F48</f>
        <v>68141.2962</v>
      </c>
      <c r="H32" s="167" t="n">
        <f aca="false">G48</f>
        <v>55676.7054</v>
      </c>
      <c r="I32" s="167" t="n">
        <f aca="false">H48</f>
        <v>42775.164</v>
      </c>
      <c r="J32" s="167" t="n">
        <f aca="false">I48</f>
        <v>29321.685</v>
      </c>
      <c r="K32" s="167" t="n">
        <f aca="false">J48</f>
        <v>15109.2918</v>
      </c>
      <c r="L32" s="167" t="n">
        <f aca="false">K48</f>
        <v>3.27418092638254E-011</v>
      </c>
      <c r="M32" s="167" t="n">
        <f aca="false">L48</f>
        <v>3.27418092638254E-011</v>
      </c>
      <c r="N32" s="167" t="n">
        <f aca="false">M48</f>
        <v>3.27418092638254E-011</v>
      </c>
      <c r="O32" s="167" t="n">
        <f aca="false">N48</f>
        <v>3.27418092638254E-011</v>
      </c>
      <c r="P32" s="167" t="n">
        <f aca="false">O48</f>
        <v>3.27418092638254E-011</v>
      </c>
      <c r="Q32" s="167" t="n">
        <f aca="false">P48</f>
        <v>3.27418092638254E-011</v>
      </c>
      <c r="R32" s="167" t="n">
        <f aca="false">Q48</f>
        <v>3.27418092638254E-011</v>
      </c>
      <c r="S32" s="167" t="n">
        <f aca="false">R48</f>
        <v>3.27418092638254E-011</v>
      </c>
      <c r="T32" s="167" t="n">
        <f aca="false">S48</f>
        <v>3.27418092638254E-011</v>
      </c>
      <c r="U32" s="167" t="n">
        <f aca="false">T48</f>
        <v>3.27418092638254E-011</v>
      </c>
      <c r="V32" s="2"/>
      <c r="W32" s="191"/>
      <c r="X32" s="191"/>
    </row>
    <row r="33" customFormat="false" ht="12.75" hidden="false" customHeight="true" outlineLevel="0" collapsed="false">
      <c r="A33" s="190" t="s">
        <v>124</v>
      </c>
      <c r="B33" s="192" t="n">
        <v>0</v>
      </c>
      <c r="C33" s="192" t="n">
        <f aca="false">C32*$J$89*(C31-B43)/365.25</f>
        <v>32.510547613963</v>
      </c>
      <c r="D33" s="192" t="n">
        <f aca="false">D32*$J$89*(D31-C43)/365.25</f>
        <v>30.1072327392197</v>
      </c>
      <c r="E33" s="192" t="n">
        <f aca="false">E32*$J$89*(E31-D43)/365.25</f>
        <v>27.3645448706366</v>
      </c>
      <c r="F33" s="192" t="n">
        <f aca="false">F32*$J$89*(F31-E43)/365.25</f>
        <v>24.192446275154</v>
      </c>
      <c r="G33" s="192" t="n">
        <f aca="false">G32*$J$89*(G31-F43)/365.25</f>
        <v>20.5216771581109</v>
      </c>
      <c r="H33" s="192" t="n">
        <f aca="false">H32*$J$89*(H31-G43)/365.25</f>
        <v>16.7677962874743</v>
      </c>
      <c r="I33" s="192" t="n">
        <f aca="false">I32*$J$89*(I31-H43)/365.25</f>
        <v>12.8823218069815</v>
      </c>
      <c r="J33" s="192" t="n">
        <f aca="false">J32*$J$89*(J31-I43)/365.25</f>
        <v>8.83062381930186</v>
      </c>
      <c r="K33" s="192" t="n">
        <f aca="false">K32*$J$89*(K31-J43)/365.25</f>
        <v>4.55036850924026</v>
      </c>
      <c r="L33" s="192" t="n">
        <f aca="false">L32*$J$89*(L31-K43)/365.25</f>
        <v>9.86064070916029E-015</v>
      </c>
      <c r="M33" s="192" t="n">
        <f aca="false">M32*$J$89*(M31-L43)/365.25</f>
        <v>9.86064070916029E-015</v>
      </c>
      <c r="N33" s="192" t="n">
        <f aca="false">N32*$J$89*(N31-M43)/365.25</f>
        <v>9.86064070916029E-015</v>
      </c>
      <c r="O33" s="192" t="n">
        <f aca="false">O32*$J$89*(O31-N43)/365.25</f>
        <v>9.86064070916029E-015</v>
      </c>
      <c r="P33" s="192" t="n">
        <f aca="false">P32*$J$89*(P31-O43)/365.25</f>
        <v>9.86064070916029E-015</v>
      </c>
      <c r="Q33" s="192" t="n">
        <f aca="false">Q32*$J$89*(Q31-P43)/365.25</f>
        <v>9.86064070916029E-015</v>
      </c>
      <c r="R33" s="192" t="n">
        <f aca="false">R32*$J$89*(R31-Q43)/365.25</f>
        <v>9.86064070916029E-015</v>
      </c>
      <c r="S33" s="192" t="n">
        <f aca="false">S32*$J$89*(S31-R43)/365.25</f>
        <v>9.86064070916029E-015</v>
      </c>
      <c r="T33" s="192" t="n">
        <f aca="false">T32*$J$89*(T31-S43)/365.25</f>
        <v>9.86064070916029E-015</v>
      </c>
      <c r="U33" s="192" t="n">
        <f aca="false">U32*$J$89*(U31-T43)/365.25</f>
        <v>9.86064070916029E-015</v>
      </c>
      <c r="V33" s="4"/>
      <c r="W33" s="197"/>
      <c r="X33" s="197"/>
    </row>
    <row r="34" customFormat="false" ht="12.75" hidden="false" customHeight="true" outlineLevel="0" collapsed="false">
      <c r="A34" s="190" t="s">
        <v>125</v>
      </c>
      <c r="B34" s="155" t="n">
        <f aca="false">'Summary Output'!C15</f>
        <v>114987</v>
      </c>
      <c r="C34" s="167" t="n">
        <f aca="false">C32</f>
        <v>107949.7956</v>
      </c>
      <c r="D34" s="167" t="n">
        <f aca="false">D32</f>
        <v>99969.6978</v>
      </c>
      <c r="E34" s="167" t="n">
        <f aca="false">E32</f>
        <v>90862.7274</v>
      </c>
      <c r="F34" s="167" t="n">
        <f aca="false">F32</f>
        <v>80329.9182</v>
      </c>
      <c r="G34" s="167" t="n">
        <f aca="false">G32</f>
        <v>68141.2962</v>
      </c>
      <c r="H34" s="167" t="n">
        <f aca="false">H32</f>
        <v>55676.7054</v>
      </c>
      <c r="I34" s="167" t="n">
        <f aca="false">I32</f>
        <v>42775.164</v>
      </c>
      <c r="J34" s="167" t="n">
        <f aca="false">J32</f>
        <v>29321.685</v>
      </c>
      <c r="K34" s="167" t="n">
        <f aca="false">K32</f>
        <v>15109.2918</v>
      </c>
      <c r="L34" s="167" t="n">
        <f aca="false">L32</f>
        <v>3.27418092638254E-011</v>
      </c>
      <c r="M34" s="167" t="n">
        <f aca="false">M32</f>
        <v>3.27418092638254E-011</v>
      </c>
      <c r="N34" s="167" t="n">
        <f aca="false">N32</f>
        <v>3.27418092638254E-011</v>
      </c>
      <c r="O34" s="167" t="n">
        <f aca="false">O32</f>
        <v>3.27418092638254E-011</v>
      </c>
      <c r="P34" s="167" t="n">
        <f aca="false">P32</f>
        <v>3.27418092638254E-011</v>
      </c>
      <c r="Q34" s="167" t="n">
        <f aca="false">Q32</f>
        <v>3.27418092638254E-011</v>
      </c>
      <c r="R34" s="167" t="n">
        <f aca="false">R32</f>
        <v>3.27418092638254E-011</v>
      </c>
      <c r="S34" s="167" t="n">
        <f aca="false">S32</f>
        <v>3.27418092638254E-011</v>
      </c>
      <c r="T34" s="167" t="n">
        <f aca="false">T32</f>
        <v>3.27418092638254E-011</v>
      </c>
      <c r="U34" s="167" t="n">
        <f aca="false">U32</f>
        <v>3.27418092638254E-011</v>
      </c>
      <c r="V34" s="4"/>
      <c r="W34" s="193" t="n">
        <f aca="false">SUM(B39:U39,B46:U46)</f>
        <v>114987</v>
      </c>
      <c r="X34" s="194" t="n">
        <f aca="false">B34-W34</f>
        <v>0</v>
      </c>
    </row>
    <row r="35" customFormat="false" ht="12.75" hidden="false" customHeight="true" outlineLevel="0" collapsed="false">
      <c r="A35" s="2"/>
      <c r="B35" s="195"/>
      <c r="C35" s="186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197"/>
      <c r="X35" s="197"/>
    </row>
    <row r="36" customFormat="false" ht="12.75" hidden="false" customHeight="true" outlineLevel="0" collapsed="false">
      <c r="A36" s="163"/>
      <c r="B36" s="188" t="n">
        <v>37072</v>
      </c>
      <c r="C36" s="188" t="n">
        <v>37437</v>
      </c>
      <c r="D36" s="188" t="n">
        <v>37802</v>
      </c>
      <c r="E36" s="188" t="n">
        <v>38168</v>
      </c>
      <c r="F36" s="188" t="n">
        <v>38533</v>
      </c>
      <c r="G36" s="188" t="n">
        <v>38898</v>
      </c>
      <c r="H36" s="188" t="n">
        <v>39263</v>
      </c>
      <c r="I36" s="188" t="n">
        <v>39629</v>
      </c>
      <c r="J36" s="188" t="n">
        <v>39994</v>
      </c>
      <c r="K36" s="188" t="n">
        <v>40359</v>
      </c>
      <c r="L36" s="188" t="n">
        <v>40724</v>
      </c>
      <c r="M36" s="188" t="n">
        <v>41090</v>
      </c>
      <c r="N36" s="188" t="n">
        <v>41455</v>
      </c>
      <c r="O36" s="188" t="n">
        <v>41820</v>
      </c>
      <c r="P36" s="188" t="n">
        <v>42185</v>
      </c>
      <c r="Q36" s="188" t="n">
        <v>42551</v>
      </c>
      <c r="R36" s="188" t="n">
        <v>42916</v>
      </c>
      <c r="S36" s="188" t="n">
        <v>43281</v>
      </c>
      <c r="T36" s="188" t="n">
        <v>43646</v>
      </c>
      <c r="U36" s="188" t="n">
        <v>44012</v>
      </c>
      <c r="V36" s="4"/>
      <c r="W36" s="197"/>
      <c r="X36" s="197"/>
    </row>
    <row r="37" customFormat="false" ht="12.75" hidden="false" customHeight="true" outlineLevel="0" collapsed="false">
      <c r="A37" s="190" t="s">
        <v>123</v>
      </c>
      <c r="B37" s="167" t="n">
        <f aca="false">B34</f>
        <v>114987</v>
      </c>
      <c r="C37" s="167" t="n">
        <f aca="false">C34</f>
        <v>107949.7956</v>
      </c>
      <c r="D37" s="167" t="n">
        <f aca="false">D34</f>
        <v>99969.6978</v>
      </c>
      <c r="E37" s="167" t="n">
        <f aca="false">E34</f>
        <v>90862.7274</v>
      </c>
      <c r="F37" s="167" t="n">
        <f aca="false">F34</f>
        <v>80329.9182</v>
      </c>
      <c r="G37" s="167" t="n">
        <f aca="false">G34</f>
        <v>68141.2962</v>
      </c>
      <c r="H37" s="167" t="n">
        <f aca="false">H34</f>
        <v>55676.7054</v>
      </c>
      <c r="I37" s="167" t="n">
        <f aca="false">I34</f>
        <v>42775.164</v>
      </c>
      <c r="J37" s="167" t="n">
        <f aca="false">J34</f>
        <v>29321.685</v>
      </c>
      <c r="K37" s="167" t="n">
        <f aca="false">K34</f>
        <v>15109.2918</v>
      </c>
      <c r="L37" s="167" t="n">
        <f aca="false">L34</f>
        <v>3.27418092638254E-011</v>
      </c>
      <c r="M37" s="167" t="n">
        <f aca="false">M34</f>
        <v>3.27418092638254E-011</v>
      </c>
      <c r="N37" s="167" t="n">
        <f aca="false">N34</f>
        <v>3.27418092638254E-011</v>
      </c>
      <c r="O37" s="167" t="n">
        <f aca="false">O34</f>
        <v>3.27418092638254E-011</v>
      </c>
      <c r="P37" s="167" t="n">
        <f aca="false">P34</f>
        <v>3.27418092638254E-011</v>
      </c>
      <c r="Q37" s="167" t="n">
        <f aca="false">Q34</f>
        <v>3.27418092638254E-011</v>
      </c>
      <c r="R37" s="167" t="n">
        <f aca="false">R34</f>
        <v>3.27418092638254E-011</v>
      </c>
      <c r="S37" s="167" t="n">
        <f aca="false">S34</f>
        <v>3.27418092638254E-011</v>
      </c>
      <c r="T37" s="167" t="n">
        <f aca="false">T34</f>
        <v>3.27418092638254E-011</v>
      </c>
      <c r="U37" s="167" t="n">
        <f aca="false">U34</f>
        <v>3.27418092638254E-011</v>
      </c>
      <c r="V37" s="4"/>
      <c r="W37" s="197"/>
      <c r="X37" s="197"/>
    </row>
    <row r="38" customFormat="false" ht="12.75" hidden="false" customHeight="true" outlineLevel="0" collapsed="false">
      <c r="A38" s="190" t="s">
        <v>126</v>
      </c>
      <c r="B38" s="196" t="n">
        <v>0.0306</v>
      </c>
      <c r="C38" s="196" t="n">
        <v>0.0347</v>
      </c>
      <c r="D38" s="196" t="n">
        <v>0.0396</v>
      </c>
      <c r="E38" s="196" t="n">
        <v>0.0458</v>
      </c>
      <c r="F38" s="196" t="n">
        <v>0.053</v>
      </c>
      <c r="G38" s="196" t="n">
        <v>0.0542</v>
      </c>
      <c r="H38" s="196" t="n">
        <v>0.0561</v>
      </c>
      <c r="I38" s="196" t="n">
        <v>0.0585</v>
      </c>
      <c r="J38" s="196" t="n">
        <v>0.0618</v>
      </c>
      <c r="K38" s="196" t="n">
        <v>0.0657</v>
      </c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2"/>
      <c r="W38" s="191"/>
      <c r="X38" s="191"/>
    </row>
    <row r="39" customFormat="false" ht="12.75" hidden="false" customHeight="true" outlineLevel="0" collapsed="false">
      <c r="A39" s="190" t="s">
        <v>127</v>
      </c>
      <c r="B39" s="167" t="n">
        <f aca="false">B38*$B$34</f>
        <v>3518.6022</v>
      </c>
      <c r="C39" s="167" t="n">
        <f aca="false">C38*$B$34</f>
        <v>3990.0489</v>
      </c>
      <c r="D39" s="167" t="n">
        <f aca="false">D38*$B$34</f>
        <v>4553.4852</v>
      </c>
      <c r="E39" s="167" t="n">
        <f aca="false">E38*$B$34</f>
        <v>5266.4046</v>
      </c>
      <c r="F39" s="167" t="n">
        <f aca="false">F38*$B$34</f>
        <v>6094.311</v>
      </c>
      <c r="G39" s="167" t="n">
        <f aca="false">G38*$B$34</f>
        <v>6232.2954</v>
      </c>
      <c r="H39" s="167" t="n">
        <f aca="false">H38*$B$34</f>
        <v>6450.7707</v>
      </c>
      <c r="I39" s="167" t="n">
        <f aca="false">I38*$B$34</f>
        <v>6726.7395</v>
      </c>
      <c r="J39" s="167" t="n">
        <f aca="false">J38*$B$34</f>
        <v>7106.1966</v>
      </c>
      <c r="K39" s="167" t="n">
        <f aca="false">K38*$B$34</f>
        <v>7554.6459</v>
      </c>
      <c r="L39" s="167" t="n">
        <f aca="false">L38*$B$34</f>
        <v>0</v>
      </c>
      <c r="M39" s="167" t="n">
        <f aca="false">M38*$B$34</f>
        <v>0</v>
      </c>
      <c r="N39" s="167" t="n">
        <f aca="false">N38*$B$34</f>
        <v>0</v>
      </c>
      <c r="O39" s="167" t="n">
        <f aca="false">O38*$B$34</f>
        <v>0</v>
      </c>
      <c r="P39" s="167" t="n">
        <f aca="false">P38*$B$34</f>
        <v>0</v>
      </c>
      <c r="Q39" s="167" t="n">
        <f aca="false">Q38*$B$34</f>
        <v>0</v>
      </c>
      <c r="R39" s="167" t="n">
        <f aca="false">R38*$B$34</f>
        <v>0</v>
      </c>
      <c r="S39" s="167" t="n">
        <f aca="false">S38*$B$34</f>
        <v>0</v>
      </c>
      <c r="T39" s="167" t="n">
        <f aca="false">T38*$B$34</f>
        <v>0</v>
      </c>
      <c r="U39" s="167" t="n">
        <f aca="false">U38*$B$34</f>
        <v>0</v>
      </c>
      <c r="V39" s="4"/>
      <c r="W39" s="197"/>
      <c r="X39" s="197"/>
    </row>
    <row r="40" customFormat="false" ht="12.75" hidden="false" customHeight="true" outlineLevel="0" collapsed="false">
      <c r="A40" s="190" t="s">
        <v>124</v>
      </c>
      <c r="B40" s="192" t="n">
        <f aca="false">B37*$J$89*(B36-B31)/365.25</f>
        <v>6233.38151950719</v>
      </c>
      <c r="C40" s="192" t="n">
        <f aca="false">C37*$J$89*(C36-C31)/365.25</f>
        <v>5851.89857051335</v>
      </c>
      <c r="D40" s="192" t="n">
        <f aca="false">D37*$J$89*(D36-D31)/365.25</f>
        <v>5419.30189305955</v>
      </c>
      <c r="E40" s="192" t="n">
        <f aca="false">E37*$J$89*(E36-E31)/365.25</f>
        <v>4952.98262158522</v>
      </c>
      <c r="F40" s="192" t="n">
        <f aca="false">F37*$J$89*(F36-F31)/365.25</f>
        <v>4354.64032952772</v>
      </c>
      <c r="G40" s="192" t="n">
        <f aca="false">G37*$J$89*(G36-G31)/365.25</f>
        <v>3693.90188845996</v>
      </c>
      <c r="H40" s="192" t="n">
        <f aca="false">H37*$J$89*(H36-H31)/365.25</f>
        <v>3018.20333174538</v>
      </c>
      <c r="I40" s="192" t="n">
        <f aca="false">I37*$J$89*(I36-I31)/365.25</f>
        <v>2331.70024706366</v>
      </c>
      <c r="J40" s="192" t="n">
        <f aca="false">J37*$J$89*(J36-J31)/365.25</f>
        <v>1589.51228747433</v>
      </c>
      <c r="K40" s="192" t="n">
        <f aca="false">K37*$J$89*(K36-K31)/365.25</f>
        <v>819.066331663246</v>
      </c>
      <c r="L40" s="192" t="n">
        <f aca="false">L37*$J$89*(L36-L31)/365.25</f>
        <v>1.77491532764885E-012</v>
      </c>
      <c r="M40" s="192" t="n">
        <f aca="false">M37*$J$89*(M36-M31)/365.25</f>
        <v>1.78477596835801E-012</v>
      </c>
      <c r="N40" s="192" t="n">
        <f aca="false">N37*$J$89*(N36-N31)/365.25</f>
        <v>1.77491532764885E-012</v>
      </c>
      <c r="O40" s="192" t="n">
        <f aca="false">O37*$J$89*(O36-O31)/365.25</f>
        <v>1.77491532764885E-012</v>
      </c>
      <c r="P40" s="192" t="n">
        <f aca="false">P37*$J$89*(P36-P31)/365.25</f>
        <v>1.77491532764885E-012</v>
      </c>
      <c r="Q40" s="192" t="n">
        <f aca="false">Q37*$J$89*(Q36-Q31)/365.25</f>
        <v>1.78477596835801E-012</v>
      </c>
      <c r="R40" s="192" t="n">
        <f aca="false">R37*$J$89*(R36-R31)/365.25</f>
        <v>1.77491532764885E-012</v>
      </c>
      <c r="S40" s="192" t="n">
        <f aca="false">S37*$J$89*(S36-S31)/365.25</f>
        <v>1.77491532764885E-012</v>
      </c>
      <c r="T40" s="192" t="n">
        <f aca="false">T37*$J$89*(T36-T31)/365.25</f>
        <v>1.77491532764885E-012</v>
      </c>
      <c r="U40" s="192" t="n">
        <f aca="false">U37*$J$89*(U36-U31)/365.25</f>
        <v>1.78477596835801E-012</v>
      </c>
      <c r="V40" s="4"/>
      <c r="W40" s="197"/>
      <c r="X40" s="197"/>
    </row>
    <row r="41" customFormat="false" ht="12.75" hidden="false" customHeight="true" outlineLevel="0" collapsed="false">
      <c r="A41" s="190" t="s">
        <v>125</v>
      </c>
      <c r="B41" s="167" t="n">
        <f aca="false">B37-B39</f>
        <v>111468.3978</v>
      </c>
      <c r="C41" s="167" t="n">
        <f aca="false">C37-C39</f>
        <v>103959.7467</v>
      </c>
      <c r="D41" s="167" t="n">
        <f aca="false">D37-D39</f>
        <v>95416.2126</v>
      </c>
      <c r="E41" s="167" t="n">
        <f aca="false">E37-E39</f>
        <v>85596.3228</v>
      </c>
      <c r="F41" s="167" t="n">
        <f aca="false">F37-F39</f>
        <v>74235.6072</v>
      </c>
      <c r="G41" s="167" t="n">
        <f aca="false">G37-G39</f>
        <v>61909.0008</v>
      </c>
      <c r="H41" s="167" t="n">
        <f aca="false">H37-H39</f>
        <v>49225.9347</v>
      </c>
      <c r="I41" s="167" t="n">
        <f aca="false">I37-I39</f>
        <v>36048.4245</v>
      </c>
      <c r="J41" s="167" t="n">
        <f aca="false">J37-J39</f>
        <v>22215.4884</v>
      </c>
      <c r="K41" s="167" t="n">
        <f aca="false">K37-K39</f>
        <v>7554.64590000003</v>
      </c>
      <c r="L41" s="167" t="n">
        <f aca="false">L37-L39</f>
        <v>3.27418092638254E-011</v>
      </c>
      <c r="M41" s="167" t="n">
        <f aca="false">M37-M39</f>
        <v>3.27418092638254E-011</v>
      </c>
      <c r="N41" s="167" t="n">
        <f aca="false">N37-N39</f>
        <v>3.27418092638254E-011</v>
      </c>
      <c r="O41" s="167" t="n">
        <f aca="false">O37-O39</f>
        <v>3.27418092638254E-011</v>
      </c>
      <c r="P41" s="167" t="n">
        <f aca="false">P37-P39</f>
        <v>3.27418092638254E-011</v>
      </c>
      <c r="Q41" s="167" t="n">
        <f aca="false">Q37-Q39</f>
        <v>3.27418092638254E-011</v>
      </c>
      <c r="R41" s="167" t="n">
        <f aca="false">R37-R39</f>
        <v>3.27418092638254E-011</v>
      </c>
      <c r="S41" s="167" t="n">
        <f aca="false">S37-S39</f>
        <v>3.27418092638254E-011</v>
      </c>
      <c r="T41" s="167" t="n">
        <f aca="false">T37-T39</f>
        <v>3.27418092638254E-011</v>
      </c>
      <c r="U41" s="167" t="n">
        <f aca="false">U37-U39</f>
        <v>3.27418092638254E-011</v>
      </c>
      <c r="V41" s="4"/>
      <c r="W41" s="197"/>
      <c r="X41" s="197"/>
    </row>
    <row r="42" customFormat="false" ht="12.75" hidden="false" customHeight="true" outlineLevel="0" collapsed="false">
      <c r="A42" s="190"/>
      <c r="B42" s="198"/>
      <c r="C42" s="198"/>
      <c r="D42" s="198"/>
      <c r="E42" s="198"/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98"/>
      <c r="R42" s="198"/>
      <c r="S42" s="198"/>
      <c r="T42" s="198"/>
      <c r="U42" s="198"/>
      <c r="V42" s="2"/>
      <c r="W42" s="191"/>
      <c r="X42" s="191"/>
    </row>
    <row r="43" customFormat="false" ht="12.75" hidden="false" customHeight="true" outlineLevel="0" collapsed="false">
      <c r="A43" s="163"/>
      <c r="B43" s="188" t="n">
        <v>37256</v>
      </c>
      <c r="C43" s="188" t="n">
        <v>37621</v>
      </c>
      <c r="D43" s="188" t="n">
        <v>37986</v>
      </c>
      <c r="E43" s="188" t="n">
        <v>38352</v>
      </c>
      <c r="F43" s="188" t="n">
        <v>38717</v>
      </c>
      <c r="G43" s="188" t="n">
        <v>39082</v>
      </c>
      <c r="H43" s="188" t="n">
        <v>39447</v>
      </c>
      <c r="I43" s="188" t="n">
        <v>39813</v>
      </c>
      <c r="J43" s="188" t="n">
        <v>40178</v>
      </c>
      <c r="K43" s="188" t="n">
        <v>40543</v>
      </c>
      <c r="L43" s="188" t="n">
        <v>40908</v>
      </c>
      <c r="M43" s="188" t="n">
        <v>41274</v>
      </c>
      <c r="N43" s="188" t="n">
        <v>41639</v>
      </c>
      <c r="O43" s="188" t="n">
        <v>42004</v>
      </c>
      <c r="P43" s="188" t="n">
        <v>42369</v>
      </c>
      <c r="Q43" s="188" t="n">
        <v>42735</v>
      </c>
      <c r="R43" s="188" t="n">
        <v>43100</v>
      </c>
      <c r="S43" s="188" t="n">
        <v>43465</v>
      </c>
      <c r="T43" s="188" t="n">
        <v>43830</v>
      </c>
      <c r="U43" s="188" t="n">
        <v>44196</v>
      </c>
      <c r="V43" s="2"/>
      <c r="W43" s="191"/>
      <c r="X43" s="191"/>
    </row>
    <row r="44" customFormat="false" ht="12.75" hidden="false" customHeight="true" outlineLevel="0" collapsed="false">
      <c r="A44" s="190" t="s">
        <v>123</v>
      </c>
      <c r="B44" s="167" t="n">
        <f aca="false">B41</f>
        <v>111468.3978</v>
      </c>
      <c r="C44" s="167" t="n">
        <f aca="false">C41</f>
        <v>103959.7467</v>
      </c>
      <c r="D44" s="167" t="n">
        <f aca="false">D41</f>
        <v>95416.2126</v>
      </c>
      <c r="E44" s="167" t="n">
        <f aca="false">E41</f>
        <v>85596.3228</v>
      </c>
      <c r="F44" s="167" t="n">
        <f aca="false">F41</f>
        <v>74235.6072</v>
      </c>
      <c r="G44" s="167" t="n">
        <f aca="false">G41</f>
        <v>61909.0008</v>
      </c>
      <c r="H44" s="167" t="n">
        <f aca="false">H41</f>
        <v>49225.9347</v>
      </c>
      <c r="I44" s="167" t="n">
        <f aca="false">I41</f>
        <v>36048.4245</v>
      </c>
      <c r="J44" s="167" t="n">
        <f aca="false">J41</f>
        <v>22215.4884</v>
      </c>
      <c r="K44" s="167" t="n">
        <f aca="false">K41</f>
        <v>7554.64590000003</v>
      </c>
      <c r="L44" s="167" t="n">
        <f aca="false">L41</f>
        <v>3.27418092638254E-011</v>
      </c>
      <c r="M44" s="167" t="n">
        <f aca="false">M41</f>
        <v>3.27418092638254E-011</v>
      </c>
      <c r="N44" s="167" t="n">
        <f aca="false">N41</f>
        <v>3.27418092638254E-011</v>
      </c>
      <c r="O44" s="167" t="n">
        <f aca="false">O41</f>
        <v>3.27418092638254E-011</v>
      </c>
      <c r="P44" s="167" t="n">
        <f aca="false">P41</f>
        <v>3.27418092638254E-011</v>
      </c>
      <c r="Q44" s="167" t="n">
        <f aca="false">Q41</f>
        <v>3.27418092638254E-011</v>
      </c>
      <c r="R44" s="167" t="n">
        <f aca="false">R41</f>
        <v>3.27418092638254E-011</v>
      </c>
      <c r="S44" s="167" t="n">
        <f aca="false">S41</f>
        <v>3.27418092638254E-011</v>
      </c>
      <c r="T44" s="167" t="n">
        <f aca="false">T41</f>
        <v>3.27418092638254E-011</v>
      </c>
      <c r="U44" s="167" t="n">
        <f aca="false">U41</f>
        <v>3.27418092638254E-011</v>
      </c>
      <c r="V44" s="2"/>
      <c r="W44" s="191"/>
      <c r="X44" s="191"/>
    </row>
    <row r="45" customFormat="false" ht="12.75" hidden="false" customHeight="true" outlineLevel="0" collapsed="false">
      <c r="A45" s="190" t="s">
        <v>126</v>
      </c>
      <c r="B45" s="196" t="n">
        <f aca="false">B38</f>
        <v>0.0306</v>
      </c>
      <c r="C45" s="196" t="n">
        <f aca="false">C38</f>
        <v>0.0347</v>
      </c>
      <c r="D45" s="196" t="n">
        <f aca="false">D38</f>
        <v>0.0396</v>
      </c>
      <c r="E45" s="196" t="n">
        <f aca="false">E38</f>
        <v>0.0458</v>
      </c>
      <c r="F45" s="196" t="n">
        <f aca="false">F38</f>
        <v>0.053</v>
      </c>
      <c r="G45" s="196" t="n">
        <f aca="false">G38</f>
        <v>0.0542</v>
      </c>
      <c r="H45" s="196" t="n">
        <f aca="false">H38</f>
        <v>0.0561</v>
      </c>
      <c r="I45" s="196" t="n">
        <f aca="false">I38</f>
        <v>0.0585</v>
      </c>
      <c r="J45" s="196" t="n">
        <f aca="false">J38</f>
        <v>0.0618</v>
      </c>
      <c r="K45" s="196" t="n">
        <f aca="false">K38</f>
        <v>0.0657</v>
      </c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2"/>
      <c r="W45" s="191"/>
      <c r="X45" s="191"/>
    </row>
    <row r="46" customFormat="false" ht="12.75" hidden="false" customHeight="true" outlineLevel="0" collapsed="false">
      <c r="A46" s="190" t="s">
        <v>127</v>
      </c>
      <c r="B46" s="167" t="n">
        <f aca="false">B45*$B$34</f>
        <v>3518.6022</v>
      </c>
      <c r="C46" s="167" t="n">
        <f aca="false">C45*$B$34</f>
        <v>3990.0489</v>
      </c>
      <c r="D46" s="167" t="n">
        <f aca="false">D45*$B$34</f>
        <v>4553.4852</v>
      </c>
      <c r="E46" s="167" t="n">
        <f aca="false">E45*$B$34</f>
        <v>5266.4046</v>
      </c>
      <c r="F46" s="167" t="n">
        <f aca="false">F45*$B$34</f>
        <v>6094.311</v>
      </c>
      <c r="G46" s="167" t="n">
        <f aca="false">G45*$B$34</f>
        <v>6232.2954</v>
      </c>
      <c r="H46" s="167" t="n">
        <f aca="false">H45*$B$34</f>
        <v>6450.7707</v>
      </c>
      <c r="I46" s="167" t="n">
        <f aca="false">I45*$B$34</f>
        <v>6726.7395</v>
      </c>
      <c r="J46" s="167" t="n">
        <f aca="false">J45*$B$34</f>
        <v>7106.1966</v>
      </c>
      <c r="K46" s="167" t="n">
        <f aca="false">K45*$B$34</f>
        <v>7554.6459</v>
      </c>
      <c r="L46" s="167" t="n">
        <f aca="false">L45*$B$34</f>
        <v>0</v>
      </c>
      <c r="M46" s="167" t="n">
        <f aca="false">M45*$B$34</f>
        <v>0</v>
      </c>
      <c r="N46" s="167" t="n">
        <f aca="false">N45*$B$34</f>
        <v>0</v>
      </c>
      <c r="O46" s="167" t="n">
        <f aca="false">O45*$B$34</f>
        <v>0</v>
      </c>
      <c r="P46" s="167" t="n">
        <f aca="false">P45*$B$34</f>
        <v>0</v>
      </c>
      <c r="Q46" s="167" t="n">
        <f aca="false">Q45*$B$34</f>
        <v>0</v>
      </c>
      <c r="R46" s="167" t="n">
        <f aca="false">R45*$B$34</f>
        <v>0</v>
      </c>
      <c r="S46" s="167" t="n">
        <f aca="false">S45*$B$34</f>
        <v>0</v>
      </c>
      <c r="T46" s="167" t="n">
        <f aca="false">T45*$B$34</f>
        <v>0</v>
      </c>
      <c r="U46" s="167" t="n">
        <f aca="false">U45*$B$34</f>
        <v>0</v>
      </c>
      <c r="V46" s="2"/>
      <c r="W46" s="191"/>
      <c r="X46" s="191"/>
    </row>
    <row r="47" customFormat="false" ht="12.75" hidden="false" customHeight="true" outlineLevel="0" collapsed="false">
      <c r="A47" s="190" t="s">
        <v>124</v>
      </c>
      <c r="B47" s="192" t="n">
        <f aca="false">B44*$J$89*(B43-B36)/365.25</f>
        <v>6176.92093489938</v>
      </c>
      <c r="C47" s="192" t="n">
        <f aca="false">C44*$J$89*(C43-C36)/365.25</f>
        <v>5760.83579249282</v>
      </c>
      <c r="D47" s="192" t="n">
        <f aca="false">D44*$J$89*(D43-D36)/365.25</f>
        <v>5287.40354010678</v>
      </c>
      <c r="E47" s="192" t="n">
        <f aca="false">E44*$J$89*(E43-E36)/365.25</f>
        <v>4743.24318541273</v>
      </c>
      <c r="F47" s="192" t="n">
        <f aca="false">F44*$J$89*(F43-F36)/365.25</f>
        <v>4113.69935586037</v>
      </c>
      <c r="G47" s="192" t="n">
        <f aca="false">G44*$J$89*(G43-G36)/365.25</f>
        <v>3430.63155699384</v>
      </c>
      <c r="H47" s="192" t="n">
        <f aca="false">H44*$J$89*(H43-H36)/365.25</f>
        <v>2727.81086468994</v>
      </c>
      <c r="I47" s="192" t="n">
        <f aca="false">I44*$J$89*(I43-I36)/365.25</f>
        <v>1997.59099761807</v>
      </c>
      <c r="J47" s="192" t="n">
        <f aca="false">J44*$J$89*(J43-J36)/365.25</f>
        <v>1231.05129422587</v>
      </c>
      <c r="K47" s="192" t="n">
        <f aca="false">K44*$J$89*(K43-K36)/365.25</f>
        <v>418.633902850105</v>
      </c>
      <c r="L47" s="192" t="n">
        <f aca="false">L44*$J$89*(L43-L36)/365.25</f>
        <v>1.81435789048549E-012</v>
      </c>
      <c r="M47" s="192" t="n">
        <f aca="false">M44*$J$89*(M43-M36)/365.25</f>
        <v>1.81435789048549E-012</v>
      </c>
      <c r="N47" s="192" t="n">
        <f aca="false">N44*$J$89*(N43-N36)/365.25</f>
        <v>1.81435789048549E-012</v>
      </c>
      <c r="O47" s="192" t="n">
        <f aca="false">O44*$J$89*(O43-O36)/365.25</f>
        <v>1.81435789048549E-012</v>
      </c>
      <c r="P47" s="192" t="n">
        <f aca="false">P44*$J$89*(P43-P36)/365.25</f>
        <v>1.81435789048549E-012</v>
      </c>
      <c r="Q47" s="192" t="n">
        <f aca="false">Q44*$J$89*(Q43-Q36)/365.25</f>
        <v>1.81435789048549E-012</v>
      </c>
      <c r="R47" s="192" t="n">
        <f aca="false">R44*$J$89*(R43-R36)/365.25</f>
        <v>1.81435789048549E-012</v>
      </c>
      <c r="S47" s="192" t="n">
        <f aca="false">S44*$J$89*(S43-S36)/365.25</f>
        <v>1.81435789048549E-012</v>
      </c>
      <c r="T47" s="192" t="n">
        <f aca="false">T44*$J$89*(T43-T36)/365.25</f>
        <v>1.81435789048549E-012</v>
      </c>
      <c r="U47" s="192" t="n">
        <f aca="false">U44*$J$89*(U43-U36)/365.25</f>
        <v>1.81435789048549E-012</v>
      </c>
      <c r="V47" s="2"/>
      <c r="W47" s="191"/>
      <c r="X47" s="191"/>
    </row>
    <row r="48" customFormat="false" ht="12.75" hidden="false" customHeight="true" outlineLevel="0" collapsed="false">
      <c r="A48" s="190" t="s">
        <v>125</v>
      </c>
      <c r="B48" s="167" t="n">
        <f aca="false">B44-B46</f>
        <v>107949.7956</v>
      </c>
      <c r="C48" s="167" t="n">
        <f aca="false">C44-C46</f>
        <v>99969.6978</v>
      </c>
      <c r="D48" s="167" t="n">
        <f aca="false">D44-D46</f>
        <v>90862.7274</v>
      </c>
      <c r="E48" s="167" t="n">
        <f aca="false">E44-E46</f>
        <v>80329.9182</v>
      </c>
      <c r="F48" s="167" t="n">
        <f aca="false">F44-F46</f>
        <v>68141.2962</v>
      </c>
      <c r="G48" s="167" t="n">
        <f aca="false">G44-G46</f>
        <v>55676.7054</v>
      </c>
      <c r="H48" s="167" t="n">
        <f aca="false">H44-H46</f>
        <v>42775.164</v>
      </c>
      <c r="I48" s="167" t="n">
        <f aca="false">I44-I46</f>
        <v>29321.685</v>
      </c>
      <c r="J48" s="167" t="n">
        <f aca="false">J44-J46</f>
        <v>15109.2918</v>
      </c>
      <c r="K48" s="167" t="n">
        <f aca="false">K44-K46</f>
        <v>3.27418092638254E-011</v>
      </c>
      <c r="L48" s="167" t="n">
        <f aca="false">L44-L46</f>
        <v>3.27418092638254E-011</v>
      </c>
      <c r="M48" s="167" t="n">
        <f aca="false">M44-M46</f>
        <v>3.27418092638254E-011</v>
      </c>
      <c r="N48" s="167" t="n">
        <f aca="false">N44-N46</f>
        <v>3.27418092638254E-011</v>
      </c>
      <c r="O48" s="167" t="n">
        <f aca="false">O44-O46</f>
        <v>3.27418092638254E-011</v>
      </c>
      <c r="P48" s="167" t="n">
        <f aca="false">P44-P46</f>
        <v>3.27418092638254E-011</v>
      </c>
      <c r="Q48" s="167" t="n">
        <f aca="false">Q44-Q46</f>
        <v>3.27418092638254E-011</v>
      </c>
      <c r="R48" s="167" t="n">
        <f aca="false">R44-R46</f>
        <v>3.27418092638254E-011</v>
      </c>
      <c r="S48" s="167" t="n">
        <f aca="false">S44-S46</f>
        <v>3.27418092638254E-011</v>
      </c>
      <c r="T48" s="167" t="n">
        <f aca="false">T44-T46</f>
        <v>3.27418092638254E-011</v>
      </c>
      <c r="U48" s="167" t="n">
        <f aca="false">U44-U46</f>
        <v>3.27418092638254E-011</v>
      </c>
      <c r="V48" s="2"/>
      <c r="W48" s="191"/>
      <c r="X48" s="191"/>
    </row>
    <row r="49" customFormat="false" ht="12.75" hidden="false" customHeight="true" outlineLevel="0" collapsed="false">
      <c r="A49" s="190"/>
      <c r="B49" s="195"/>
      <c r="C49" s="195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  <c r="R49" s="195"/>
      <c r="S49" s="195"/>
      <c r="T49" s="195"/>
      <c r="U49" s="195"/>
      <c r="V49" s="2"/>
      <c r="W49" s="191"/>
      <c r="X49" s="191"/>
    </row>
    <row r="50" customFormat="false" ht="12.75" hidden="false" customHeight="true" outlineLevel="0" collapsed="false">
      <c r="A50" s="187" t="s">
        <v>14</v>
      </c>
      <c r="B50" s="4"/>
      <c r="C50" s="186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2"/>
      <c r="W50" s="191"/>
      <c r="X50" s="191"/>
    </row>
    <row r="51" customFormat="false" ht="12.75" hidden="false" customHeight="true" outlineLevel="0" collapsed="false">
      <c r="A51" s="2"/>
      <c r="B51" s="188" t="n">
        <f aca="false">'Summary Output'!$C$14</f>
        <v>36892</v>
      </c>
      <c r="C51" s="188" t="n">
        <v>37257</v>
      </c>
      <c r="D51" s="188" t="n">
        <v>37622</v>
      </c>
      <c r="E51" s="188" t="n">
        <v>37987</v>
      </c>
      <c r="F51" s="188" t="n">
        <v>38353</v>
      </c>
      <c r="G51" s="188" t="n">
        <v>38718</v>
      </c>
      <c r="H51" s="188" t="n">
        <v>39083</v>
      </c>
      <c r="I51" s="188" t="n">
        <v>39448</v>
      </c>
      <c r="J51" s="188" t="n">
        <v>39814</v>
      </c>
      <c r="K51" s="188" t="n">
        <v>40179</v>
      </c>
      <c r="L51" s="188" t="n">
        <v>40544</v>
      </c>
      <c r="M51" s="188" t="n">
        <v>40909</v>
      </c>
      <c r="N51" s="188" t="n">
        <v>41275</v>
      </c>
      <c r="O51" s="188" t="n">
        <v>41640</v>
      </c>
      <c r="P51" s="188" t="n">
        <v>42005</v>
      </c>
      <c r="Q51" s="188" t="n">
        <v>42370</v>
      </c>
      <c r="R51" s="188" t="n">
        <v>42736</v>
      </c>
      <c r="S51" s="188" t="n">
        <v>43101</v>
      </c>
      <c r="T51" s="188" t="n">
        <v>43466</v>
      </c>
      <c r="U51" s="188" t="n">
        <v>43831</v>
      </c>
      <c r="V51" s="2"/>
      <c r="W51" s="191"/>
      <c r="X51" s="191"/>
    </row>
    <row r="52" customFormat="false" ht="12.75" hidden="false" customHeight="true" outlineLevel="0" collapsed="false">
      <c r="A52" s="190" t="s">
        <v>123</v>
      </c>
      <c r="B52" s="167" t="n">
        <v>0</v>
      </c>
      <c r="C52" s="167" t="n">
        <f aca="false">B68</f>
        <v>240367</v>
      </c>
      <c r="D52" s="167" t="n">
        <f aca="false">C68</f>
        <v>240367</v>
      </c>
      <c r="E52" s="167" t="n">
        <f aca="false">D68</f>
        <v>240367</v>
      </c>
      <c r="F52" s="167" t="n">
        <f aca="false">E68</f>
        <v>240367</v>
      </c>
      <c r="G52" s="167" t="n">
        <f aca="false">F68</f>
        <v>240367</v>
      </c>
      <c r="H52" s="167" t="n">
        <f aca="false">G68</f>
        <v>240367</v>
      </c>
      <c r="I52" s="167" t="n">
        <f aca="false">H68</f>
        <v>240367</v>
      </c>
      <c r="J52" s="167" t="n">
        <f aca="false">I68</f>
        <v>240367</v>
      </c>
      <c r="K52" s="167" t="n">
        <f aca="false">J68</f>
        <v>240367</v>
      </c>
      <c r="L52" s="167" t="n">
        <f aca="false">K68</f>
        <v>240367</v>
      </c>
      <c r="M52" s="167" t="n">
        <f aca="false">L68</f>
        <v>224262.411</v>
      </c>
      <c r="N52" s="167" t="n">
        <f aca="false">M68</f>
        <v>206955.987</v>
      </c>
      <c r="O52" s="167" t="n">
        <f aca="false">N68</f>
        <v>188303.5078</v>
      </c>
      <c r="P52" s="167" t="n">
        <f aca="false">O68</f>
        <v>168064.6064</v>
      </c>
      <c r="Q52" s="167" t="n">
        <f aca="false">P68</f>
        <v>146095.0626</v>
      </c>
      <c r="R52" s="167" t="n">
        <f aca="false">Q68</f>
        <v>122010.2892</v>
      </c>
      <c r="S52" s="167" t="n">
        <f aca="false">R68</f>
        <v>95666.0660000001</v>
      </c>
      <c r="T52" s="167" t="n">
        <f aca="false">S68</f>
        <v>66773.9526000001</v>
      </c>
      <c r="U52" s="167" t="n">
        <f aca="false">T68</f>
        <v>34997.4352</v>
      </c>
      <c r="V52" s="2"/>
      <c r="W52" s="191"/>
      <c r="X52" s="191"/>
    </row>
    <row r="53" customFormat="false" ht="12.75" hidden="false" customHeight="true" outlineLevel="0" collapsed="false">
      <c r="A53" s="199" t="s">
        <v>124</v>
      </c>
      <c r="B53" s="192" t="n">
        <v>0</v>
      </c>
      <c r="C53" s="192" t="n">
        <f aca="false">C52*$O$89*(C51-B63)/365.25</f>
        <v>73.7059657768652</v>
      </c>
      <c r="D53" s="192" t="n">
        <f aca="false">D52*$O$89*(D51-C63)/365.25</f>
        <v>73.7059657768652</v>
      </c>
      <c r="E53" s="192" t="n">
        <f aca="false">E52*$O$89*(E51-D63)/365.25</f>
        <v>73.7059657768652</v>
      </c>
      <c r="F53" s="192" t="n">
        <f aca="false">F52*$O$89*(F51-E63)/365.25</f>
        <v>73.7059657768652</v>
      </c>
      <c r="G53" s="192" t="n">
        <f aca="false">G52*$O$89*(G51-F63)/365.25</f>
        <v>73.7059657768652</v>
      </c>
      <c r="H53" s="192" t="n">
        <f aca="false">H52*$O$89*(H51-G63)/365.25</f>
        <v>73.7059657768652</v>
      </c>
      <c r="I53" s="192" t="n">
        <f aca="false">I52*$O$89*(I51-H63)/365.25</f>
        <v>73.7059657768652</v>
      </c>
      <c r="J53" s="192" t="n">
        <f aca="false">J52*$O$89*(J51-I63)/365.25</f>
        <v>73.7059657768652</v>
      </c>
      <c r="K53" s="192" t="n">
        <f aca="false">K52*$O$89*(K51-J63)/365.25</f>
        <v>73.7059657768652</v>
      </c>
      <c r="L53" s="192" t="n">
        <f aca="false">L52*$O$89*(L51-K63)/365.25</f>
        <v>73.7059657768652</v>
      </c>
      <c r="M53" s="192" t="n">
        <f aca="false">M52*$O$89*(M51-L63)/365.25</f>
        <v>68.7676660698152</v>
      </c>
      <c r="N53" s="192" t="n">
        <f aca="false">N52*$O$89*(N51-M63)/365.25</f>
        <v>63.4608365338809</v>
      </c>
      <c r="O53" s="192" t="n">
        <f aca="false">O52*$O$89*(O51-N63)/365.25</f>
        <v>57.7412535895962</v>
      </c>
      <c r="P53" s="192" t="n">
        <f aca="false">P52*$O$89*(P51-O63)/365.25</f>
        <v>51.5352112711841</v>
      </c>
      <c r="Q53" s="192" t="n">
        <f aca="false">Q52*$O$89*(Q51-P63)/365.25</f>
        <v>44.7984859991787</v>
      </c>
      <c r="R53" s="192" t="n">
        <f aca="false">R52*$O$89*(R51-Q63)/365.25</f>
        <v>37.4131482283368</v>
      </c>
      <c r="S53" s="192" t="n">
        <f aca="false">S52*$O$89*(S51-R63)/365.25</f>
        <v>29.3349743791924</v>
      </c>
      <c r="T53" s="192" t="n">
        <f aca="false">T52*$O$89*(T51-S63)/365.25</f>
        <v>20.4755172928132</v>
      </c>
      <c r="U53" s="192" t="n">
        <f aca="false">U52*$O$89*(U51-T63)/365.25</f>
        <v>10.7315886171116</v>
      </c>
      <c r="V53" s="2"/>
      <c r="W53" s="191"/>
      <c r="X53" s="191"/>
    </row>
    <row r="54" customFormat="false" ht="12.75" hidden="false" customHeight="true" outlineLevel="0" collapsed="false">
      <c r="A54" s="199" t="s">
        <v>125</v>
      </c>
      <c r="B54" s="155" t="n">
        <f aca="false">'Summary Output'!D15</f>
        <v>240367</v>
      </c>
      <c r="C54" s="167" t="n">
        <f aca="false">C52</f>
        <v>240367</v>
      </c>
      <c r="D54" s="167" t="n">
        <f aca="false">D52</f>
        <v>240367</v>
      </c>
      <c r="E54" s="167" t="n">
        <f aca="false">E52</f>
        <v>240367</v>
      </c>
      <c r="F54" s="167" t="n">
        <f aca="false">F52</f>
        <v>240367</v>
      </c>
      <c r="G54" s="167" t="n">
        <f aca="false">G52</f>
        <v>240367</v>
      </c>
      <c r="H54" s="167" t="n">
        <f aca="false">H52</f>
        <v>240367</v>
      </c>
      <c r="I54" s="167" t="n">
        <f aca="false">I52</f>
        <v>240367</v>
      </c>
      <c r="J54" s="167" t="n">
        <f aca="false">J52</f>
        <v>240367</v>
      </c>
      <c r="K54" s="167" t="n">
        <f aca="false">K52</f>
        <v>240367</v>
      </c>
      <c r="L54" s="167" t="n">
        <f aca="false">L52</f>
        <v>240367</v>
      </c>
      <c r="M54" s="167" t="n">
        <f aca="false">M52</f>
        <v>224262.411</v>
      </c>
      <c r="N54" s="167" t="n">
        <f aca="false">N52</f>
        <v>206955.987</v>
      </c>
      <c r="O54" s="167" t="n">
        <f aca="false">O52</f>
        <v>188303.5078</v>
      </c>
      <c r="P54" s="167" t="n">
        <f aca="false">P52</f>
        <v>168064.6064</v>
      </c>
      <c r="Q54" s="167" t="n">
        <f aca="false">Q52</f>
        <v>146095.0626</v>
      </c>
      <c r="R54" s="167" t="n">
        <f aca="false">R52</f>
        <v>122010.2892</v>
      </c>
      <c r="S54" s="167" t="n">
        <f aca="false">S52</f>
        <v>95666.0660000001</v>
      </c>
      <c r="T54" s="167" t="n">
        <f aca="false">T52</f>
        <v>66773.9526000001</v>
      </c>
      <c r="U54" s="167" t="n">
        <f aca="false">U52</f>
        <v>34997.4352</v>
      </c>
      <c r="V54" s="2"/>
      <c r="W54" s="193" t="n">
        <f aca="false">SUM(B59:U59,B66:U66)</f>
        <v>240367</v>
      </c>
      <c r="X54" s="194" t="n">
        <f aca="false">B54-W54</f>
        <v>0</v>
      </c>
    </row>
    <row r="55" customFormat="false" ht="12.75" hidden="false" customHeight="true" outlineLevel="0" collapsed="false">
      <c r="A55" s="2"/>
      <c r="B55" s="195"/>
      <c r="C55" s="186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2"/>
      <c r="W55" s="191"/>
      <c r="X55" s="191"/>
    </row>
    <row r="56" customFormat="false" ht="12.75" hidden="false" customHeight="true" outlineLevel="0" collapsed="false">
      <c r="A56" s="186"/>
      <c r="B56" s="188" t="n">
        <v>37072</v>
      </c>
      <c r="C56" s="188" t="n">
        <v>37437</v>
      </c>
      <c r="D56" s="188" t="n">
        <v>37802</v>
      </c>
      <c r="E56" s="188" t="n">
        <v>38168</v>
      </c>
      <c r="F56" s="188" t="n">
        <v>38533</v>
      </c>
      <c r="G56" s="188" t="n">
        <v>38898</v>
      </c>
      <c r="H56" s="188" t="n">
        <v>39263</v>
      </c>
      <c r="I56" s="188" t="n">
        <v>39629</v>
      </c>
      <c r="J56" s="188" t="n">
        <v>39994</v>
      </c>
      <c r="K56" s="188" t="n">
        <v>40359</v>
      </c>
      <c r="L56" s="188" t="n">
        <v>40724</v>
      </c>
      <c r="M56" s="188" t="n">
        <v>41090</v>
      </c>
      <c r="N56" s="188" t="n">
        <v>41455</v>
      </c>
      <c r="O56" s="188" t="n">
        <v>41820</v>
      </c>
      <c r="P56" s="188" t="n">
        <v>42185</v>
      </c>
      <c r="Q56" s="188" t="n">
        <v>42551</v>
      </c>
      <c r="R56" s="188" t="n">
        <v>42916</v>
      </c>
      <c r="S56" s="188" t="n">
        <v>43281</v>
      </c>
      <c r="T56" s="188" t="n">
        <v>43646</v>
      </c>
      <c r="U56" s="188" t="n">
        <v>44012</v>
      </c>
      <c r="V56" s="2"/>
      <c r="W56" s="191"/>
      <c r="X56" s="191"/>
    </row>
    <row r="57" customFormat="false" ht="12.75" hidden="false" customHeight="true" outlineLevel="0" collapsed="false">
      <c r="A57" s="199" t="s">
        <v>123</v>
      </c>
      <c r="B57" s="167" t="n">
        <f aca="false">B54</f>
        <v>240367</v>
      </c>
      <c r="C57" s="167" t="n">
        <f aca="false">C54</f>
        <v>240367</v>
      </c>
      <c r="D57" s="167" t="n">
        <f aca="false">D54</f>
        <v>240367</v>
      </c>
      <c r="E57" s="167" t="n">
        <f aca="false">E54</f>
        <v>240367</v>
      </c>
      <c r="F57" s="167" t="n">
        <f aca="false">F54</f>
        <v>240367</v>
      </c>
      <c r="G57" s="167" t="n">
        <f aca="false">G54</f>
        <v>240367</v>
      </c>
      <c r="H57" s="167" t="n">
        <f aca="false">H54</f>
        <v>240367</v>
      </c>
      <c r="I57" s="167" t="n">
        <f aca="false">I54</f>
        <v>240367</v>
      </c>
      <c r="J57" s="167" t="n">
        <f aca="false">J54</f>
        <v>240367</v>
      </c>
      <c r="K57" s="167" t="n">
        <f aca="false">K54</f>
        <v>240367</v>
      </c>
      <c r="L57" s="167" t="n">
        <f aca="false">L54</f>
        <v>240367</v>
      </c>
      <c r="M57" s="167" t="n">
        <f aca="false">M54</f>
        <v>224262.411</v>
      </c>
      <c r="N57" s="167" t="n">
        <f aca="false">N54</f>
        <v>206955.987</v>
      </c>
      <c r="O57" s="167" t="n">
        <f aca="false">O54</f>
        <v>188303.5078</v>
      </c>
      <c r="P57" s="167" t="n">
        <f aca="false">P54</f>
        <v>168064.6064</v>
      </c>
      <c r="Q57" s="167" t="n">
        <f aca="false">Q54</f>
        <v>146095.0626</v>
      </c>
      <c r="R57" s="167" t="n">
        <f aca="false">R54</f>
        <v>122010.2892</v>
      </c>
      <c r="S57" s="167" t="n">
        <f aca="false">S54</f>
        <v>95666.0660000001</v>
      </c>
      <c r="T57" s="167" t="n">
        <f aca="false">T54</f>
        <v>66773.9526000001</v>
      </c>
      <c r="U57" s="167" t="n">
        <f aca="false">U54</f>
        <v>34997.4352</v>
      </c>
      <c r="V57" s="2"/>
      <c r="W57" s="191"/>
      <c r="X57" s="191"/>
    </row>
    <row r="58" customFormat="false" ht="12.75" hidden="false" customHeight="true" outlineLevel="0" collapsed="false">
      <c r="A58" s="190" t="s">
        <v>126</v>
      </c>
      <c r="B58" s="196" t="n">
        <v>0</v>
      </c>
      <c r="C58" s="196" t="n">
        <v>0</v>
      </c>
      <c r="D58" s="196" t="n">
        <v>0</v>
      </c>
      <c r="E58" s="196" t="n">
        <v>0</v>
      </c>
      <c r="F58" s="196" t="n">
        <v>0</v>
      </c>
      <c r="G58" s="196" t="n">
        <v>0</v>
      </c>
      <c r="H58" s="196" t="n">
        <v>0</v>
      </c>
      <c r="I58" s="196" t="n">
        <v>0</v>
      </c>
      <c r="J58" s="196" t="n">
        <v>0</v>
      </c>
      <c r="K58" s="196" t="n">
        <v>0</v>
      </c>
      <c r="L58" s="196" t="n">
        <v>0.0335</v>
      </c>
      <c r="M58" s="196" t="n">
        <v>0.036</v>
      </c>
      <c r="N58" s="196" t="n">
        <v>0.0388</v>
      </c>
      <c r="O58" s="196" t="n">
        <v>0.0421</v>
      </c>
      <c r="P58" s="196" t="n">
        <v>0.0457</v>
      </c>
      <c r="Q58" s="196" t="n">
        <v>0.0501</v>
      </c>
      <c r="R58" s="196" t="n">
        <v>0.0548</v>
      </c>
      <c r="S58" s="196" t="n">
        <v>0.0601</v>
      </c>
      <c r="T58" s="196" t="n">
        <v>0.0661</v>
      </c>
      <c r="U58" s="196" t="n">
        <v>0.0728</v>
      </c>
      <c r="V58" s="2"/>
      <c r="W58" s="191"/>
      <c r="X58" s="191"/>
    </row>
    <row r="59" customFormat="false" ht="12.75" hidden="false" customHeight="true" outlineLevel="0" collapsed="false">
      <c r="A59" s="199" t="s">
        <v>127</v>
      </c>
      <c r="B59" s="167" t="n">
        <f aca="false">$B$54*B58</f>
        <v>0</v>
      </c>
      <c r="C59" s="167" t="n">
        <f aca="false">$B$54*C58</f>
        <v>0</v>
      </c>
      <c r="D59" s="167" t="n">
        <f aca="false">$B$54*D58</f>
        <v>0</v>
      </c>
      <c r="E59" s="167" t="n">
        <f aca="false">$B$54*E58</f>
        <v>0</v>
      </c>
      <c r="F59" s="167" t="n">
        <f aca="false">$B$54*F58</f>
        <v>0</v>
      </c>
      <c r="G59" s="167" t="n">
        <f aca="false">$B$54*G58</f>
        <v>0</v>
      </c>
      <c r="H59" s="167" t="n">
        <f aca="false">$B$54*H58</f>
        <v>0</v>
      </c>
      <c r="I59" s="167" t="n">
        <f aca="false">$B$54*I58</f>
        <v>0</v>
      </c>
      <c r="J59" s="167" t="n">
        <f aca="false">$B$54*J58</f>
        <v>0</v>
      </c>
      <c r="K59" s="167" t="n">
        <f aca="false">$B$54*K58</f>
        <v>0</v>
      </c>
      <c r="L59" s="167" t="n">
        <f aca="false">$B$54*L58</f>
        <v>8052.2945</v>
      </c>
      <c r="M59" s="167" t="n">
        <f aca="false">$B$54*M58</f>
        <v>8653.212</v>
      </c>
      <c r="N59" s="167" t="n">
        <f aca="false">$B$54*N58</f>
        <v>9326.2396</v>
      </c>
      <c r="O59" s="167" t="n">
        <f aca="false">$B$54*O58</f>
        <v>10119.4507</v>
      </c>
      <c r="P59" s="167" t="n">
        <f aca="false">$B$54*P58</f>
        <v>10984.7719</v>
      </c>
      <c r="Q59" s="167" t="n">
        <f aca="false">$B$54*Q58</f>
        <v>12042.3867</v>
      </c>
      <c r="R59" s="167" t="n">
        <f aca="false">$B$54*R58</f>
        <v>13172.1116</v>
      </c>
      <c r="S59" s="167" t="n">
        <f aca="false">$B$54*S58</f>
        <v>14446.0567</v>
      </c>
      <c r="T59" s="167" t="n">
        <f aca="false">$B$54*T58</f>
        <v>15888.2587</v>
      </c>
      <c r="U59" s="167" t="n">
        <f aca="false">$B$54*U58</f>
        <v>17498.7176</v>
      </c>
      <c r="V59" s="2"/>
      <c r="W59" s="200"/>
      <c r="X59" s="200"/>
    </row>
    <row r="60" customFormat="false" ht="12.75" hidden="false" customHeight="true" outlineLevel="0" collapsed="false">
      <c r="A60" s="190" t="s">
        <v>124</v>
      </c>
      <c r="B60" s="192" t="n">
        <f aca="false">B57*$O$89*(B56-B51)/365.25</f>
        <v>13267.0738398357</v>
      </c>
      <c r="C60" s="192" t="n">
        <f aca="false">C57*$O$89*(C56-C51)/365.25</f>
        <v>13267.0738398357</v>
      </c>
      <c r="D60" s="192" t="n">
        <f aca="false">D57*$O$89*(D56-D51)/365.25</f>
        <v>13267.0738398357</v>
      </c>
      <c r="E60" s="192" t="n">
        <f aca="false">E57*$O$89*(E56-E51)/365.25</f>
        <v>13340.7798056126</v>
      </c>
      <c r="F60" s="192" t="n">
        <f aca="false">F57*$O$89*(F56-F51)/365.25</f>
        <v>13267.0738398357</v>
      </c>
      <c r="G60" s="192" t="n">
        <f aca="false">G57*$O$89*(G56-G51)/365.25</f>
        <v>13267.0738398357</v>
      </c>
      <c r="H60" s="192" t="n">
        <f aca="false">H57*$O$89*(H56-H51)/365.25</f>
        <v>13267.0738398357</v>
      </c>
      <c r="I60" s="192" t="n">
        <f aca="false">I57*$O$89*(I56-I51)/365.25</f>
        <v>13340.7798056126</v>
      </c>
      <c r="J60" s="192" t="n">
        <f aca="false">J57*$O$89*(J56-J51)/365.25</f>
        <v>13267.0738398357</v>
      </c>
      <c r="K60" s="192" t="n">
        <f aca="false">K57*$O$89*(K56-K51)/365.25</f>
        <v>13267.0738398357</v>
      </c>
      <c r="L60" s="192" t="n">
        <f aca="false">L57*$O$89*(L56-L51)/365.25</f>
        <v>13267.0738398357</v>
      </c>
      <c r="M60" s="192" t="n">
        <f aca="false">M57*$O$89*(M56-M51)/365.25</f>
        <v>12446.9475586366</v>
      </c>
      <c r="N60" s="192" t="n">
        <f aca="false">N57*$O$89*(N56-N51)/365.25</f>
        <v>11422.9505760986</v>
      </c>
      <c r="O60" s="192" t="n">
        <f aca="false">O57*$O$89*(O56-O51)/365.25</f>
        <v>10393.4256461273</v>
      </c>
      <c r="P60" s="192" t="n">
        <f aca="false">P57*$O$89*(P56-P51)/365.25</f>
        <v>9276.33802881315</v>
      </c>
      <c r="Q60" s="192" t="n">
        <f aca="false">Q57*$O$89*(Q56-Q51)/365.25</f>
        <v>8108.52596585134</v>
      </c>
      <c r="R60" s="192" t="n">
        <f aca="false">R57*$O$89*(R56-R51)/365.25</f>
        <v>6734.36668110062</v>
      </c>
      <c r="S60" s="192" t="n">
        <f aca="false">S57*$O$89*(S56-S51)/365.25</f>
        <v>5280.29538825462</v>
      </c>
      <c r="T60" s="192" t="n">
        <f aca="false">T57*$O$89*(T56-T51)/365.25</f>
        <v>3685.59311270637</v>
      </c>
      <c r="U60" s="192" t="n">
        <f aca="false">U57*$O$89*(U56-U51)/365.25</f>
        <v>1942.4175396972</v>
      </c>
      <c r="V60" s="2"/>
      <c r="W60" s="200"/>
      <c r="X60" s="200"/>
    </row>
    <row r="61" customFormat="false" ht="12.75" hidden="false" customHeight="true" outlineLevel="0" collapsed="false">
      <c r="A61" s="190" t="s">
        <v>125</v>
      </c>
      <c r="B61" s="167" t="n">
        <f aca="false">B57-B59</f>
        <v>240367</v>
      </c>
      <c r="C61" s="167" t="n">
        <f aca="false">C57-C59</f>
        <v>240367</v>
      </c>
      <c r="D61" s="167" t="n">
        <f aca="false">D57-D59</f>
        <v>240367</v>
      </c>
      <c r="E61" s="167" t="n">
        <f aca="false">E57-E59</f>
        <v>240367</v>
      </c>
      <c r="F61" s="167" t="n">
        <f aca="false">F57-F59</f>
        <v>240367</v>
      </c>
      <c r="G61" s="167" t="n">
        <f aca="false">G57-G59</f>
        <v>240367</v>
      </c>
      <c r="H61" s="167" t="n">
        <f aca="false">H57-H59</f>
        <v>240367</v>
      </c>
      <c r="I61" s="167" t="n">
        <f aca="false">I57-I59</f>
        <v>240367</v>
      </c>
      <c r="J61" s="167" t="n">
        <f aca="false">J57-J59</f>
        <v>240367</v>
      </c>
      <c r="K61" s="167" t="n">
        <f aca="false">K57-K59</f>
        <v>240367</v>
      </c>
      <c r="L61" s="167" t="n">
        <f aca="false">L57-L59</f>
        <v>232314.7055</v>
      </c>
      <c r="M61" s="167" t="n">
        <f aca="false">M57-M59</f>
        <v>215609.199</v>
      </c>
      <c r="N61" s="167" t="n">
        <f aca="false">N57-N59</f>
        <v>197629.7474</v>
      </c>
      <c r="O61" s="167" t="n">
        <f aca="false">O57-O59</f>
        <v>178184.0571</v>
      </c>
      <c r="P61" s="167" t="n">
        <f aca="false">P57-P59</f>
        <v>157079.8345</v>
      </c>
      <c r="Q61" s="167" t="n">
        <f aca="false">Q57-Q59</f>
        <v>134052.6759</v>
      </c>
      <c r="R61" s="167" t="n">
        <f aca="false">R57-R59</f>
        <v>108838.1776</v>
      </c>
      <c r="S61" s="167" t="n">
        <f aca="false">S57-S59</f>
        <v>81220.0093000001</v>
      </c>
      <c r="T61" s="167" t="n">
        <f aca="false">T57-T59</f>
        <v>50885.6939</v>
      </c>
      <c r="U61" s="167" t="n">
        <f aca="false">U57-U59</f>
        <v>17498.7176</v>
      </c>
      <c r="V61" s="2"/>
      <c r="W61" s="200"/>
      <c r="X61" s="200"/>
    </row>
    <row r="62" customFormat="false" ht="12.75" hidden="false" customHeight="true" outlineLevel="0" collapsed="false">
      <c r="A62" s="190"/>
      <c r="B62" s="198"/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2"/>
      <c r="W62" s="200"/>
      <c r="X62" s="200"/>
    </row>
    <row r="63" customFormat="false" ht="12.75" hidden="false" customHeight="true" outlineLevel="0" collapsed="false">
      <c r="A63" s="163"/>
      <c r="B63" s="188" t="n">
        <v>37256</v>
      </c>
      <c r="C63" s="188" t="n">
        <v>37621</v>
      </c>
      <c r="D63" s="188" t="n">
        <v>37986</v>
      </c>
      <c r="E63" s="188" t="n">
        <v>38352</v>
      </c>
      <c r="F63" s="188" t="n">
        <v>38717</v>
      </c>
      <c r="G63" s="188" t="n">
        <v>39082</v>
      </c>
      <c r="H63" s="188" t="n">
        <v>39447</v>
      </c>
      <c r="I63" s="188" t="n">
        <v>39813</v>
      </c>
      <c r="J63" s="188" t="n">
        <v>40178</v>
      </c>
      <c r="K63" s="188" t="n">
        <v>40543</v>
      </c>
      <c r="L63" s="188" t="n">
        <v>40908</v>
      </c>
      <c r="M63" s="188" t="n">
        <v>41274</v>
      </c>
      <c r="N63" s="188" t="n">
        <v>41639</v>
      </c>
      <c r="O63" s="188" t="n">
        <v>42004</v>
      </c>
      <c r="P63" s="188" t="n">
        <v>42369</v>
      </c>
      <c r="Q63" s="188" t="n">
        <v>42735</v>
      </c>
      <c r="R63" s="188" t="n">
        <v>43100</v>
      </c>
      <c r="S63" s="188" t="n">
        <v>43465</v>
      </c>
      <c r="T63" s="188" t="n">
        <v>43830</v>
      </c>
      <c r="U63" s="188" t="n">
        <v>44196</v>
      </c>
      <c r="V63" s="2"/>
      <c r="W63" s="200"/>
      <c r="X63" s="200"/>
    </row>
    <row r="64" customFormat="false" ht="12.75" hidden="false" customHeight="true" outlineLevel="0" collapsed="false">
      <c r="A64" s="190" t="s">
        <v>123</v>
      </c>
      <c r="B64" s="167" t="n">
        <f aca="false">B61</f>
        <v>240367</v>
      </c>
      <c r="C64" s="167" t="n">
        <f aca="false">C61</f>
        <v>240367</v>
      </c>
      <c r="D64" s="167" t="n">
        <f aca="false">D61</f>
        <v>240367</v>
      </c>
      <c r="E64" s="167" t="n">
        <f aca="false">E61</f>
        <v>240367</v>
      </c>
      <c r="F64" s="167" t="n">
        <f aca="false">F61</f>
        <v>240367</v>
      </c>
      <c r="G64" s="167" t="n">
        <f aca="false">G61</f>
        <v>240367</v>
      </c>
      <c r="H64" s="167" t="n">
        <f aca="false">H61</f>
        <v>240367</v>
      </c>
      <c r="I64" s="167" t="n">
        <f aca="false">I61</f>
        <v>240367</v>
      </c>
      <c r="J64" s="167" t="n">
        <f aca="false">J61</f>
        <v>240367</v>
      </c>
      <c r="K64" s="167" t="n">
        <f aca="false">K61</f>
        <v>240367</v>
      </c>
      <c r="L64" s="167" t="n">
        <f aca="false">L61</f>
        <v>232314.7055</v>
      </c>
      <c r="M64" s="167" t="n">
        <f aca="false">M61</f>
        <v>215609.199</v>
      </c>
      <c r="N64" s="167" t="n">
        <f aca="false">N61</f>
        <v>197629.7474</v>
      </c>
      <c r="O64" s="167" t="n">
        <f aca="false">O61</f>
        <v>178184.0571</v>
      </c>
      <c r="P64" s="167" t="n">
        <f aca="false">P61</f>
        <v>157079.8345</v>
      </c>
      <c r="Q64" s="167" t="n">
        <f aca="false">Q61</f>
        <v>134052.6759</v>
      </c>
      <c r="R64" s="167" t="n">
        <f aca="false">R61</f>
        <v>108838.1776</v>
      </c>
      <c r="S64" s="167" t="n">
        <f aca="false">S61</f>
        <v>81220.0093000001</v>
      </c>
      <c r="T64" s="167" t="n">
        <f aca="false">T61</f>
        <v>50885.6939</v>
      </c>
      <c r="U64" s="167" t="n">
        <f aca="false">U61</f>
        <v>17498.7176</v>
      </c>
      <c r="V64" s="2"/>
      <c r="W64" s="200"/>
      <c r="X64" s="200"/>
    </row>
    <row r="65" customFormat="false" ht="12.75" hidden="false" customHeight="true" outlineLevel="0" collapsed="false">
      <c r="A65" s="190" t="s">
        <v>126</v>
      </c>
      <c r="B65" s="196" t="n">
        <v>0</v>
      </c>
      <c r="C65" s="196" t="n">
        <v>0</v>
      </c>
      <c r="D65" s="196" t="n">
        <v>0</v>
      </c>
      <c r="E65" s="196" t="n">
        <v>0</v>
      </c>
      <c r="F65" s="196" t="n">
        <v>0</v>
      </c>
      <c r="G65" s="196" t="n">
        <v>0</v>
      </c>
      <c r="H65" s="196" t="n">
        <v>0</v>
      </c>
      <c r="I65" s="196" t="n">
        <v>0</v>
      </c>
      <c r="J65" s="196" t="n">
        <v>0</v>
      </c>
      <c r="K65" s="196" t="n">
        <v>0</v>
      </c>
      <c r="L65" s="196" t="n">
        <f aca="false">L58</f>
        <v>0.0335</v>
      </c>
      <c r="M65" s="196" t="n">
        <f aca="false">M58</f>
        <v>0.036</v>
      </c>
      <c r="N65" s="196" t="n">
        <f aca="false">N58</f>
        <v>0.0388</v>
      </c>
      <c r="O65" s="196" t="n">
        <f aca="false">O58</f>
        <v>0.0421</v>
      </c>
      <c r="P65" s="196" t="n">
        <f aca="false">P58</f>
        <v>0.0457</v>
      </c>
      <c r="Q65" s="196" t="n">
        <f aca="false">Q58</f>
        <v>0.0501</v>
      </c>
      <c r="R65" s="196" t="n">
        <f aca="false">R58</f>
        <v>0.0548</v>
      </c>
      <c r="S65" s="196" t="n">
        <f aca="false">S58</f>
        <v>0.0601</v>
      </c>
      <c r="T65" s="196" t="n">
        <f aca="false">T58</f>
        <v>0.0661</v>
      </c>
      <c r="U65" s="196" t="n">
        <f aca="false">U58</f>
        <v>0.0728</v>
      </c>
      <c r="V65" s="2"/>
      <c r="W65" s="191"/>
      <c r="X65" s="191"/>
    </row>
    <row r="66" customFormat="false" ht="12.75" hidden="false" customHeight="true" outlineLevel="0" collapsed="false">
      <c r="A66" s="199" t="s">
        <v>127</v>
      </c>
      <c r="B66" s="167" t="n">
        <f aca="false">B65*$B$54</f>
        <v>0</v>
      </c>
      <c r="C66" s="167" t="n">
        <f aca="false">C65*$B$54</f>
        <v>0</v>
      </c>
      <c r="D66" s="167" t="n">
        <f aca="false">D65*$B$54</f>
        <v>0</v>
      </c>
      <c r="E66" s="167" t="n">
        <f aca="false">E65*$B$54</f>
        <v>0</v>
      </c>
      <c r="F66" s="167" t="n">
        <f aca="false">F65*$B$54</f>
        <v>0</v>
      </c>
      <c r="G66" s="167" t="n">
        <f aca="false">G65*$B$54</f>
        <v>0</v>
      </c>
      <c r="H66" s="167" t="n">
        <f aca="false">H65*$B$54</f>
        <v>0</v>
      </c>
      <c r="I66" s="167" t="n">
        <f aca="false">I65*$B$54</f>
        <v>0</v>
      </c>
      <c r="J66" s="167" t="n">
        <f aca="false">J65*$B$54</f>
        <v>0</v>
      </c>
      <c r="K66" s="167" t="n">
        <f aca="false">K65*$B$54</f>
        <v>0</v>
      </c>
      <c r="L66" s="167" t="n">
        <f aca="false">L65*$B$54</f>
        <v>8052.2945</v>
      </c>
      <c r="M66" s="167" t="n">
        <f aca="false">M65*$B$54</f>
        <v>8653.212</v>
      </c>
      <c r="N66" s="167" t="n">
        <f aca="false">N65*$B$54</f>
        <v>9326.2396</v>
      </c>
      <c r="O66" s="167" t="n">
        <f aca="false">O65*$B$54</f>
        <v>10119.4507</v>
      </c>
      <c r="P66" s="167" t="n">
        <f aca="false">P65*$B$54</f>
        <v>10984.7719</v>
      </c>
      <c r="Q66" s="167" t="n">
        <f aca="false">Q65*$B$54</f>
        <v>12042.3867</v>
      </c>
      <c r="R66" s="167" t="n">
        <f aca="false">R65*$B$54</f>
        <v>13172.1116</v>
      </c>
      <c r="S66" s="167" t="n">
        <f aca="false">S65*$B$54</f>
        <v>14446.0567</v>
      </c>
      <c r="T66" s="167" t="n">
        <f aca="false">T65*$B$54</f>
        <v>15888.2587</v>
      </c>
      <c r="U66" s="167" t="n">
        <f aca="false">U65*$B$54</f>
        <v>17498.7176</v>
      </c>
      <c r="V66" s="2"/>
      <c r="W66" s="200"/>
      <c r="X66" s="200"/>
    </row>
    <row r="67" customFormat="false" ht="12.75" hidden="false" customHeight="true" outlineLevel="0" collapsed="false">
      <c r="A67" s="190" t="s">
        <v>124</v>
      </c>
      <c r="B67" s="192" t="n">
        <f aca="false">B64*$O$89*(B63-B56)/365.25</f>
        <v>13561.8977029432</v>
      </c>
      <c r="C67" s="192" t="n">
        <f aca="false">C64*$O$89*(C63-C56)/365.25</f>
        <v>13561.8977029432</v>
      </c>
      <c r="D67" s="192" t="n">
        <f aca="false">D64*$O$89*(D63-D56)/365.25</f>
        <v>13561.8977029432</v>
      </c>
      <c r="E67" s="192" t="n">
        <f aca="false">E64*$O$89*(E63-E56)/365.25</f>
        <v>13561.8977029432</v>
      </c>
      <c r="F67" s="192" t="n">
        <f aca="false">F64*$O$89*(F63-F56)/365.25</f>
        <v>13561.8977029432</v>
      </c>
      <c r="G67" s="192" t="n">
        <f aca="false">G64*$O$89*(G63-G56)/365.25</f>
        <v>13561.8977029432</v>
      </c>
      <c r="H67" s="192" t="n">
        <f aca="false">H64*$O$89*(H63-H56)/365.25</f>
        <v>13561.8977029432</v>
      </c>
      <c r="I67" s="192" t="n">
        <f aca="false">I64*$O$89*(I63-I56)/365.25</f>
        <v>13561.8977029432</v>
      </c>
      <c r="J67" s="192" t="n">
        <f aca="false">J64*$O$89*(J63-J56)/365.25</f>
        <v>13561.8977029432</v>
      </c>
      <c r="K67" s="192" t="n">
        <f aca="false">K64*$O$89*(K63-K56)/365.25</f>
        <v>13561.8977029432</v>
      </c>
      <c r="L67" s="192" t="n">
        <f aca="false">L64*$O$89*(L63-L56)/365.25</f>
        <v>13107.5741298946</v>
      </c>
      <c r="M67" s="192" t="n">
        <f aca="false">M64*$O$89*(M63-M56)/365.25</f>
        <v>12165.02223954</v>
      </c>
      <c r="N67" s="192" t="n">
        <f aca="false">N64*$O$89*(N63-N56)/365.25</f>
        <v>11150.5922913599</v>
      </c>
      <c r="O67" s="192" t="n">
        <f aca="false">O64*$O$89*(O63-O56)/365.25</f>
        <v>10053.4347671918</v>
      </c>
      <c r="P67" s="192" t="n">
        <f aca="false">P64*$O$89*(P63-P56)/365.25</f>
        <v>8862.70014887338</v>
      </c>
      <c r="Q67" s="192" t="n">
        <f aca="false">Q64*$O$89*(Q63-Q56)/365.25</f>
        <v>7563.47034893142</v>
      </c>
      <c r="R67" s="192" t="n">
        <f aca="false">R64*$O$89*(R63-R56)/365.25</f>
        <v>6140.82727989268</v>
      </c>
      <c r="S67" s="192" t="n">
        <f aca="false">S64*$O$89*(S63-S56)/365.25</f>
        <v>4582.56523382451</v>
      </c>
      <c r="T67" s="192" t="n">
        <f aca="false">T64*$O$89*(T63-T56)/365.25</f>
        <v>2871.05374371308</v>
      </c>
      <c r="U67" s="192" t="n">
        <f aca="false">U64*$O$89*(U63-U56)/365.25</f>
        <v>987.306152774266</v>
      </c>
      <c r="V67" s="2"/>
      <c r="W67" s="200"/>
      <c r="X67" s="200"/>
    </row>
    <row r="68" customFormat="false" ht="12.75" hidden="false" customHeight="true" outlineLevel="0" collapsed="false">
      <c r="A68" s="190" t="s">
        <v>125</v>
      </c>
      <c r="B68" s="167" t="n">
        <f aca="false">B64-B66</f>
        <v>240367</v>
      </c>
      <c r="C68" s="167" t="n">
        <f aca="false">C64-C66</f>
        <v>240367</v>
      </c>
      <c r="D68" s="167" t="n">
        <f aca="false">D64-D66</f>
        <v>240367</v>
      </c>
      <c r="E68" s="167" t="n">
        <f aca="false">E64-E66</f>
        <v>240367</v>
      </c>
      <c r="F68" s="167" t="n">
        <f aca="false">F64-F66</f>
        <v>240367</v>
      </c>
      <c r="G68" s="167" t="n">
        <f aca="false">G64-G66</f>
        <v>240367</v>
      </c>
      <c r="H68" s="167" t="n">
        <f aca="false">H64-H66</f>
        <v>240367</v>
      </c>
      <c r="I68" s="167" t="n">
        <f aca="false">I64-I66</f>
        <v>240367</v>
      </c>
      <c r="J68" s="167" t="n">
        <f aca="false">J64-J66</f>
        <v>240367</v>
      </c>
      <c r="K68" s="167" t="n">
        <f aca="false">K64-K66</f>
        <v>240367</v>
      </c>
      <c r="L68" s="167" t="n">
        <f aca="false">L64-L66</f>
        <v>224262.411</v>
      </c>
      <c r="M68" s="167" t="n">
        <f aca="false">M64-M66</f>
        <v>206955.987</v>
      </c>
      <c r="N68" s="167" t="n">
        <f aca="false">N64-N66</f>
        <v>188303.5078</v>
      </c>
      <c r="O68" s="167" t="n">
        <f aca="false">O64-O66</f>
        <v>168064.6064</v>
      </c>
      <c r="P68" s="167" t="n">
        <f aca="false">P64-P66</f>
        <v>146095.0626</v>
      </c>
      <c r="Q68" s="167" t="n">
        <f aca="false">Q64-Q66</f>
        <v>122010.2892</v>
      </c>
      <c r="R68" s="167" t="n">
        <f aca="false">R64-R66</f>
        <v>95666.0660000001</v>
      </c>
      <c r="S68" s="167" t="n">
        <f aca="false">S64-S66</f>
        <v>66773.9526000001</v>
      </c>
      <c r="T68" s="167" t="n">
        <f aca="false">T64-T66</f>
        <v>34997.4352</v>
      </c>
      <c r="U68" s="167" t="n">
        <f aca="false">U64-U66</f>
        <v>0</v>
      </c>
      <c r="V68" s="2"/>
      <c r="W68" s="200"/>
      <c r="X68" s="200"/>
    </row>
    <row r="69" customFormat="false" ht="12.75" hidden="false" customHeight="true" outlineLevel="0" collapsed="false">
      <c r="A69" s="190"/>
      <c r="B69" s="198"/>
      <c r="C69" s="198"/>
      <c r="D69" s="198"/>
      <c r="E69" s="198"/>
      <c r="F69" s="198"/>
      <c r="G69" s="198"/>
      <c r="H69" s="198"/>
      <c r="I69" s="198"/>
      <c r="J69" s="198"/>
      <c r="K69" s="198"/>
      <c r="L69" s="198"/>
      <c r="M69" s="198"/>
      <c r="N69" s="198"/>
      <c r="O69" s="198"/>
      <c r="P69" s="198"/>
      <c r="Q69" s="198"/>
      <c r="R69" s="198"/>
      <c r="S69" s="198"/>
      <c r="T69" s="198"/>
      <c r="U69" s="198"/>
      <c r="V69" s="2"/>
      <c r="W69" s="2"/>
      <c r="X69" s="2"/>
    </row>
    <row r="70" customFormat="false" ht="12.75" hidden="false" customHeight="true" outlineLevel="0" collapsed="false">
      <c r="A70" s="201" t="s">
        <v>128</v>
      </c>
      <c r="B70" s="195"/>
      <c r="C70" s="195"/>
      <c r="D70" s="195"/>
      <c r="E70" s="195"/>
      <c r="F70" s="195"/>
      <c r="G70" s="195"/>
      <c r="H70" s="195"/>
      <c r="I70" s="195"/>
      <c r="J70" s="195"/>
      <c r="K70" s="195"/>
      <c r="L70" s="195"/>
      <c r="M70" s="195"/>
      <c r="N70" s="195"/>
      <c r="O70" s="195"/>
      <c r="P70" s="195"/>
      <c r="Q70" s="195"/>
      <c r="R70" s="195"/>
      <c r="S70" s="195"/>
      <c r="T70" s="195"/>
      <c r="U70" s="195"/>
      <c r="V70" s="202"/>
      <c r="W70" s="202"/>
      <c r="X70" s="202"/>
    </row>
    <row r="71" customFormat="false" ht="12.75" hidden="false" customHeight="true" outlineLevel="0" collapsed="false">
      <c r="A71" s="201"/>
      <c r="B71" s="195"/>
      <c r="C71" s="195"/>
      <c r="D71" s="195"/>
      <c r="E71" s="195"/>
      <c r="F71" s="195"/>
      <c r="G71" s="195"/>
      <c r="H71" s="195"/>
      <c r="I71" s="195"/>
      <c r="J71" s="195"/>
      <c r="K71" s="195"/>
      <c r="L71" s="195"/>
      <c r="M71" s="195"/>
      <c r="N71" s="195"/>
      <c r="O71" s="195"/>
      <c r="P71" s="195"/>
      <c r="Q71" s="195"/>
      <c r="R71" s="195"/>
      <c r="S71" s="195"/>
      <c r="T71" s="195"/>
      <c r="U71" s="195"/>
      <c r="V71" s="202"/>
      <c r="W71" s="202"/>
      <c r="X71" s="202"/>
    </row>
    <row r="72" customFormat="false" ht="12.75" hidden="false" customHeight="true" outlineLevel="0" collapsed="false">
      <c r="A72" s="190" t="s">
        <v>123</v>
      </c>
      <c r="B72" s="198" t="n">
        <f aca="false">B54+B34+B14</f>
        <v>355354</v>
      </c>
      <c r="C72" s="198" t="n">
        <f aca="false">C52+C32+C12</f>
        <v>348316.7956</v>
      </c>
      <c r="D72" s="198" t="n">
        <f aca="false">D52+D32+D12</f>
        <v>340336.6978</v>
      </c>
      <c r="E72" s="198" t="n">
        <f aca="false">E52+E32+E12</f>
        <v>331229.7274</v>
      </c>
      <c r="F72" s="198" t="n">
        <f aca="false">F52+F32+F12</f>
        <v>320696.9182</v>
      </c>
      <c r="G72" s="198" t="n">
        <f aca="false">G52+G32+G12</f>
        <v>308508.2962</v>
      </c>
      <c r="H72" s="198" t="n">
        <f aca="false">H52+H32+H12</f>
        <v>296043.7054</v>
      </c>
      <c r="I72" s="198" t="n">
        <f aca="false">I52+I32+I12</f>
        <v>283142.164</v>
      </c>
      <c r="J72" s="198" t="n">
        <f aca="false">J52+J32+J12</f>
        <v>269688.685</v>
      </c>
      <c r="K72" s="198" t="n">
        <f aca="false">K52+K32+K12</f>
        <v>255476.2918</v>
      </c>
      <c r="L72" s="198" t="n">
        <f aca="false">L52+L32+L12</f>
        <v>240367</v>
      </c>
      <c r="M72" s="198" t="n">
        <f aca="false">M52+M32+M12</f>
        <v>224262.411</v>
      </c>
      <c r="N72" s="198" t="n">
        <f aca="false">N52+N32+N12</f>
        <v>206955.987</v>
      </c>
      <c r="O72" s="198" t="n">
        <f aca="false">O52+O32+O12</f>
        <v>188303.5078</v>
      </c>
      <c r="P72" s="198" t="n">
        <f aca="false">P52+P32+P12</f>
        <v>168064.6064</v>
      </c>
      <c r="Q72" s="198" t="n">
        <f aca="false">Q52+Q32+Q12</f>
        <v>146095.0626</v>
      </c>
      <c r="R72" s="198" t="n">
        <f aca="false">R52+R32+R12</f>
        <v>122010.2892</v>
      </c>
      <c r="S72" s="198" t="n">
        <f aca="false">S52+S32+S12</f>
        <v>95666.0660000001</v>
      </c>
      <c r="T72" s="198" t="n">
        <f aca="false">T52+T32+T12</f>
        <v>66773.9526000001</v>
      </c>
      <c r="U72" s="198" t="n">
        <f aca="false">U52+U32+U12</f>
        <v>34997.4352000001</v>
      </c>
      <c r="V72" s="202"/>
      <c r="W72" s="202"/>
      <c r="X72" s="202"/>
    </row>
    <row r="73" customFormat="false" ht="12.75" hidden="false" customHeight="true" outlineLevel="0" collapsed="false">
      <c r="A73" s="190" t="s">
        <v>125</v>
      </c>
      <c r="B73" s="198" t="n">
        <f aca="false">B68+B48+B28</f>
        <v>348316.7956</v>
      </c>
      <c r="C73" s="198" t="n">
        <f aca="false">C68+C48+C28</f>
        <v>340336.6978</v>
      </c>
      <c r="D73" s="198" t="n">
        <f aca="false">D68+D48+D28</f>
        <v>331229.7274</v>
      </c>
      <c r="E73" s="198" t="n">
        <f aca="false">E68+E48+E28</f>
        <v>320696.9182</v>
      </c>
      <c r="F73" s="198" t="n">
        <f aca="false">F68+F48+F28</f>
        <v>308508.2962</v>
      </c>
      <c r="G73" s="198" t="n">
        <f aca="false">G68+G48+G28</f>
        <v>296043.7054</v>
      </c>
      <c r="H73" s="198" t="n">
        <f aca="false">H68+H48+H28</f>
        <v>283142.164</v>
      </c>
      <c r="I73" s="198" t="n">
        <f aca="false">I68+I48+I28</f>
        <v>269688.685</v>
      </c>
      <c r="J73" s="198" t="n">
        <f aca="false">J68+J48+J28</f>
        <v>255476.2918</v>
      </c>
      <c r="K73" s="198" t="n">
        <f aca="false">K68+K48+K28</f>
        <v>240367</v>
      </c>
      <c r="L73" s="198" t="n">
        <f aca="false">L68+L48+L28</f>
        <v>224262.411</v>
      </c>
      <c r="M73" s="198" t="n">
        <f aca="false">M68+M48+M28</f>
        <v>206955.987</v>
      </c>
      <c r="N73" s="198" t="n">
        <f aca="false">N68+N48+N28</f>
        <v>188303.5078</v>
      </c>
      <c r="O73" s="198" t="n">
        <f aca="false">O68+O48+O28</f>
        <v>168064.6064</v>
      </c>
      <c r="P73" s="198" t="n">
        <f aca="false">P68+P48+P28</f>
        <v>146095.0626</v>
      </c>
      <c r="Q73" s="198" t="n">
        <f aca="false">Q68+Q48+Q28</f>
        <v>122010.2892</v>
      </c>
      <c r="R73" s="198" t="n">
        <f aca="false">R68+R48+R28</f>
        <v>95666.0660000001</v>
      </c>
      <c r="S73" s="198" t="n">
        <f aca="false">S68+S48+S28</f>
        <v>66773.9526000001</v>
      </c>
      <c r="T73" s="198" t="n">
        <f aca="false">T68+T48+T28</f>
        <v>34997.4352000001</v>
      </c>
      <c r="U73" s="198" t="n">
        <f aca="false">U68+U48+U28</f>
        <v>3.27418092638254E-011</v>
      </c>
      <c r="V73" s="202"/>
      <c r="W73" s="202"/>
      <c r="X73" s="202"/>
    </row>
    <row r="74" customFormat="false" ht="12.75" hidden="false" customHeight="true" outlineLevel="0" collapsed="false">
      <c r="A74" s="190"/>
      <c r="B74" s="195"/>
      <c r="C74" s="195"/>
      <c r="D74" s="195"/>
      <c r="E74" s="195"/>
      <c r="F74" s="195"/>
      <c r="G74" s="195"/>
      <c r="H74" s="195"/>
      <c r="I74" s="195"/>
      <c r="J74" s="195"/>
      <c r="K74" s="195"/>
      <c r="L74" s="195"/>
      <c r="M74" s="195"/>
      <c r="N74" s="195"/>
      <c r="O74" s="195"/>
      <c r="P74" s="195"/>
      <c r="Q74" s="195"/>
      <c r="R74" s="195"/>
      <c r="S74" s="195"/>
      <c r="T74" s="195"/>
      <c r="U74" s="195"/>
      <c r="V74" s="202"/>
      <c r="W74" s="202"/>
      <c r="X74" s="202"/>
    </row>
    <row r="75" customFormat="false" ht="12.75" hidden="false" customHeight="true" outlineLevel="0" collapsed="false">
      <c r="A75" s="190" t="s">
        <v>129</v>
      </c>
      <c r="B75" s="198" t="n">
        <f aca="false">SUM(B66,B59,B46,B39,B26,B19)</f>
        <v>7037.2044</v>
      </c>
      <c r="C75" s="198" t="n">
        <f aca="false">SUM(C66,C59,C46,C39,C26,C19)</f>
        <v>7980.0978</v>
      </c>
      <c r="D75" s="198" t="n">
        <f aca="false">SUM(D66,D59,D46,D39,D26,D19)</f>
        <v>9106.9704</v>
      </c>
      <c r="E75" s="198" t="n">
        <f aca="false">SUM(E66,E59,E46,E39,E26,E19)</f>
        <v>10532.8092</v>
      </c>
      <c r="F75" s="198" t="n">
        <f aca="false">SUM(F66,F59,F46,F39,F26,F19)</f>
        <v>12188.622</v>
      </c>
      <c r="G75" s="198" t="n">
        <f aca="false">SUM(G66,G59,G46,G39,G26,G19)</f>
        <v>12464.5908</v>
      </c>
      <c r="H75" s="198" t="n">
        <f aca="false">SUM(H66,H59,H46,H39,H26,H19)</f>
        <v>12901.5414</v>
      </c>
      <c r="I75" s="198" t="n">
        <f aca="false">SUM(I66,I59,I46,I39,I26,I19)</f>
        <v>13453.479</v>
      </c>
      <c r="J75" s="198" t="n">
        <f aca="false">SUM(J66,J59,J46,J39,J26,J19)</f>
        <v>14212.3932</v>
      </c>
      <c r="K75" s="198" t="n">
        <f aca="false">SUM(K66,K59,K46,K39,K26,K19)</f>
        <v>15109.2918</v>
      </c>
      <c r="L75" s="198" t="n">
        <f aca="false">SUM(L66,L59,L46,L39,L26,L19)</f>
        <v>16104.589</v>
      </c>
      <c r="M75" s="198" t="n">
        <f aca="false">SUM(M66,M59,M46,M39,M26,M19)</f>
        <v>17306.424</v>
      </c>
      <c r="N75" s="198" t="n">
        <f aca="false">SUM(N66,N59,N46,N39,N26,N19)</f>
        <v>18652.4792</v>
      </c>
      <c r="O75" s="198" t="n">
        <f aca="false">SUM(O66,O59,O46,O39,O26,O19)</f>
        <v>20238.9014</v>
      </c>
      <c r="P75" s="198" t="n">
        <f aca="false">SUM(P66,P59,P46,P39,P26,P19)</f>
        <v>21969.5438</v>
      </c>
      <c r="Q75" s="198" t="n">
        <f aca="false">SUM(Q66,Q59,Q46,Q39,Q26,Q19)</f>
        <v>24084.7734</v>
      </c>
      <c r="R75" s="198" t="n">
        <f aca="false">SUM(R66,R59,R46,R39,R26,R19)</f>
        <v>26344.2232</v>
      </c>
      <c r="S75" s="198" t="n">
        <f aca="false">SUM(S66,S59,S46,S39,S26,S19)</f>
        <v>28892.1134</v>
      </c>
      <c r="T75" s="198" t="n">
        <f aca="false">SUM(T66,T59,T46,T39,T26,T19)</f>
        <v>31776.5174</v>
      </c>
      <c r="U75" s="198" t="n">
        <f aca="false">SUM(U66,U59,U46,U39,U26,U19)</f>
        <v>34997.4352</v>
      </c>
      <c r="V75" s="202"/>
      <c r="W75" s="202"/>
      <c r="X75" s="202"/>
    </row>
    <row r="76" customFormat="false" ht="12.75" hidden="false" customHeight="true" outlineLevel="0" collapsed="false">
      <c r="A76" s="203" t="s">
        <v>115</v>
      </c>
      <c r="B76" s="204" t="n">
        <f aca="false">SUM(B13,B20,B33,B40,B53,B60,B67,B47,B27)</f>
        <v>39239.2739971855</v>
      </c>
      <c r="C76" s="204" t="n">
        <f aca="false">SUM(C13,C20,C33,C40,C53,C60,C67,C47,C27)</f>
        <v>38547.9224191759</v>
      </c>
      <c r="D76" s="204" t="n">
        <f aca="false">SUM(D13,D20,D33,D40,D53,D60,D67,D47,D27)</f>
        <v>37639.4901744613</v>
      </c>
      <c r="E76" s="204" t="n">
        <f aca="false">SUM(E13,E20,E33,E40,E53,E60,E67,E47,E27)</f>
        <v>36699.9738262012</v>
      </c>
      <c r="F76" s="204" t="n">
        <f aca="false">SUM(F13,F20,F33,F40,F53,F60,F67,F47,F27)</f>
        <v>35395.209640219</v>
      </c>
      <c r="G76" s="204" t="n">
        <f aca="false">SUM(G13,G20,G33,G40,G53,G60,G67,G47,G27)</f>
        <v>34047.7326311677</v>
      </c>
      <c r="H76" s="204" t="n">
        <f aca="false">SUM(H13,H20,H33,H40,H53,H60,H67,H47,H27)</f>
        <v>32665.4595012786</v>
      </c>
      <c r="I76" s="204" t="n">
        <f aca="false">SUM(I13,I20,I33,I40,I53,I60,I67,I47,I27)</f>
        <v>31318.5570408214</v>
      </c>
      <c r="J76" s="204" t="n">
        <f aca="false">SUM(J13,J20,J33,J40,J53,J60,J67,J47,J27)</f>
        <v>29732.0717140753</v>
      </c>
      <c r="K76" s="204" t="n">
        <f aca="false">SUM(K13,K20,K33,K40,K53,K60,K67,K47,K27)</f>
        <v>28144.9281115784</v>
      </c>
      <c r="L76" s="204" t="n">
        <f aca="false">SUM(L13,L20,L33,L40,L53,L60,L67,L47,L27)</f>
        <v>26448.3539355072</v>
      </c>
      <c r="M76" s="204" t="n">
        <f aca="false">SUM(M13,M20,M33,M40,M53,M60,M67,M47,M27)</f>
        <v>24680.7374642464</v>
      </c>
      <c r="N76" s="204" t="n">
        <f aca="false">SUM(N13,N20,N33,N40,N53,N60,N67,N47,N27)</f>
        <v>22637.0037039923</v>
      </c>
      <c r="O76" s="204" t="n">
        <f aca="false">SUM(O13,O20,O33,O40,O53,O60,O67,O47,O27)</f>
        <v>20504.6016669087</v>
      </c>
      <c r="P76" s="204" t="n">
        <f aca="false">SUM(P13,P20,P33,P40,P53,P60,P67,P47,P27)</f>
        <v>18190.5733889577</v>
      </c>
      <c r="Q76" s="204" t="n">
        <f aca="false">SUM(Q13,Q20,Q33,Q40,Q53,Q60,Q67,Q47,Q27)</f>
        <v>15716.7948007819</v>
      </c>
      <c r="R76" s="204" t="n">
        <f aca="false">SUM(R13,R20,R33,R40,R53,R60,R67,R47,R27)</f>
        <v>12912.6071092216</v>
      </c>
      <c r="S76" s="204" t="n">
        <f aca="false">SUM(S13,S20,S33,S40,S53,S60,S67,S47,S27)</f>
        <v>9892.19559645833</v>
      </c>
      <c r="T76" s="204" t="n">
        <f aca="false">SUM(T13,T20,T33,T40,T53,T60,T67,T47,T27)</f>
        <v>6577.12237371226</v>
      </c>
      <c r="U76" s="204" t="n">
        <f aca="false">SUM(U13,U20,U33,U40,U53,U60,U67,U47,U27)</f>
        <v>2940.45528108858</v>
      </c>
      <c r="V76" s="202"/>
      <c r="W76" s="202"/>
      <c r="X76" s="202"/>
    </row>
    <row r="77" customFormat="false" ht="12.75" hidden="false" customHeight="true" outlineLevel="0" collapsed="false">
      <c r="A77" s="202" t="s">
        <v>130</v>
      </c>
      <c r="B77" s="202" t="n">
        <f aca="false">SUM(B75:B76)</f>
        <v>46276.4783971855</v>
      </c>
      <c r="C77" s="202" t="n">
        <f aca="false">SUM(C75:C76)</f>
        <v>46528.0202191759</v>
      </c>
      <c r="D77" s="202" t="n">
        <f aca="false">SUM(D75:D76)</f>
        <v>46746.4605744613</v>
      </c>
      <c r="E77" s="202" t="n">
        <f aca="false">SUM(E75:E76)</f>
        <v>47232.7830262012</v>
      </c>
      <c r="F77" s="202" t="n">
        <f aca="false">SUM(F75:F76)</f>
        <v>47583.831640219</v>
      </c>
      <c r="G77" s="202" t="n">
        <f aca="false">SUM(G75:G76)</f>
        <v>46512.3234311677</v>
      </c>
      <c r="H77" s="202" t="n">
        <f aca="false">SUM(H75:H76)</f>
        <v>45567.0009012786</v>
      </c>
      <c r="I77" s="202" t="n">
        <f aca="false">SUM(I75:I76)</f>
        <v>44772.0360408214</v>
      </c>
      <c r="J77" s="202" t="n">
        <f aca="false">SUM(J75:J76)</f>
        <v>43944.4649140753</v>
      </c>
      <c r="K77" s="202" t="n">
        <f aca="false">SUM(K75:K76)</f>
        <v>43254.2199115784</v>
      </c>
      <c r="L77" s="202" t="n">
        <f aca="false">SUM(L75:L76)</f>
        <v>42552.9429355072</v>
      </c>
      <c r="M77" s="202" t="n">
        <f aca="false">SUM(M75:M76)</f>
        <v>41987.1614642464</v>
      </c>
      <c r="N77" s="202" t="n">
        <f aca="false">SUM(N75:N76)</f>
        <v>41289.4829039923</v>
      </c>
      <c r="O77" s="202" t="n">
        <f aca="false">SUM(O75:O76)</f>
        <v>40743.5030669087</v>
      </c>
      <c r="P77" s="202" t="n">
        <f aca="false">SUM(P75:P76)</f>
        <v>40160.1171889577</v>
      </c>
      <c r="Q77" s="202" t="n">
        <f aca="false">SUM(Q75:Q76)</f>
        <v>39801.5682007819</v>
      </c>
      <c r="R77" s="202" t="n">
        <f aca="false">SUM(R75:R76)</f>
        <v>39256.8303092216</v>
      </c>
      <c r="S77" s="202" t="n">
        <f aca="false">SUM(S75:S76)</f>
        <v>38784.3089964583</v>
      </c>
      <c r="T77" s="202" t="n">
        <f aca="false">SUM(T75:T76)</f>
        <v>38353.6397737123</v>
      </c>
      <c r="U77" s="202" t="n">
        <f aca="false">SUM(U75:U76)</f>
        <v>37937.8904810886</v>
      </c>
      <c r="V77" s="202"/>
      <c r="W77" s="202"/>
      <c r="X77" s="202"/>
    </row>
    <row r="78" customFormat="false" ht="13.5" hidden="false" customHeight="true" outlineLevel="0" collapsed="false">
      <c r="A78" s="202"/>
      <c r="B78" s="202"/>
      <c r="C78" s="202"/>
      <c r="D78" s="202"/>
      <c r="E78" s="202"/>
      <c r="F78" s="202"/>
      <c r="G78" s="202"/>
      <c r="H78" s="202"/>
      <c r="I78" s="202"/>
      <c r="J78" s="202"/>
      <c r="K78" s="202"/>
      <c r="L78" s="202"/>
      <c r="M78" s="202"/>
      <c r="N78" s="202"/>
      <c r="O78" s="202"/>
      <c r="P78" s="202"/>
      <c r="Q78" s="202"/>
      <c r="R78" s="202"/>
      <c r="S78" s="202"/>
      <c r="T78" s="202"/>
      <c r="U78" s="202"/>
      <c r="V78" s="202"/>
      <c r="W78" s="202"/>
      <c r="X78" s="202"/>
    </row>
    <row r="79" customFormat="false" ht="13.5" hidden="false" customHeight="true" outlineLevel="0" collapsed="false">
      <c r="A79" s="205" t="s">
        <v>131</v>
      </c>
      <c r="B79" s="206" t="n">
        <f aca="false">IF(B77&gt;0.1,B8/B77," ")</f>
        <v>2.25593638626867</v>
      </c>
      <c r="C79" s="206" t="n">
        <f aca="false">IF(C77&gt;0.1,C8/C77," ")</f>
        <v>2.35554716269075</v>
      </c>
      <c r="D79" s="206" t="n">
        <f aca="false">IF(D77&gt;0.1,D8/D77," ")</f>
        <v>2.46172463535695</v>
      </c>
      <c r="E79" s="206" t="n">
        <f aca="false">IF(E77&gt;0.1,E8/E77," ")</f>
        <v>2.56068842214036</v>
      </c>
      <c r="F79" s="206" t="n">
        <f aca="false">IF(F77&gt;0.1,F8/F77," ")</f>
        <v>2.67210168060744</v>
      </c>
      <c r="G79" s="206" t="n">
        <f aca="false">IF(G77&gt;0.1,G8/G77," ")</f>
        <v>2.77694910129876</v>
      </c>
      <c r="H79" s="206" t="n">
        <f aca="false">IF(H77&gt;0.1,H8/H77," ")</f>
        <v>2.88069692776517</v>
      </c>
      <c r="I79" s="206" t="n">
        <f aca="false">IF(I77&gt;0.1,I8/I77," ")</f>
        <v>2.9810420036572</v>
      </c>
      <c r="J79" s="206" t="n">
        <f aca="false">IF(J77&gt;0.1,J8/J77," ")</f>
        <v>3.09051899039447</v>
      </c>
      <c r="K79" s="206" t="n">
        <f aca="false">IF(K77&gt;0.1,K8/K77," ")</f>
        <v>3.19679289642949</v>
      </c>
      <c r="L79" s="206" t="n">
        <f aca="false">IF(L77&gt;0.1,L8/L77," ")</f>
        <v>3.30095262141297</v>
      </c>
      <c r="M79" s="206" t="n">
        <f aca="false">IF(M77&gt;0.1,M8/M77," ")</f>
        <v>3.40225881270238</v>
      </c>
      <c r="N79" s="206" t="n">
        <f aca="false">IF(N77&gt;0.1,N8/N77," ")</f>
        <v>3.50992181455029</v>
      </c>
      <c r="O79" s="206" t="n">
        <f aca="false">IF(O77&gt;0.1,O8/O77," ")</f>
        <v>3.61744703564006</v>
      </c>
      <c r="P79" s="206" t="n">
        <f aca="false">IF(P77&gt;0.1,P8/P77," ")</f>
        <v>3.72137255546468</v>
      </c>
      <c r="Q79" s="206" t="n">
        <f aca="false">IF(Q77&gt;0.1,Q8/Q77," ")</f>
        <v>3.82332394820124</v>
      </c>
      <c r="R79" s="206" t="n">
        <f aca="false">IF(R77&gt;0.1,R8/R77," ")</f>
        <v>3.93150912699075</v>
      </c>
      <c r="S79" s="206" t="n">
        <f aca="false">IF(S77&gt;0.1,S8/S77," ")</f>
        <v>4.0359173256337</v>
      </c>
      <c r="T79" s="206" t="n">
        <f aca="false">IF(T77&gt;0.1,T8/T77," ")</f>
        <v>4.13910107097212</v>
      </c>
      <c r="U79" s="207" t="n">
        <f aca="false">IF(U77&gt;0.1,U8/U77," ")</f>
        <v>4.24369498437978</v>
      </c>
      <c r="V79" s="185"/>
      <c r="W79" s="185"/>
      <c r="X79" s="185"/>
    </row>
    <row r="80" customFormat="false" ht="12.75" hidden="false" customHeight="true" outlineLevel="0" collapsed="false">
      <c r="A80" s="208" t="s">
        <v>132</v>
      </c>
      <c r="B80" s="209" t="n">
        <f aca="false">MIN(B79:U79)</f>
        <v>2.25593638626867</v>
      </c>
      <c r="C80" s="210"/>
      <c r="D80" s="210"/>
      <c r="E80" s="210"/>
      <c r="F80" s="210"/>
      <c r="G80" s="210"/>
      <c r="H80" s="210"/>
      <c r="I80" s="210"/>
      <c r="J80" s="210"/>
      <c r="K80" s="210"/>
      <c r="L80" s="210"/>
      <c r="M80" s="210"/>
      <c r="N80" s="210"/>
      <c r="O80" s="210"/>
      <c r="P80" s="210"/>
      <c r="Q80" s="210"/>
      <c r="R80" s="210"/>
      <c r="S80" s="210"/>
      <c r="T80" s="210"/>
      <c r="U80" s="210"/>
      <c r="V80" s="185"/>
      <c r="W80" s="185"/>
      <c r="X80" s="185"/>
    </row>
    <row r="81" customFormat="false" ht="12.75" hidden="false" customHeight="true" outlineLevel="0" collapsed="false">
      <c r="A81" s="211" t="s">
        <v>133</v>
      </c>
      <c r="B81" s="212" t="n">
        <f aca="false">AVERAGE(B79:U79)</f>
        <v>3.24787487512786</v>
      </c>
      <c r="C81" s="213"/>
      <c r="D81" s="213"/>
      <c r="I81" s="213"/>
      <c r="J81" s="213"/>
      <c r="K81" s="213"/>
      <c r="L81" s="213"/>
      <c r="M81" s="213"/>
      <c r="N81" s="213"/>
      <c r="O81" s="213"/>
      <c r="P81" s="213"/>
      <c r="Q81" s="213"/>
      <c r="R81" s="213"/>
      <c r="S81" s="213"/>
      <c r="T81" s="213"/>
      <c r="U81" s="213"/>
      <c r="V81" s="185"/>
      <c r="W81" s="185"/>
      <c r="X81" s="185"/>
    </row>
    <row r="82" customFormat="false" ht="12.75" hidden="false" customHeight="true" outlineLevel="0" collapsed="false">
      <c r="A82" s="214"/>
      <c r="B82" s="176"/>
      <c r="C82" s="12"/>
      <c r="D82" s="12"/>
      <c r="E82" s="59"/>
      <c r="F82" s="213"/>
      <c r="G82" s="213"/>
      <c r="H82" s="213"/>
      <c r="I82" s="213"/>
      <c r="J82" s="213"/>
      <c r="K82" s="213"/>
      <c r="L82" s="213"/>
      <c r="M82" s="213"/>
      <c r="N82" s="213"/>
      <c r="O82" s="213"/>
      <c r="P82" s="213"/>
      <c r="Q82" s="213"/>
      <c r="R82" s="213"/>
      <c r="S82" s="213"/>
      <c r="T82" s="213"/>
      <c r="U82" s="213"/>
      <c r="V82" s="185"/>
      <c r="W82" s="185"/>
      <c r="X82" s="185"/>
    </row>
    <row r="83" customFormat="false" ht="12.75" hidden="false" customHeight="true" outlineLevel="0" collapsed="false">
      <c r="A83" s="214" t="s">
        <v>134</v>
      </c>
      <c r="B83" s="215" t="n">
        <f aca="false">SUM(B13,B20,B27,B33,B40,B47,B53,B60,B67)</f>
        <v>39239.2739971855</v>
      </c>
      <c r="C83" s="215" t="n">
        <f aca="false">SUM(C13,C20,C27,C33,C40,C47,C53,C60,C67)</f>
        <v>38547.9224191759</v>
      </c>
      <c r="D83" s="215" t="n">
        <f aca="false">SUM(D13,D20,D27,D33,D40,D47,D53,D60,D67)</f>
        <v>37639.4901744613</v>
      </c>
      <c r="E83" s="215" t="n">
        <f aca="false">SUM(E13,E20,E27,E33,E40,E47,E53,E60,E67)</f>
        <v>36699.9738262012</v>
      </c>
      <c r="F83" s="215" t="n">
        <f aca="false">SUM(F13,F20,F27,F33,F40,F47,F53,F60,F67)</f>
        <v>35395.209640219</v>
      </c>
      <c r="G83" s="215" t="n">
        <f aca="false">SUM(G13,G20,G27,G33,G40,G47,G53,G60,G67)</f>
        <v>34047.7326311677</v>
      </c>
      <c r="H83" s="215" t="n">
        <f aca="false">SUM(H13,H20,H27,H33,H40,H47,H53,H60,H67)</f>
        <v>32665.4595012786</v>
      </c>
      <c r="I83" s="215" t="n">
        <f aca="false">SUM(I13,I20,I27,I33,I40,I47,I53,I60,I67)</f>
        <v>31318.5570408214</v>
      </c>
      <c r="J83" s="215" t="n">
        <f aca="false">SUM(J13,J20,J27,J33,J40,J47,J53,J60,J67)</f>
        <v>29732.0717140753</v>
      </c>
      <c r="K83" s="215" t="n">
        <f aca="false">SUM(K13,K20,K27,K33,K40,K47,K53,K60,K67)</f>
        <v>28144.9281115784</v>
      </c>
      <c r="L83" s="215" t="n">
        <f aca="false">SUM(L13,L20,L27,L33,L40,L47,L53,L60,L67)</f>
        <v>26448.3539355072</v>
      </c>
      <c r="M83" s="215" t="n">
        <f aca="false">SUM(M13,M20,M27,M33,M40,M47,M53,M60,M67)</f>
        <v>24680.7374642464</v>
      </c>
      <c r="N83" s="215" t="n">
        <f aca="false">SUM(N13,N20,N27,N33,N40,N47,N53,N60,N67)</f>
        <v>22637.0037039923</v>
      </c>
      <c r="O83" s="215" t="n">
        <f aca="false">SUM(O13,O20,O27,O33,O40,O47,O53,O60,O67)</f>
        <v>20504.6016669087</v>
      </c>
      <c r="P83" s="215" t="n">
        <f aca="false">SUM(P13,P20,P27,P33,P40,P47,P53,P60,P67)</f>
        <v>18190.5733889577</v>
      </c>
      <c r="Q83" s="215" t="n">
        <f aca="false">SUM(Q13,Q20,Q27,Q33,Q40,Q47,Q53,Q60,Q67)</f>
        <v>15716.7948007819</v>
      </c>
      <c r="R83" s="215" t="n">
        <f aca="false">SUM(R13,R20,R27,R33,R40,R47,R53,R60,R67)</f>
        <v>12912.6071092216</v>
      </c>
      <c r="S83" s="215" t="n">
        <f aca="false">SUM(S13,S20,S27,S33,S40,S47,S53,S60,S67)</f>
        <v>9892.19559645833</v>
      </c>
      <c r="T83" s="215" t="n">
        <f aca="false">SUM(T13,T20,T27,T33,T40,T47,T53,T60,T67)</f>
        <v>6577.12237371226</v>
      </c>
      <c r="U83" s="215" t="n">
        <f aca="false">SUM(U13,U20,U27,U33,U40,U47,U53,U60,U67)</f>
        <v>2940.45528108858</v>
      </c>
      <c r="V83" s="185"/>
      <c r="W83" s="185"/>
      <c r="X83" s="185"/>
    </row>
    <row r="84" customFormat="false" ht="12.75" hidden="false" customHeight="true" outlineLevel="0" collapsed="false">
      <c r="A84" s="214"/>
      <c r="B84" s="176"/>
      <c r="C84" s="12"/>
      <c r="D84" s="12"/>
      <c r="E84" s="59"/>
      <c r="F84" s="213"/>
      <c r="G84" s="213"/>
      <c r="H84" s="213"/>
      <c r="I84" s="213"/>
      <c r="J84" s="213"/>
      <c r="K84" s="213"/>
      <c r="L84" s="213"/>
      <c r="M84" s="213"/>
      <c r="N84" s="213"/>
      <c r="O84" s="213"/>
      <c r="P84" s="213"/>
      <c r="Q84" s="213"/>
      <c r="R84" s="213"/>
      <c r="S84" s="213"/>
      <c r="T84" s="213"/>
      <c r="U84" s="213"/>
      <c r="V84" s="185"/>
      <c r="W84" s="185"/>
      <c r="X84" s="185"/>
    </row>
    <row r="85" customFormat="false" ht="12.75" hidden="false" customHeight="true" outlineLevel="0" collapsed="false">
      <c r="A85" s="214"/>
      <c r="B85" s="176"/>
      <c r="C85" s="12"/>
      <c r="D85" s="12"/>
      <c r="E85" s="59"/>
      <c r="F85" s="213"/>
      <c r="G85" s="213"/>
      <c r="H85" s="213"/>
      <c r="I85" s="213"/>
      <c r="J85" s="213"/>
      <c r="K85" s="213"/>
      <c r="L85" s="213"/>
      <c r="M85" s="213"/>
      <c r="N85" s="213"/>
      <c r="O85" s="213"/>
      <c r="P85" s="213"/>
      <c r="Q85" s="213"/>
      <c r="R85" s="213"/>
      <c r="S85" s="213"/>
      <c r="T85" s="213"/>
      <c r="U85" s="213"/>
      <c r="V85" s="185"/>
      <c r="W85" s="185"/>
      <c r="X85" s="185"/>
    </row>
    <row r="86" customFormat="false" ht="12.75" hidden="false" customHeight="true" outlineLevel="0" collapsed="false">
      <c r="A86" s="2"/>
      <c r="B86" s="216" t="s">
        <v>12</v>
      </c>
      <c r="C86" s="216"/>
      <c r="D86" s="216"/>
      <c r="E86" s="216"/>
      <c r="F86" s="185"/>
      <c r="G86" s="216" t="s">
        <v>13</v>
      </c>
      <c r="H86" s="216"/>
      <c r="I86" s="216"/>
      <c r="J86" s="216"/>
      <c r="K86" s="185"/>
      <c r="L86" s="216" t="s">
        <v>14</v>
      </c>
      <c r="M86" s="216"/>
      <c r="N86" s="216"/>
      <c r="O86" s="216"/>
      <c r="P86" s="163"/>
      <c r="Q86" s="163"/>
      <c r="R86" s="163"/>
      <c r="S86" s="185"/>
      <c r="T86" s="185"/>
      <c r="U86" s="185"/>
      <c r="V86" s="185"/>
      <c r="W86" s="185"/>
      <c r="X86" s="185"/>
    </row>
    <row r="87" customFormat="false" ht="12.75" hidden="false" customHeight="true" outlineLevel="0" collapsed="false">
      <c r="A87" s="2"/>
      <c r="B87" s="217" t="s">
        <v>135</v>
      </c>
      <c r="C87" s="218"/>
      <c r="D87" s="218"/>
      <c r="E87" s="219" t="n">
        <f aca="false">'Summary Output'!B20</f>
        <v>0.068</v>
      </c>
      <c r="F87" s="214"/>
      <c r="G87" s="217" t="s">
        <v>135</v>
      </c>
      <c r="H87" s="218"/>
      <c r="I87" s="218"/>
      <c r="J87" s="219" t="n">
        <f aca="false">'Summary Output'!C20</f>
        <v>0.065</v>
      </c>
      <c r="K87" s="214"/>
      <c r="L87" s="217" t="s">
        <v>135</v>
      </c>
      <c r="M87" s="218"/>
      <c r="N87" s="218"/>
      <c r="O87" s="219" t="n">
        <f aca="false">'Summary Output'!D20</f>
        <v>0.062</v>
      </c>
      <c r="P87" s="163"/>
      <c r="Q87" s="163"/>
      <c r="R87" s="163"/>
      <c r="S87" s="185"/>
      <c r="T87" s="185"/>
      <c r="U87" s="185"/>
      <c r="V87" s="185"/>
      <c r="W87" s="185"/>
      <c r="X87" s="185"/>
    </row>
    <row r="88" customFormat="false" ht="12.75" hidden="false" customHeight="true" outlineLevel="0" collapsed="false">
      <c r="A88" s="2"/>
      <c r="B88" s="220" t="s">
        <v>23</v>
      </c>
      <c r="C88" s="12"/>
      <c r="D88" s="12"/>
      <c r="E88" s="221" t="n">
        <f aca="false">'Summary Output'!B21</f>
        <v>0.0225</v>
      </c>
      <c r="F88" s="2"/>
      <c r="G88" s="220" t="s">
        <v>23</v>
      </c>
      <c r="H88" s="12"/>
      <c r="I88" s="12"/>
      <c r="J88" s="221" t="n">
        <f aca="false">'Summary Output'!C21</f>
        <v>0.045</v>
      </c>
      <c r="K88" s="2"/>
      <c r="L88" s="220" t="s">
        <v>23</v>
      </c>
      <c r="M88" s="12"/>
      <c r="N88" s="12"/>
      <c r="O88" s="221" t="n">
        <f aca="false">'Summary Output'!D21</f>
        <v>0.05</v>
      </c>
      <c r="P88" s="2"/>
      <c r="Q88" s="2"/>
      <c r="R88" s="2"/>
      <c r="S88" s="2"/>
      <c r="T88" s="2"/>
      <c r="U88" s="2"/>
      <c r="V88" s="2"/>
      <c r="W88" s="2"/>
      <c r="X88" s="2"/>
    </row>
    <row r="89" customFormat="false" ht="12.75" hidden="false" customHeight="true" outlineLevel="0" collapsed="false">
      <c r="A89" s="190"/>
      <c r="B89" s="222" t="s">
        <v>136</v>
      </c>
      <c r="C89" s="223"/>
      <c r="D89" s="223"/>
      <c r="E89" s="224" t="n">
        <f aca="false">E88+E87</f>
        <v>0.0905</v>
      </c>
      <c r="F89" s="2"/>
      <c r="G89" s="222" t="s">
        <v>136</v>
      </c>
      <c r="H89" s="223"/>
      <c r="I89" s="223"/>
      <c r="J89" s="224" t="n">
        <f aca="false">J88+J87</f>
        <v>0.11</v>
      </c>
      <c r="K89" s="2"/>
      <c r="L89" s="222" t="s">
        <v>136</v>
      </c>
      <c r="M89" s="223"/>
      <c r="N89" s="223"/>
      <c r="O89" s="224" t="n">
        <f aca="false">O88+O87</f>
        <v>0.112</v>
      </c>
      <c r="P89" s="2"/>
      <c r="Q89" s="2"/>
      <c r="R89" s="2"/>
      <c r="S89" s="2"/>
      <c r="T89" s="2"/>
      <c r="U89" s="2"/>
      <c r="V89" s="2"/>
      <c r="W89" s="2"/>
      <c r="X89" s="2"/>
    </row>
    <row r="90" customFormat="false" ht="12.75" hidden="false" customHeight="true" outlineLevel="0" collapsed="false">
      <c r="A90" s="2"/>
      <c r="B90" s="225" t="s">
        <v>137</v>
      </c>
      <c r="C90" s="218"/>
      <c r="D90" s="218"/>
      <c r="E90" s="226" t="e">
        <f aca="false">('Summary Output'!B17-'Summary Output'!$C$14)/365.25</f>
        <v>#N/A</v>
      </c>
      <c r="F90" s="2"/>
      <c r="G90" s="225" t="s">
        <v>137</v>
      </c>
      <c r="H90" s="218"/>
      <c r="I90" s="218"/>
      <c r="J90" s="226" t="n">
        <f aca="false">('Summary Output'!C17-'Summary Output'!$C$14)/365.25</f>
        <v>9.9958932238193</v>
      </c>
      <c r="K90" s="2"/>
      <c r="L90" s="225" t="s">
        <v>137</v>
      </c>
      <c r="M90" s="218"/>
      <c r="N90" s="218"/>
      <c r="O90" s="226" t="n">
        <f aca="false">('Summary Output'!D17-'Summary Output'!$C$14)/365.25</f>
        <v>19.9972621492129</v>
      </c>
      <c r="P90" s="2"/>
      <c r="Q90" s="2"/>
      <c r="R90" s="2"/>
      <c r="S90" s="2"/>
      <c r="T90" s="2"/>
      <c r="U90" s="2"/>
      <c r="V90" s="2"/>
      <c r="W90" s="2"/>
      <c r="X90" s="2"/>
    </row>
    <row r="91" customFormat="false" ht="12.75" hidden="false" customHeight="true" outlineLevel="0" collapsed="false">
      <c r="A91" s="2"/>
      <c r="B91" s="227" t="s">
        <v>138</v>
      </c>
      <c r="C91" s="12"/>
      <c r="D91" s="12"/>
      <c r="E91" s="228" t="str">
        <f aca="false">B101</f>
        <v/>
      </c>
      <c r="F91" s="2"/>
      <c r="G91" s="227" t="s">
        <v>138</v>
      </c>
      <c r="H91" s="12"/>
      <c r="I91" s="12"/>
      <c r="J91" s="228" t="n">
        <f aca="false">B102</f>
        <v>5.87656454483231</v>
      </c>
      <c r="K91" s="2"/>
      <c r="L91" s="227" t="s">
        <v>138</v>
      </c>
      <c r="M91" s="12"/>
      <c r="N91" s="12"/>
      <c r="O91" s="228" t="n">
        <f aca="false">B103</f>
        <v>15.9577752224504</v>
      </c>
      <c r="P91" s="2"/>
      <c r="Q91" s="2"/>
      <c r="R91" s="2"/>
      <c r="S91" s="2"/>
      <c r="T91" s="2"/>
      <c r="U91" s="2"/>
      <c r="V91" s="2"/>
      <c r="W91" s="2"/>
      <c r="X91" s="2"/>
    </row>
    <row r="92" customFormat="false" ht="12.75" hidden="false" customHeight="true" outlineLevel="0" collapsed="false">
      <c r="A92" s="2"/>
      <c r="B92" s="222" t="s">
        <v>139</v>
      </c>
      <c r="C92" s="223"/>
      <c r="D92" s="223"/>
      <c r="E92" s="229" t="n">
        <f aca="false">B14</f>
        <v>0</v>
      </c>
      <c r="F92" s="2"/>
      <c r="G92" s="222" t="s">
        <v>139</v>
      </c>
      <c r="H92" s="223"/>
      <c r="I92" s="223"/>
      <c r="J92" s="229" t="n">
        <f aca="false">B34</f>
        <v>114987</v>
      </c>
      <c r="K92" s="2"/>
      <c r="L92" s="222" t="s">
        <v>139</v>
      </c>
      <c r="M92" s="223"/>
      <c r="N92" s="223"/>
      <c r="O92" s="229" t="n">
        <f aca="false">B54</f>
        <v>240367</v>
      </c>
      <c r="P92" s="2"/>
      <c r="Q92" s="2"/>
      <c r="R92" s="2"/>
      <c r="S92" s="2"/>
      <c r="T92" s="2"/>
      <c r="U92" s="2"/>
      <c r="V92" s="2"/>
      <c r="W92" s="2"/>
      <c r="X92" s="2"/>
    </row>
    <row r="93" customFormat="false" ht="12.75" hidden="false" customHeight="true" outlineLevel="0" collapsed="false">
      <c r="A93" s="2"/>
      <c r="B93" s="190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customFormat="false" ht="12.75" hidden="false" customHeight="true" outlineLevel="0" collapsed="false">
      <c r="A94" s="2"/>
      <c r="B94" s="190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customFormat="false" ht="13.5" hidden="false" customHeight="true" outlineLevel="0" collapsed="false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"/>
      <c r="W95" s="2"/>
      <c r="X95" s="2"/>
    </row>
    <row r="96" customFormat="false" ht="12.75" hidden="false" customHeight="true" outlineLevel="0" collapsed="false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customFormat="false" ht="12.75" hidden="false" customHeight="true" outlineLevel="0" collapsed="false">
      <c r="A97" s="1" t="s">
        <v>140</v>
      </c>
      <c r="B97" s="230" t="n">
        <f aca="false">(B16-$B$11)/365.25</f>
        <v>0.492813141683778</v>
      </c>
      <c r="C97" s="230" t="n">
        <f aca="false">(C16-$B$11)/365.25</f>
        <v>1.492128678987</v>
      </c>
      <c r="D97" s="230" t="n">
        <f aca="false">(D16-$B$11)/365.25</f>
        <v>2.49144421629021</v>
      </c>
      <c r="E97" s="230" t="n">
        <f aca="false">(E16-$B$11)/365.25</f>
        <v>3.49349760438056</v>
      </c>
      <c r="F97" s="230" t="n">
        <f aca="false">(F16-$B$11)/365.25</f>
        <v>4.49281314168378</v>
      </c>
      <c r="G97" s="230" t="n">
        <f aca="false">(G16-$B$11)/365.25</f>
        <v>5.492128678987</v>
      </c>
      <c r="H97" s="230" t="n">
        <f aca="false">(H16-$B$11)/365.25</f>
        <v>6.49144421629021</v>
      </c>
      <c r="I97" s="230" t="n">
        <f aca="false">(I16-$B$11)/365.25</f>
        <v>7.49349760438056</v>
      </c>
      <c r="J97" s="230" t="n">
        <f aca="false">(J16-$B$11)/365.25</f>
        <v>8.49281314168378</v>
      </c>
      <c r="K97" s="230" t="n">
        <f aca="false">(K16-$B$11)/365.25</f>
        <v>9.492128678987</v>
      </c>
      <c r="L97" s="230" t="n">
        <f aca="false">(L16-$B$11)/365.25</f>
        <v>10.4914442162902</v>
      </c>
      <c r="M97" s="230" t="n">
        <f aca="false">(M16-$B$11)/365.25</f>
        <v>11.4934976043806</v>
      </c>
      <c r="N97" s="230" t="n">
        <f aca="false">(N16-$B$11)/365.25</f>
        <v>12.4928131416838</v>
      </c>
      <c r="O97" s="230" t="n">
        <f aca="false">(O16-$B$11)/365.25</f>
        <v>13.492128678987</v>
      </c>
      <c r="P97" s="230" t="n">
        <f aca="false">(P16-$B$11)/365.25</f>
        <v>14.4914442162902</v>
      </c>
      <c r="Q97" s="230" t="n">
        <f aca="false">(Q16-$B$11)/365.25</f>
        <v>15.4934976043806</v>
      </c>
      <c r="R97" s="230" t="n">
        <f aca="false">(R16-$B$11)/365.25</f>
        <v>16.4928131416838</v>
      </c>
      <c r="S97" s="230" t="n">
        <f aca="false">(S16-$B$11)/365.25</f>
        <v>17.492128678987</v>
      </c>
      <c r="T97" s="230" t="n">
        <f aca="false">(T16-$B$11)/365.25</f>
        <v>18.4914442162902</v>
      </c>
      <c r="U97" s="230" t="n">
        <f aca="false">(U16-$B$11)/365.25</f>
        <v>19.4934976043806</v>
      </c>
      <c r="V97" s="231"/>
      <c r="W97" s="231"/>
      <c r="X97" s="231"/>
    </row>
    <row r="98" customFormat="false" ht="12.75" hidden="false" customHeight="true" outlineLevel="0" collapsed="false">
      <c r="A98" s="2"/>
      <c r="B98" s="230" t="n">
        <f aca="false">(B23-$B$11)/365.25</f>
        <v>0.996577686516085</v>
      </c>
      <c r="C98" s="230" t="n">
        <f aca="false">(C23-$B$11)/365.25</f>
        <v>1.9958932238193</v>
      </c>
      <c r="D98" s="230" t="n">
        <f aca="false">(D23-$B$11)/365.25</f>
        <v>2.99520876112252</v>
      </c>
      <c r="E98" s="230" t="n">
        <f aca="false">(E23-$B$11)/365.25</f>
        <v>3.99726214921287</v>
      </c>
      <c r="F98" s="230" t="n">
        <f aca="false">(F23-$B$11)/365.25</f>
        <v>4.99657768651609</v>
      </c>
      <c r="G98" s="230" t="n">
        <f aca="false">(G23-$B$11)/365.25</f>
        <v>5.9958932238193</v>
      </c>
      <c r="H98" s="230" t="n">
        <f aca="false">(H23-$B$11)/365.25</f>
        <v>6.99520876112252</v>
      </c>
      <c r="I98" s="230" t="n">
        <f aca="false">(I23-$B$11)/365.25</f>
        <v>7.99726214921287</v>
      </c>
      <c r="J98" s="230" t="n">
        <f aca="false">(J23-$B$11)/365.25</f>
        <v>8.99657768651609</v>
      </c>
      <c r="K98" s="230" t="n">
        <f aca="false">(K23-$B$11)/365.25</f>
        <v>9.9958932238193</v>
      </c>
      <c r="L98" s="230" t="n">
        <f aca="false">(L23-$B$11)/365.25</f>
        <v>10.9952087611225</v>
      </c>
      <c r="M98" s="230" t="n">
        <f aca="false">(M23-$B$11)/365.25</f>
        <v>11.9972621492129</v>
      </c>
      <c r="N98" s="230" t="n">
        <f aca="false">(N23-$B$11)/365.25</f>
        <v>12.9965776865161</v>
      </c>
      <c r="O98" s="230" t="n">
        <f aca="false">(O23-$B$11)/365.25</f>
        <v>13.9958932238193</v>
      </c>
      <c r="P98" s="230" t="n">
        <f aca="false">(P23-$B$11)/365.25</f>
        <v>14.9952087611225</v>
      </c>
      <c r="Q98" s="230" t="n">
        <f aca="false">(Q23-$B$11)/365.25</f>
        <v>15.9972621492129</v>
      </c>
      <c r="R98" s="230" t="n">
        <f aca="false">(R23-$B$11)/365.25</f>
        <v>16.9965776865161</v>
      </c>
      <c r="S98" s="230" t="n">
        <f aca="false">(S23-$B$11)/365.25</f>
        <v>17.9958932238193</v>
      </c>
      <c r="T98" s="230" t="n">
        <f aca="false">(T23-$B$11)/365.25</f>
        <v>18.9952087611225</v>
      </c>
      <c r="U98" s="230" t="n">
        <f aca="false">(U23-$B$11)/365.25</f>
        <v>19.9972621492129</v>
      </c>
      <c r="V98" s="230"/>
      <c r="W98" s="230"/>
      <c r="X98" s="230"/>
    </row>
    <row r="99" customFormat="false" ht="12.75" hidden="false" customHeight="true" outlineLevel="0" collapsed="false">
      <c r="A99" s="2"/>
      <c r="B99" s="230"/>
      <c r="C99" s="230"/>
      <c r="D99" s="230"/>
      <c r="E99" s="230"/>
      <c r="F99" s="230"/>
      <c r="G99" s="230"/>
      <c r="H99" s="230"/>
      <c r="I99" s="230"/>
      <c r="J99" s="230"/>
      <c r="K99" s="230"/>
      <c r="L99" s="230"/>
      <c r="M99" s="230"/>
      <c r="N99" s="230"/>
      <c r="O99" s="230"/>
      <c r="P99" s="230"/>
      <c r="Q99" s="230"/>
      <c r="R99" s="230"/>
      <c r="S99" s="230"/>
      <c r="T99" s="230"/>
      <c r="U99" s="230"/>
      <c r="V99" s="230"/>
      <c r="W99" s="230"/>
      <c r="X99" s="230"/>
    </row>
    <row r="100" customFormat="false" ht="12.75" hidden="false" customHeight="true" outlineLevel="0" collapsed="false">
      <c r="A100" s="1" t="s">
        <v>141</v>
      </c>
      <c r="B100" s="2"/>
      <c r="C100" s="190"/>
      <c r="D100" s="190"/>
      <c r="E100" s="190"/>
      <c r="F100" s="190"/>
      <c r="G100" s="190"/>
      <c r="H100" s="190"/>
      <c r="I100" s="190"/>
      <c r="J100" s="190"/>
      <c r="K100" s="190"/>
      <c r="L100" s="190"/>
      <c r="M100" s="190"/>
      <c r="N100" s="190"/>
      <c r="O100" s="190"/>
      <c r="P100" s="190"/>
      <c r="Q100" s="190"/>
      <c r="R100" s="190"/>
      <c r="S100" s="190"/>
      <c r="T100" s="190"/>
      <c r="U100" s="190"/>
      <c r="V100" s="190"/>
      <c r="W100" s="2"/>
      <c r="X100" s="2"/>
    </row>
    <row r="101" customFormat="false" ht="12.75" hidden="false" customHeight="true" outlineLevel="0" collapsed="false">
      <c r="A101" s="2" t="s">
        <v>12</v>
      </c>
      <c r="B101" s="232" t="str">
        <f aca="false">IF(E92=0,"",(SUMPRODUCT($B$97:$U$97,B19:U19)+SUMPRODUCT($B$98:$U$98,B26:U26))/E92)</f>
        <v/>
      </c>
      <c r="C101" s="190"/>
      <c r="D101" s="190"/>
      <c r="E101" s="190"/>
      <c r="F101" s="190"/>
      <c r="G101" s="190"/>
      <c r="H101" s="190"/>
      <c r="I101" s="190"/>
      <c r="J101" s="190"/>
      <c r="K101" s="190"/>
      <c r="L101" s="190"/>
      <c r="M101" s="190"/>
      <c r="N101" s="190"/>
      <c r="O101" s="190"/>
      <c r="P101" s="190"/>
      <c r="Q101" s="190"/>
      <c r="R101" s="190"/>
      <c r="S101" s="190"/>
      <c r="T101" s="190"/>
      <c r="U101" s="190"/>
      <c r="V101" s="190"/>
      <c r="W101" s="2"/>
      <c r="X101" s="2"/>
    </row>
    <row r="102" customFormat="false" ht="12.75" hidden="false" customHeight="true" outlineLevel="0" collapsed="false">
      <c r="A102" s="2" t="s">
        <v>13</v>
      </c>
      <c r="B102" s="232" t="n">
        <f aca="false">(SUMPRODUCT($B$97:$U$97,B39:U39)+SUMPRODUCT($B$98:$U$98,B46:U46))/J92</f>
        <v>5.87656454483231</v>
      </c>
      <c r="C102" s="190"/>
      <c r="D102" s="190"/>
      <c r="E102" s="190"/>
      <c r="F102" s="190"/>
      <c r="G102" s="190"/>
      <c r="H102" s="190"/>
      <c r="I102" s="190"/>
      <c r="J102" s="190"/>
      <c r="K102" s="190"/>
      <c r="L102" s="190"/>
      <c r="M102" s="190"/>
      <c r="N102" s="190"/>
      <c r="O102" s="190"/>
      <c r="P102" s="190"/>
      <c r="Q102" s="190"/>
      <c r="R102" s="190"/>
      <c r="S102" s="190"/>
      <c r="T102" s="190"/>
      <c r="U102" s="190"/>
      <c r="V102" s="190"/>
      <c r="W102" s="2"/>
      <c r="X102" s="2"/>
    </row>
    <row r="103" customFormat="false" ht="12.75" hidden="false" customHeight="true" outlineLevel="0" collapsed="false">
      <c r="A103" s="2" t="s">
        <v>14</v>
      </c>
      <c r="B103" s="232" t="n">
        <f aca="false">(SUMPRODUCT($B$97:$U$97,B59:U59)+SUMPRODUCT($B$98:$U$98,B66:U66))/O92</f>
        <v>15.9577752224504</v>
      </c>
      <c r="C103" s="2"/>
      <c r="D103" s="2"/>
      <c r="E103" s="2"/>
      <c r="F103" s="190"/>
      <c r="G103" s="190"/>
      <c r="H103" s="190"/>
      <c r="I103" s="190"/>
      <c r="J103" s="190"/>
      <c r="K103" s="190"/>
      <c r="L103" s="190"/>
      <c r="M103" s="190"/>
      <c r="N103" s="190"/>
      <c r="O103" s="190"/>
      <c r="P103" s="190"/>
      <c r="Q103" s="190"/>
      <c r="R103" s="190"/>
      <c r="S103" s="190"/>
      <c r="T103" s="190"/>
      <c r="U103" s="190"/>
      <c r="V103" s="190"/>
      <c r="W103" s="190"/>
      <c r="X103" s="190"/>
    </row>
    <row r="104" customFormat="false" ht="13.5" hidden="false" customHeight="true" outlineLevel="0" collapsed="false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"/>
      <c r="W104" s="2"/>
      <c r="X104" s="2"/>
    </row>
  </sheetData>
  <mergeCells count="3">
    <mergeCell ref="B86:E86"/>
    <mergeCell ref="G86:J86"/>
    <mergeCell ref="L86:O86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&amp;L&amp;12Enron's Generation&amp;RCONFIDENTIAL</oddHeader>
    <oddFooter>&amp;L&amp;D&amp;C&amp;F&amp;RPage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99"/>
    <col collapsed="false" customWidth="true" hidden="false" outlineLevel="0" max="2" min="2" style="0" width="9.28"/>
    <col collapsed="false" customWidth="true" hidden="false" outlineLevel="0" max="22" min="3" style="0" width="8.7"/>
    <col collapsed="false" customWidth="true" hidden="false" outlineLevel="0" max="24" min="23" style="0" width="10.28"/>
    <col collapsed="false" customWidth="true" hidden="false" outlineLevel="0" max="25" min="25" style="0" width="4.7"/>
  </cols>
  <sheetData>
    <row r="1" customFormat="false" ht="12.75" hidden="false" customHeight="true" outlineLevel="0" collapsed="false"/>
    <row r="2" customFormat="false" ht="18" hidden="false" customHeight="true" outlineLevel="0" collapsed="false">
      <c r="A2" s="144" t="s">
        <v>142</v>
      </c>
      <c r="B2" s="14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92"/>
      <c r="X2" s="92"/>
      <c r="Y2" s="92"/>
    </row>
    <row r="3" customFormat="false" ht="12.75" hidden="false" customHeight="tru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92"/>
      <c r="X3" s="92"/>
      <c r="Y3" s="92"/>
    </row>
    <row r="4" customFormat="false" ht="12.7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92"/>
      <c r="X4" s="92"/>
      <c r="Y4" s="92"/>
    </row>
    <row r="5" customFormat="false" ht="18" hidden="false" customHeight="true" outlineLevel="0" collapsed="false">
      <c r="A5" s="233" t="s">
        <v>143</v>
      </c>
      <c r="B5" s="23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92"/>
      <c r="X5" s="92"/>
      <c r="Y5" s="92"/>
    </row>
    <row r="6" customFormat="false" ht="12.75" hidden="false" customHeight="true" outlineLevel="0" collapsed="false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34"/>
      <c r="X6" s="234"/>
      <c r="Y6" s="92"/>
    </row>
    <row r="7" customFormat="false" ht="13.5" hidden="false" customHeight="true" outlineLevel="0" collapsed="false">
      <c r="A7" s="149" t="s">
        <v>100</v>
      </c>
      <c r="B7" s="182" t="s">
        <v>144</v>
      </c>
      <c r="C7" s="150" t="n">
        <v>2001</v>
      </c>
      <c r="D7" s="150" t="n">
        <f aca="false">C7+1</f>
        <v>2002</v>
      </c>
      <c r="E7" s="150" t="n">
        <f aca="false">D7+1</f>
        <v>2003</v>
      </c>
      <c r="F7" s="150" t="n">
        <f aca="false">E7+1</f>
        <v>2004</v>
      </c>
      <c r="G7" s="150" t="n">
        <f aca="false">F7+1</f>
        <v>2005</v>
      </c>
      <c r="H7" s="150" t="n">
        <f aca="false">G7+1</f>
        <v>2006</v>
      </c>
      <c r="I7" s="150" t="n">
        <f aca="false">H7+1</f>
        <v>2007</v>
      </c>
      <c r="J7" s="150" t="n">
        <f aca="false">I7+1</f>
        <v>2008</v>
      </c>
      <c r="K7" s="150" t="n">
        <f aca="false">J7+1</f>
        <v>2009</v>
      </c>
      <c r="L7" s="150" t="n">
        <f aca="false">K7+1</f>
        <v>2010</v>
      </c>
      <c r="M7" s="150" t="n">
        <f aca="false">L7+1</f>
        <v>2011</v>
      </c>
      <c r="N7" s="150" t="n">
        <f aca="false">M7+1</f>
        <v>2012</v>
      </c>
      <c r="O7" s="150" t="n">
        <f aca="false">N7+1</f>
        <v>2013</v>
      </c>
      <c r="P7" s="150" t="n">
        <f aca="false">O7+1</f>
        <v>2014</v>
      </c>
      <c r="Q7" s="150" t="n">
        <f aca="false">P7+1</f>
        <v>2015</v>
      </c>
      <c r="R7" s="150" t="n">
        <f aca="false">Q7+1</f>
        <v>2016</v>
      </c>
      <c r="S7" s="150" t="n">
        <f aca="false">R7+1</f>
        <v>2017</v>
      </c>
      <c r="T7" s="150" t="n">
        <f aca="false">S7+1</f>
        <v>2018</v>
      </c>
      <c r="U7" s="150" t="n">
        <f aca="false">T7+1</f>
        <v>2019</v>
      </c>
      <c r="V7" s="150" t="n">
        <f aca="false">U7+1</f>
        <v>2020</v>
      </c>
      <c r="W7" s="235" t="s">
        <v>15</v>
      </c>
      <c r="X7" s="236" t="s">
        <v>122</v>
      </c>
      <c r="Y7" s="236"/>
    </row>
    <row r="8" customFormat="false" ht="12.75" hidden="false" customHeight="true" outlineLevel="0" collapsed="false">
      <c r="A8" s="237"/>
      <c r="B8" s="238" t="n">
        <f aca="false">'Summary Output'!B27</f>
        <v>36892</v>
      </c>
      <c r="C8" s="238" t="n">
        <v>37256</v>
      </c>
      <c r="D8" s="238" t="n">
        <v>37621</v>
      </c>
      <c r="E8" s="238" t="n">
        <v>37986</v>
      </c>
      <c r="F8" s="238" t="n">
        <v>38352</v>
      </c>
      <c r="G8" s="238" t="n">
        <v>38717</v>
      </c>
      <c r="H8" s="238" t="n">
        <v>39082</v>
      </c>
      <c r="I8" s="238" t="n">
        <v>39447</v>
      </c>
      <c r="J8" s="238" t="n">
        <v>39813</v>
      </c>
      <c r="K8" s="238" t="n">
        <v>40178</v>
      </c>
      <c r="L8" s="238" t="n">
        <v>40543</v>
      </c>
      <c r="M8" s="238" t="n">
        <v>40908</v>
      </c>
      <c r="N8" s="238" t="n">
        <v>41274</v>
      </c>
      <c r="O8" s="238" t="n">
        <v>41639</v>
      </c>
      <c r="P8" s="238" t="n">
        <v>42004</v>
      </c>
      <c r="Q8" s="238" t="n">
        <v>42369</v>
      </c>
      <c r="R8" s="238" t="n">
        <v>42735</v>
      </c>
      <c r="S8" s="238" t="n">
        <v>43100</v>
      </c>
      <c r="T8" s="238" t="n">
        <v>43465</v>
      </c>
      <c r="U8" s="238" t="n">
        <v>43830</v>
      </c>
      <c r="V8" s="238" t="n">
        <v>44196</v>
      </c>
      <c r="W8" s="239"/>
      <c r="X8" s="236"/>
      <c r="Y8" s="240"/>
    </row>
    <row r="9" customFormat="false" ht="12.75" hidden="false" customHeight="true" outlineLevel="0" collapsed="false">
      <c r="A9" s="154"/>
      <c r="B9" s="154"/>
      <c r="C9" s="151"/>
      <c r="D9" s="151"/>
      <c r="E9" s="151"/>
      <c r="F9" s="151"/>
      <c r="G9" s="241"/>
      <c r="H9" s="241"/>
      <c r="I9" s="242"/>
      <c r="J9" s="242"/>
      <c r="K9" s="241"/>
      <c r="L9" s="24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239"/>
      <c r="X9" s="236"/>
      <c r="Y9" s="240"/>
    </row>
    <row r="10" customFormat="false" ht="12.75" hidden="false" customHeight="true" outlineLevel="0" collapsed="false">
      <c r="A10" s="243" t="s">
        <v>112</v>
      </c>
      <c r="B10" s="167" t="n">
        <v>0</v>
      </c>
      <c r="C10" s="167" t="n">
        <f aca="false">IS!B27</f>
        <v>104396.791444587</v>
      </c>
      <c r="D10" s="167" t="n">
        <f aca="false">IS!C27</f>
        <v>109598.946012898</v>
      </c>
      <c r="E10" s="167" t="n">
        <f aca="false">IS!D27</f>
        <v>115076.913611894</v>
      </c>
      <c r="F10" s="167" t="n">
        <f aca="false">IS!E27</f>
        <v>120948.440640661</v>
      </c>
      <c r="G10" s="167" t="n">
        <f aca="false">IS!F27</f>
        <v>127148.836495571</v>
      </c>
      <c r="H10" s="167" t="n">
        <f aca="false">IS!G27</f>
        <v>129162.354751498</v>
      </c>
      <c r="I10" s="167" t="n">
        <f aca="false">IS!H27</f>
        <v>131264.719503786</v>
      </c>
      <c r="J10" s="167" t="n">
        <f aca="false">IS!I27</f>
        <v>133467.320026943</v>
      </c>
      <c r="K10" s="167" t="n">
        <f aca="false">IS!J27</f>
        <v>135811.203339673</v>
      </c>
      <c r="L10" s="167" t="n">
        <f aca="false">IS!K27</f>
        <v>138274.782953933</v>
      </c>
      <c r="M10" s="167" t="n">
        <f aca="false">IS!L27</f>
        <v>140465.248531799</v>
      </c>
      <c r="N10" s="167" t="n">
        <f aca="false">IS!M27</f>
        <v>142851.19011209</v>
      </c>
      <c r="O10" s="167" t="n">
        <f aca="false">IS!N27</f>
        <v>144922.856756224</v>
      </c>
      <c r="P10" s="167" t="n">
        <f aca="false">IS!O27</f>
        <v>147387.464390981</v>
      </c>
      <c r="Q10" s="167" t="n">
        <f aca="false">IS!P27</f>
        <v>149450.757931232</v>
      </c>
      <c r="R10" s="167" t="n">
        <f aca="false">IS!Q27</f>
        <v>152174.288878014</v>
      </c>
      <c r="S10" s="167" t="n">
        <f aca="false">IS!R27</f>
        <v>154338.586657432</v>
      </c>
      <c r="T10" s="167" t="n">
        <f aca="false">IS!S27</f>
        <v>156530.264641537</v>
      </c>
      <c r="U10" s="167" t="n">
        <f aca="false">IS!T27</f>
        <v>158749.591463051</v>
      </c>
      <c r="V10" s="167" t="n">
        <f aca="false">IS!U27</f>
        <v>160996.835552545</v>
      </c>
      <c r="W10" s="244" t="n">
        <f aca="false">SUM(C10:V10)</f>
        <v>2753017.39369635</v>
      </c>
      <c r="X10" s="245" t="n">
        <f aca="false">SUM(Wheatland!W41,Wilton!W41,Gleason!W41)</f>
        <v>2753017.39369635</v>
      </c>
      <c r="Y10" s="246" t="n">
        <f aca="false">W10-X10</f>
        <v>0</v>
      </c>
    </row>
    <row r="11" customFormat="false" ht="12.75" hidden="false" customHeight="true" outlineLevel="0" collapsed="false">
      <c r="A11" s="2"/>
      <c r="B11" s="167"/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240"/>
      <c r="Y11" s="240"/>
    </row>
    <row r="12" customFormat="false" ht="12" hidden="false" customHeight="true" outlineLevel="0" collapsed="false">
      <c r="A12" s="247" t="s">
        <v>145</v>
      </c>
      <c r="B12" s="167" t="n">
        <v>0</v>
      </c>
      <c r="C12" s="248" t="n">
        <f aca="false">IS!B22</f>
        <v>746.46</v>
      </c>
      <c r="D12" s="248" t="n">
        <f aca="false">IS!C22</f>
        <v>1050.307</v>
      </c>
      <c r="E12" s="248" t="n">
        <f aca="false">IS!D22</f>
        <v>1248.093</v>
      </c>
      <c r="F12" s="248" t="n">
        <f aca="false">IS!E22</f>
        <v>1339.135</v>
      </c>
      <c r="G12" s="248" t="n">
        <f aca="false">IS!F22</f>
        <v>1401.501</v>
      </c>
      <c r="H12" s="248" t="n">
        <f aca="false">IS!G22</f>
        <v>1623.537</v>
      </c>
      <c r="I12" s="248" t="n">
        <f aca="false">IS!H22</f>
        <v>1795.939</v>
      </c>
      <c r="J12" s="248" t="n">
        <f aca="false">IS!I22</f>
        <v>1908.112</v>
      </c>
      <c r="K12" s="248" t="n">
        <f aca="false">IS!J22</f>
        <v>1920.18</v>
      </c>
      <c r="L12" s="248" t="n">
        <f aca="false">IS!K22</f>
        <v>1854.138</v>
      </c>
      <c r="M12" s="248" t="n">
        <f aca="false">IS!L22</f>
        <v>2009.213</v>
      </c>
      <c r="N12" s="248" t="n">
        <f aca="false">IS!M22</f>
        <v>2009.18</v>
      </c>
      <c r="O12" s="248" t="n">
        <f aca="false">IS!N22</f>
        <v>2358.1</v>
      </c>
      <c r="P12" s="248" t="n">
        <f aca="false">IS!O22</f>
        <v>2358.1</v>
      </c>
      <c r="Q12" s="248" t="n">
        <f aca="false">IS!P22</f>
        <v>2794.25</v>
      </c>
      <c r="R12" s="248" t="n">
        <f aca="false">IS!Q22</f>
        <v>2229.731045</v>
      </c>
      <c r="S12" s="248" t="n">
        <f aca="false">IS!R22</f>
        <v>2244.6096659</v>
      </c>
      <c r="T12" s="248" t="n">
        <f aca="false">IS!S22</f>
        <v>2259.785859218</v>
      </c>
      <c r="U12" s="248" t="n">
        <f aca="false">IS!T22</f>
        <v>2275.26557640236</v>
      </c>
      <c r="V12" s="248" t="n">
        <f aca="false">IS!U22</f>
        <v>2291.05488793041</v>
      </c>
      <c r="W12" s="244" t="n">
        <f aca="false">SUM(C12:V12)</f>
        <v>37716.6920344508</v>
      </c>
      <c r="X12" s="245" t="n">
        <f aca="false">SUM(IS!B22:U22)</f>
        <v>37716.6920344508</v>
      </c>
      <c r="Y12" s="246" t="n">
        <f aca="false">W12-X12</f>
        <v>0</v>
      </c>
    </row>
    <row r="13" customFormat="false" ht="12.75" hidden="false" customHeight="true" outlineLevel="0" collapsed="false">
      <c r="A13" s="247" t="s">
        <v>146</v>
      </c>
      <c r="B13" s="167" t="n">
        <v>0</v>
      </c>
      <c r="C13" s="248" t="n">
        <f aca="false">SUM(Gleason!B43,Wheatland!B43,Wilton!B43)</f>
        <v>-629.1981014</v>
      </c>
      <c r="D13" s="248" t="n">
        <f aca="false">-C12</f>
        <v>-746.46</v>
      </c>
      <c r="E13" s="248" t="n">
        <f aca="false">-D12</f>
        <v>-1050.307</v>
      </c>
      <c r="F13" s="248" t="n">
        <f aca="false">-E12</f>
        <v>-1248.093</v>
      </c>
      <c r="G13" s="248" t="n">
        <f aca="false">-F12</f>
        <v>-1339.135</v>
      </c>
      <c r="H13" s="248" t="n">
        <f aca="false">-G12</f>
        <v>-1401.501</v>
      </c>
      <c r="I13" s="248" t="n">
        <f aca="false">-H12</f>
        <v>-1623.537</v>
      </c>
      <c r="J13" s="248" t="n">
        <f aca="false">-I12</f>
        <v>-1795.939</v>
      </c>
      <c r="K13" s="248" t="n">
        <f aca="false">-J12</f>
        <v>-1908.112</v>
      </c>
      <c r="L13" s="248" t="n">
        <f aca="false">-K12</f>
        <v>-1920.18</v>
      </c>
      <c r="M13" s="248" t="n">
        <f aca="false">-L12</f>
        <v>-1854.138</v>
      </c>
      <c r="N13" s="248" t="n">
        <f aca="false">-M12</f>
        <v>-2009.213</v>
      </c>
      <c r="O13" s="248" t="n">
        <f aca="false">-N12</f>
        <v>-2009.18</v>
      </c>
      <c r="P13" s="248" t="n">
        <f aca="false">-O12</f>
        <v>-2358.1</v>
      </c>
      <c r="Q13" s="248" t="n">
        <f aca="false">-P12</f>
        <v>-2358.1</v>
      </c>
      <c r="R13" s="248" t="n">
        <f aca="false">-Q12</f>
        <v>-2794.25</v>
      </c>
      <c r="S13" s="248" t="n">
        <f aca="false">-R12</f>
        <v>-2229.731045</v>
      </c>
      <c r="T13" s="248" t="n">
        <f aca="false">-S12</f>
        <v>-2244.6096659</v>
      </c>
      <c r="U13" s="248" t="n">
        <f aca="false">-T12</f>
        <v>-2259.785859218</v>
      </c>
      <c r="V13" s="248" t="n">
        <f aca="false">-U12</f>
        <v>-2275.26557640236</v>
      </c>
      <c r="W13" s="244" t="n">
        <f aca="false">SUM(C13:V13)</f>
        <v>-36054.8352479204</v>
      </c>
      <c r="X13" s="245" t="n">
        <f aca="false">SUM(Wheatland!W43,Wilton!W43,Gleason!W43)</f>
        <v>-36054.8352479204</v>
      </c>
      <c r="Y13" s="246" t="n">
        <f aca="false">W13-X13</f>
        <v>0</v>
      </c>
    </row>
    <row r="14" customFormat="false" ht="12.75" hidden="false" customHeight="true" outlineLevel="0" collapsed="false">
      <c r="A14" s="247" t="s">
        <v>147</v>
      </c>
      <c r="B14" s="167" t="n">
        <v>0</v>
      </c>
      <c r="C14" s="167" t="n">
        <f aca="false">-Debt!B75</f>
        <v>-7037.2044</v>
      </c>
      <c r="D14" s="167" t="n">
        <f aca="false">-Debt!C75</f>
        <v>-7980.0978</v>
      </c>
      <c r="E14" s="167" t="n">
        <f aca="false">-Debt!D75</f>
        <v>-9106.9704</v>
      </c>
      <c r="F14" s="167" t="n">
        <f aca="false">-Debt!E75</f>
        <v>-10532.8092</v>
      </c>
      <c r="G14" s="167" t="n">
        <f aca="false">-Debt!F75</f>
        <v>-12188.622</v>
      </c>
      <c r="H14" s="167" t="n">
        <f aca="false">-Debt!G75</f>
        <v>-12464.5908</v>
      </c>
      <c r="I14" s="167" t="n">
        <f aca="false">-Debt!H75</f>
        <v>-12901.5414</v>
      </c>
      <c r="J14" s="167" t="n">
        <f aca="false">-Debt!I75</f>
        <v>-13453.479</v>
      </c>
      <c r="K14" s="167" t="n">
        <f aca="false">-Debt!J75</f>
        <v>-14212.3932</v>
      </c>
      <c r="L14" s="167" t="n">
        <f aca="false">-Debt!K75</f>
        <v>-15109.2918</v>
      </c>
      <c r="M14" s="167" t="n">
        <f aca="false">-Debt!L75</f>
        <v>-16104.589</v>
      </c>
      <c r="N14" s="167" t="n">
        <f aca="false">-Debt!M75</f>
        <v>-17306.424</v>
      </c>
      <c r="O14" s="167" t="n">
        <f aca="false">-Debt!N75</f>
        <v>-18652.4792</v>
      </c>
      <c r="P14" s="167" t="n">
        <f aca="false">-Debt!O75</f>
        <v>-20238.9014</v>
      </c>
      <c r="Q14" s="167" t="n">
        <f aca="false">-Debt!P75</f>
        <v>-21969.5438</v>
      </c>
      <c r="R14" s="167" t="n">
        <f aca="false">-Debt!Q75</f>
        <v>-24084.7734</v>
      </c>
      <c r="S14" s="167" t="n">
        <f aca="false">-Debt!R75</f>
        <v>-26344.2232</v>
      </c>
      <c r="T14" s="167" t="n">
        <f aca="false">-Debt!S75</f>
        <v>-28892.1134</v>
      </c>
      <c r="U14" s="167" t="n">
        <f aca="false">-Debt!T75</f>
        <v>-31776.5174</v>
      </c>
      <c r="V14" s="167" t="n">
        <f aca="false">-Debt!U75</f>
        <v>-34997.4352</v>
      </c>
      <c r="W14" s="244" t="n">
        <f aca="false">SUM(C14:V14)</f>
        <v>-355354</v>
      </c>
      <c r="X14" s="245" t="n">
        <f aca="false">SUM(Debt!B75:U75)</f>
        <v>355354</v>
      </c>
      <c r="Y14" s="246" t="n">
        <f aca="false">W14+X14</f>
        <v>0</v>
      </c>
    </row>
    <row r="15" customFormat="false" ht="12.75" hidden="false" customHeight="true" outlineLevel="0" collapsed="false">
      <c r="A15" s="247" t="s">
        <v>148</v>
      </c>
      <c r="B15" s="249" t="n">
        <v>0</v>
      </c>
      <c r="C15" s="249" t="n">
        <f aca="false">-Debt!B76</f>
        <v>-39239.2739971855</v>
      </c>
      <c r="D15" s="249" t="n">
        <f aca="false">-Debt!C76</f>
        <v>-38547.9224191759</v>
      </c>
      <c r="E15" s="249" t="n">
        <f aca="false">-Debt!D76</f>
        <v>-37639.4901744613</v>
      </c>
      <c r="F15" s="249" t="n">
        <f aca="false">-Debt!E76</f>
        <v>-36699.9738262012</v>
      </c>
      <c r="G15" s="249" t="n">
        <f aca="false">-Debt!F76</f>
        <v>-35395.209640219</v>
      </c>
      <c r="H15" s="249" t="n">
        <f aca="false">-Debt!G76</f>
        <v>-34047.7326311677</v>
      </c>
      <c r="I15" s="249" t="n">
        <f aca="false">-Debt!H76</f>
        <v>-32665.4595012786</v>
      </c>
      <c r="J15" s="249" t="n">
        <f aca="false">-Debt!I76</f>
        <v>-31318.5570408214</v>
      </c>
      <c r="K15" s="249" t="n">
        <f aca="false">-Debt!J76</f>
        <v>-29732.0717140753</v>
      </c>
      <c r="L15" s="249" t="n">
        <f aca="false">-Debt!K76</f>
        <v>-28144.9281115784</v>
      </c>
      <c r="M15" s="249" t="n">
        <f aca="false">-Debt!L76</f>
        <v>-26448.3539355072</v>
      </c>
      <c r="N15" s="249" t="n">
        <f aca="false">-Debt!M76</f>
        <v>-24680.7374642464</v>
      </c>
      <c r="O15" s="249" t="n">
        <f aca="false">-Debt!N76</f>
        <v>-22637.0037039923</v>
      </c>
      <c r="P15" s="249" t="n">
        <f aca="false">-Debt!O76</f>
        <v>-20504.6016669087</v>
      </c>
      <c r="Q15" s="249" t="n">
        <f aca="false">-Debt!P76</f>
        <v>-18190.5733889577</v>
      </c>
      <c r="R15" s="249" t="n">
        <f aca="false">-Debt!Q76</f>
        <v>-15716.7948007819</v>
      </c>
      <c r="S15" s="249" t="n">
        <f aca="false">-Debt!R76</f>
        <v>-12912.6071092216</v>
      </c>
      <c r="T15" s="249" t="n">
        <f aca="false">-Debt!S76</f>
        <v>-9892.19559645833</v>
      </c>
      <c r="U15" s="249" t="n">
        <f aca="false">-Debt!T76</f>
        <v>-6577.12237371226</v>
      </c>
      <c r="V15" s="249" t="n">
        <f aca="false">-Debt!U76</f>
        <v>-2940.45528108858</v>
      </c>
      <c r="W15" s="250" t="n">
        <f aca="false">SUM(C15:V15)</f>
        <v>-503931.064377039</v>
      </c>
      <c r="X15" s="245" t="n">
        <f aca="false">SUM(Debt!B76:U76)</f>
        <v>503931.064377039</v>
      </c>
      <c r="Y15" s="246" t="n">
        <f aca="false">W15+X15</f>
        <v>0</v>
      </c>
    </row>
    <row r="16" customFormat="false" ht="12.75" hidden="false" customHeight="true" outlineLevel="0" collapsed="false">
      <c r="A16" s="247"/>
      <c r="B16" s="167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245"/>
      <c r="Y16" s="163"/>
    </row>
    <row r="17" customFormat="false" ht="12.75" hidden="false" customHeight="true" outlineLevel="0" collapsed="false">
      <c r="A17" s="243" t="s">
        <v>149</v>
      </c>
      <c r="B17" s="155" t="n">
        <f aca="false">SUM(B10:B15)</f>
        <v>0</v>
      </c>
      <c r="C17" s="155" t="n">
        <f aca="false">SUM(C10:C15)</f>
        <v>58237.5749460014</v>
      </c>
      <c r="D17" s="155" t="n">
        <f aca="false">SUM(D10:D15)</f>
        <v>63374.7727937219</v>
      </c>
      <c r="E17" s="155" t="n">
        <f aca="false">SUM(E10:E15)</f>
        <v>68528.2390374323</v>
      </c>
      <c r="F17" s="155" t="n">
        <f aca="false">SUM(F10:F15)</f>
        <v>73806.6996144599</v>
      </c>
      <c r="G17" s="155" t="n">
        <f aca="false">SUM(G10:G15)</f>
        <v>79627.3708553519</v>
      </c>
      <c r="H17" s="155" t="n">
        <f aca="false">SUM(H10:H15)</f>
        <v>82872.0673203305</v>
      </c>
      <c r="I17" s="155" t="n">
        <f aca="false">SUM(I10:I15)</f>
        <v>85870.1206025076</v>
      </c>
      <c r="J17" s="155" t="n">
        <f aca="false">SUM(J10:J15)</f>
        <v>88807.4569861213</v>
      </c>
      <c r="K17" s="155" t="n">
        <f aca="false">SUM(K10:K15)</f>
        <v>91878.8064255979</v>
      </c>
      <c r="L17" s="155" t="n">
        <f aca="false">SUM(L10:L15)</f>
        <v>94954.5210423543</v>
      </c>
      <c r="M17" s="155" t="n">
        <f aca="false">SUM(M10:M15)</f>
        <v>98067.3805962919</v>
      </c>
      <c r="N17" s="155" t="n">
        <f aca="false">SUM(N10:N15)</f>
        <v>100863.995647844</v>
      </c>
      <c r="O17" s="155" t="n">
        <f aca="false">SUM(O10:O15)</f>
        <v>103982.293852231</v>
      </c>
      <c r="P17" s="155" t="n">
        <f aca="false">SUM(P10:P15)</f>
        <v>106643.961324072</v>
      </c>
      <c r="Q17" s="155" t="n">
        <f aca="false">SUM(Q10:Q15)</f>
        <v>109726.790742275</v>
      </c>
      <c r="R17" s="155" t="n">
        <f aca="false">SUM(R10:R15)</f>
        <v>111808.201722232</v>
      </c>
      <c r="S17" s="155" t="n">
        <f aca="false">SUM(S10:S15)</f>
        <v>115096.63496911</v>
      </c>
      <c r="T17" s="155" t="n">
        <f aca="false">SUM(T10:T15)</f>
        <v>117761.131838397</v>
      </c>
      <c r="U17" s="155" t="n">
        <f aca="false">SUM(U10:U15)</f>
        <v>120411.431406523</v>
      </c>
      <c r="V17" s="155" t="n">
        <f aca="false">SUM(V10:V15)</f>
        <v>123074.734382984</v>
      </c>
      <c r="W17" s="244" t="n">
        <f aca="false">SUM(C17:V17)</f>
        <v>1895394.18610584</v>
      </c>
      <c r="X17" s="245" t="n">
        <f aca="false">SUM(Wheatland!W46,Wilton!W46,Gleason!W46)</f>
        <v>1895394.18610584</v>
      </c>
      <c r="Y17" s="246" t="n">
        <f aca="false">W17-X17</f>
        <v>0</v>
      </c>
    </row>
    <row r="18" customFormat="false" ht="12.75" hidden="false" customHeight="true" outlineLevel="0" collapsed="false">
      <c r="A18" s="243"/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240"/>
      <c r="Y18" s="163"/>
    </row>
    <row r="19" customFormat="false" ht="12.75" hidden="false" customHeight="true" outlineLevel="0" collapsed="false">
      <c r="A19" s="164" t="s">
        <v>150</v>
      </c>
      <c r="B19" s="167" t="n">
        <v>0</v>
      </c>
      <c r="C19" s="167" t="n">
        <f aca="false">-Tax!B8</f>
        <v>-1897.79508092763</v>
      </c>
      <c r="D19" s="167" t="n">
        <f aca="false">-Tax!C8</f>
        <v>-559.756011991451</v>
      </c>
      <c r="E19" s="167" t="n">
        <f aca="false">-Tax!D8</f>
        <v>-1065.6152125351</v>
      </c>
      <c r="F19" s="167" t="n">
        <f aca="false">-Tax!E8</f>
        <v>-1568.81598873408</v>
      </c>
      <c r="G19" s="167" t="n">
        <f aca="false">-Tax!F8</f>
        <v>-2663.20416453787</v>
      </c>
      <c r="H19" s="167" t="n">
        <f aca="false">-Tax!G8</f>
        <v>-3403.42794127021</v>
      </c>
      <c r="I19" s="167" t="n">
        <f aca="false">-Tax!H8</f>
        <v>-3812.07632879992</v>
      </c>
      <c r="J19" s="167" t="n">
        <f aca="false">-Tax!I8</f>
        <v>-4058.94241225894</v>
      </c>
      <c r="K19" s="167" t="n">
        <f aca="false">-Tax!J8</f>
        <v>-4343.41002940975</v>
      </c>
      <c r="L19" s="167" t="n">
        <f aca="false">-Tax!K8</f>
        <v>-4627.31872952373</v>
      </c>
      <c r="M19" s="167" t="n">
        <f aca="false">-Tax!L8</f>
        <v>-4901.77492647849</v>
      </c>
      <c r="N19" s="167" t="n">
        <f aca="false">-Tax!M8</f>
        <v>-5186.44164407415</v>
      </c>
      <c r="O19" s="167" t="n">
        <f aca="false">-Tax!N8</f>
        <v>-5481.82464258019</v>
      </c>
      <c r="P19" s="167" t="n">
        <f aca="false">-Tax!O8</f>
        <v>-5797.5311718731</v>
      </c>
      <c r="Q19" s="167" t="n">
        <f aca="false">-Tax!P8</f>
        <v>-6112.09444316347</v>
      </c>
      <c r="R19" s="167" t="n">
        <f aca="false">-Tax!Q8</f>
        <v>-6471.89198857136</v>
      </c>
      <c r="S19" s="167" t="n">
        <f aca="false">-Tax!R8</f>
        <v>-9719.26869066114</v>
      </c>
      <c r="T19" s="167" t="n">
        <f aca="false">-Tax!S8</f>
        <v>-10086.1995556396</v>
      </c>
      <c r="U19" s="167" t="n">
        <f aca="false">-Tax!T8</f>
        <v>-10475.8177683715</v>
      </c>
      <c r="V19" s="167" t="n">
        <f aca="false">-Tax!U8</f>
        <v>-10890.0370806638</v>
      </c>
      <c r="W19" s="244" t="n">
        <f aca="false">SUM(C19:V19)</f>
        <v>-103123.243812065</v>
      </c>
      <c r="X19" s="245" t="n">
        <f aca="false">SUM(Wheatland!W48,Wilton!W48,Gleason!W48)</f>
        <v>-103123.243812065</v>
      </c>
      <c r="Y19" s="246" t="n">
        <f aca="false">W19-X19</f>
        <v>0</v>
      </c>
    </row>
    <row r="20" customFormat="false" ht="12.75" hidden="false" customHeight="true" outlineLevel="0" collapsed="false">
      <c r="A20" s="164" t="s">
        <v>151</v>
      </c>
      <c r="B20" s="249" t="n">
        <v>0</v>
      </c>
      <c r="C20" s="249" t="n">
        <f aca="false">-Tax!B24</f>
        <v>-8069.8166560005</v>
      </c>
      <c r="D20" s="249" t="n">
        <f aca="false">-Tax!C24</f>
        <v>-0</v>
      </c>
      <c r="E20" s="249" t="n">
        <f aca="false">-Tax!D24</f>
        <v>-605.455450441827</v>
      </c>
      <c r="F20" s="249" t="n">
        <f aca="false">-Tax!E24</f>
        <v>-7268.40508371544</v>
      </c>
      <c r="G20" s="249" t="n">
        <f aca="false">-Tax!F24</f>
        <v>-11679.1225070252</v>
      </c>
      <c r="H20" s="249" t="n">
        <f aca="false">-Tax!G24</f>
        <v>-14566.3445920285</v>
      </c>
      <c r="I20" s="249" t="n">
        <f aca="false">-Tax!H24</f>
        <v>-16571.6326025246</v>
      </c>
      <c r="J20" s="249" t="n">
        <f aca="false">-Tax!I24</f>
        <v>-17699.4133452342</v>
      </c>
      <c r="K20" s="249" t="n">
        <f aca="false">-Tax!J24</f>
        <v>-19003.6208753928</v>
      </c>
      <c r="L20" s="249" t="n">
        <f aca="false">-Tax!K24</f>
        <v>-20293.8637838731</v>
      </c>
      <c r="M20" s="249" t="n">
        <f aca="false">-Tax!L24</f>
        <v>-21586.4102011616</v>
      </c>
      <c r="N20" s="249" t="n">
        <f aca="false">-Tax!M24</f>
        <v>-22912.3799957017</v>
      </c>
      <c r="O20" s="249" t="n">
        <f aca="false">-Tax!N24</f>
        <v>-24277.5282601049</v>
      </c>
      <c r="P20" s="249" t="n">
        <f aca="false">-Tax!O24</f>
        <v>-25747.842187652</v>
      </c>
      <c r="Q20" s="249" t="n">
        <f aca="false">-Tax!P24</f>
        <v>-27197.9498514159</v>
      </c>
      <c r="R20" s="249" t="n">
        <f aca="false">-Tax!Q24</f>
        <v>-28891.0790477583</v>
      </c>
      <c r="S20" s="249" t="n">
        <f aca="false">-Tax!R24</f>
        <v>-46097.3488001422</v>
      </c>
      <c r="T20" s="249" t="n">
        <f aca="false">-Tax!S24</f>
        <v>-47793.1543213037</v>
      </c>
      <c r="U20" s="249" t="n">
        <f aca="false">-Tax!T24</f>
        <v>-49593.8279623386</v>
      </c>
      <c r="V20" s="249" t="n">
        <f aca="false">-Tax!U24</f>
        <v>-51508.2201167774</v>
      </c>
      <c r="W20" s="250" t="n">
        <f aca="false">SUM(C20:V20)</f>
        <v>-461363.415640592</v>
      </c>
      <c r="X20" s="245" t="n">
        <f aca="false">SUM(Wheatland!W49,Wilton!W49,Gleason!W49)</f>
        <v>-461363.415640592</v>
      </c>
      <c r="Y20" s="246" t="n">
        <f aca="false">W20-X20</f>
        <v>0</v>
      </c>
    </row>
    <row r="21" customFormat="false" ht="12.75" hidden="false" customHeight="true" outlineLevel="0" collapsed="false">
      <c r="A21" s="247"/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251"/>
      <c r="Y21" s="163"/>
    </row>
    <row r="22" customFormat="false" ht="12.75" hidden="false" customHeight="true" outlineLevel="0" collapsed="false">
      <c r="A22" s="243" t="s">
        <v>152</v>
      </c>
      <c r="B22" s="155" t="n">
        <f aca="false">SUM(B20,B19,B17)</f>
        <v>0</v>
      </c>
      <c r="C22" s="155" t="n">
        <f aca="false">SUM(C20,C19,C17)</f>
        <v>48269.9632090733</v>
      </c>
      <c r="D22" s="155" t="n">
        <f aca="false">SUM(D20,D19,D17)</f>
        <v>62815.0167817304</v>
      </c>
      <c r="E22" s="155" t="n">
        <f aca="false">SUM(E20,E19,E17)</f>
        <v>66857.1683744554</v>
      </c>
      <c r="F22" s="155" t="n">
        <f aca="false">SUM(F20,F19,F17)</f>
        <v>64969.4785420104</v>
      </c>
      <c r="G22" s="155" t="n">
        <f aca="false">SUM(G20,G19,G17)</f>
        <v>65285.0441837889</v>
      </c>
      <c r="H22" s="155" t="n">
        <f aca="false">SUM(H20,H19,H17)</f>
        <v>64902.2947870318</v>
      </c>
      <c r="I22" s="155" t="n">
        <f aca="false">SUM(I20,I19,I17)</f>
        <v>65486.4116711831</v>
      </c>
      <c r="J22" s="155" t="n">
        <f aca="false">SUM(J20,J19,J17)</f>
        <v>67049.1012286281</v>
      </c>
      <c r="K22" s="155" t="n">
        <f aca="false">SUM(K20,K19,K17)</f>
        <v>68531.7755207954</v>
      </c>
      <c r="L22" s="155" t="n">
        <f aca="false">SUM(L20,L19,L17)</f>
        <v>70033.3385289575</v>
      </c>
      <c r="M22" s="155" t="n">
        <f aca="false">SUM(M20,M19,M17)</f>
        <v>71579.1954686518</v>
      </c>
      <c r="N22" s="155" t="n">
        <f aca="false">SUM(N20,N19,N17)</f>
        <v>72765.1740080678</v>
      </c>
      <c r="O22" s="155" t="n">
        <f aca="false">SUM(O20,O19,O17)</f>
        <v>74222.9409495464</v>
      </c>
      <c r="P22" s="155" t="n">
        <f aca="false">SUM(P20,P19,P17)</f>
        <v>75098.5879645468</v>
      </c>
      <c r="Q22" s="155" t="n">
        <f aca="false">SUM(Q20,Q19,Q17)</f>
        <v>76416.7464476954</v>
      </c>
      <c r="R22" s="155" t="n">
        <f aca="false">SUM(R20,R19,R17)</f>
        <v>76445.2306859028</v>
      </c>
      <c r="S22" s="155" t="n">
        <f aca="false">SUM(S20,S19,S17)</f>
        <v>59280.0174783069</v>
      </c>
      <c r="T22" s="155" t="n">
        <f aca="false">SUM(T20,T19,T17)</f>
        <v>59881.7779614535</v>
      </c>
      <c r="U22" s="155" t="n">
        <f aca="false">SUM(U20,U19,U17)</f>
        <v>60341.7856758133</v>
      </c>
      <c r="V22" s="155" t="n">
        <f aca="false">SUM(V20,V19,V17)</f>
        <v>60676.4771855433</v>
      </c>
      <c r="W22" s="252" t="n">
        <f aca="false">SUM(W20,W19,W17)</f>
        <v>1330907.52665318</v>
      </c>
      <c r="X22" s="245" t="n">
        <f aca="false">SUM(Wheatland!W51,Wilton!W51,Gleason!W51)</f>
        <v>1330907.52665318</v>
      </c>
      <c r="Y22" s="246" t="n">
        <f aca="false">W22-X22</f>
        <v>0</v>
      </c>
    </row>
    <row r="23" customFormat="false" ht="12.75" hidden="false" customHeight="true" outlineLevel="0" collapsed="false">
      <c r="A23" s="247"/>
      <c r="B23" s="192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92"/>
      <c r="X23" s="192"/>
      <c r="Y23" s="2"/>
    </row>
    <row r="24" customFormat="false" ht="18" hidden="false" customHeight="true" outlineLevel="0" collapsed="false">
      <c r="A24" s="233" t="s">
        <v>153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92"/>
      <c r="X24" s="92"/>
      <c r="Y24" s="92"/>
    </row>
    <row r="25" customFormat="false" ht="12" hidden="false" customHeight="true" outlineLevel="0" collapsed="false">
      <c r="A25" s="23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92"/>
      <c r="X25" s="92"/>
      <c r="Y25" s="92"/>
    </row>
    <row r="26" customFormat="false" ht="13.5" hidden="false" customHeight="true" outlineLevel="0" collapsed="false">
      <c r="A26" s="149" t="s">
        <v>100</v>
      </c>
      <c r="B26" s="182" t="s">
        <v>144</v>
      </c>
      <c r="C26" s="150" t="n">
        <v>2001</v>
      </c>
      <c r="D26" s="150" t="n">
        <f aca="false">C26+1</f>
        <v>2002</v>
      </c>
      <c r="E26" s="150" t="n">
        <f aca="false">D26+1</f>
        <v>2003</v>
      </c>
      <c r="F26" s="150" t="n">
        <f aca="false">E26+1</f>
        <v>2004</v>
      </c>
      <c r="G26" s="150" t="n">
        <f aca="false">F26+1</f>
        <v>2005</v>
      </c>
      <c r="H26" s="150" t="n">
        <f aca="false">G26+1</f>
        <v>2006</v>
      </c>
      <c r="I26" s="150" t="n">
        <f aca="false">H26+1</f>
        <v>2007</v>
      </c>
      <c r="J26" s="150" t="n">
        <f aca="false">I26+1</f>
        <v>2008</v>
      </c>
      <c r="K26" s="150" t="n">
        <f aca="false">J26+1</f>
        <v>2009</v>
      </c>
      <c r="L26" s="150" t="n">
        <f aca="false">K26+1</f>
        <v>2010</v>
      </c>
      <c r="M26" s="150" t="n">
        <f aca="false">L26+1</f>
        <v>2011</v>
      </c>
      <c r="N26" s="150" t="n">
        <f aca="false">M26+1</f>
        <v>2012</v>
      </c>
      <c r="O26" s="150" t="n">
        <f aca="false">N26+1</f>
        <v>2013</v>
      </c>
      <c r="P26" s="150" t="n">
        <f aca="false">O26+1</f>
        <v>2014</v>
      </c>
      <c r="Q26" s="150" t="n">
        <f aca="false">P26+1</f>
        <v>2015</v>
      </c>
      <c r="R26" s="150" t="n">
        <f aca="false">Q26+1</f>
        <v>2016</v>
      </c>
      <c r="S26" s="150" t="n">
        <f aca="false">R26+1</f>
        <v>2017</v>
      </c>
      <c r="T26" s="150" t="n">
        <f aca="false">S26+1</f>
        <v>2018</v>
      </c>
      <c r="U26" s="150" t="n">
        <f aca="false">T26+1</f>
        <v>2019</v>
      </c>
      <c r="V26" s="150" t="n">
        <f aca="false">U26+1</f>
        <v>2020</v>
      </c>
      <c r="W26" s="92"/>
      <c r="X26" s="2"/>
      <c r="Y26" s="92"/>
    </row>
    <row r="27" customFormat="false" ht="12.75" hidden="false" customHeight="tru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92"/>
      <c r="W27" s="92"/>
      <c r="X27" s="2"/>
      <c r="Y27" s="92"/>
    </row>
    <row r="28" customFormat="false" ht="12.75" hidden="false" customHeight="true" outlineLevel="0" collapsed="false">
      <c r="A28" s="2" t="s">
        <v>154</v>
      </c>
      <c r="B28" s="167" t="n">
        <f aca="false">-'Summary Output'!C7</f>
        <v>-448708.06698659</v>
      </c>
      <c r="C28" s="167" t="n">
        <v>0</v>
      </c>
      <c r="D28" s="167" t="n">
        <v>0</v>
      </c>
      <c r="E28" s="167" t="n">
        <v>0</v>
      </c>
      <c r="F28" s="167" t="n">
        <v>0</v>
      </c>
      <c r="G28" s="167" t="n">
        <v>0</v>
      </c>
      <c r="H28" s="167" t="n">
        <v>0</v>
      </c>
      <c r="I28" s="167" t="n">
        <v>0</v>
      </c>
      <c r="J28" s="167" t="n">
        <v>0</v>
      </c>
      <c r="K28" s="167" t="n">
        <v>0</v>
      </c>
      <c r="L28" s="167" t="n">
        <v>0</v>
      </c>
      <c r="M28" s="167" t="n">
        <v>0</v>
      </c>
      <c r="N28" s="167" t="n">
        <v>0</v>
      </c>
      <c r="O28" s="167" t="n">
        <v>0</v>
      </c>
      <c r="P28" s="167" t="n">
        <v>0</v>
      </c>
      <c r="Q28" s="167" t="n">
        <v>0</v>
      </c>
      <c r="R28" s="167" t="n">
        <v>0</v>
      </c>
      <c r="S28" s="167" t="n">
        <v>0</v>
      </c>
      <c r="T28" s="167" t="n">
        <v>0</v>
      </c>
      <c r="U28" s="167" t="n">
        <v>0</v>
      </c>
      <c r="V28" s="167" t="n">
        <v>0</v>
      </c>
      <c r="W28" s="92"/>
      <c r="X28" s="92"/>
      <c r="Y28" s="92"/>
    </row>
    <row r="29" customFormat="false" ht="12.75" hidden="false" customHeight="true" outlineLevel="0" collapsed="false">
      <c r="A29" s="2" t="s">
        <v>155</v>
      </c>
      <c r="B29" s="167" t="n">
        <f aca="false">B22</f>
        <v>0</v>
      </c>
      <c r="C29" s="167" t="n">
        <f aca="false">C22</f>
        <v>48269.9632090733</v>
      </c>
      <c r="D29" s="167" t="n">
        <f aca="false">D22</f>
        <v>62815.0167817304</v>
      </c>
      <c r="E29" s="167" t="n">
        <f aca="false">E22</f>
        <v>66857.1683744554</v>
      </c>
      <c r="F29" s="167" t="n">
        <f aca="false">F22</f>
        <v>64969.4785420104</v>
      </c>
      <c r="G29" s="167" t="n">
        <f aca="false">G22</f>
        <v>65285.0441837889</v>
      </c>
      <c r="H29" s="167" t="n">
        <f aca="false">H22</f>
        <v>64902.2947870318</v>
      </c>
      <c r="I29" s="167" t="n">
        <f aca="false">I22</f>
        <v>65486.4116711831</v>
      </c>
      <c r="J29" s="167" t="n">
        <f aca="false">J22</f>
        <v>67049.1012286281</v>
      </c>
      <c r="K29" s="167" t="n">
        <f aca="false">K22</f>
        <v>68531.7755207954</v>
      </c>
      <c r="L29" s="167" t="n">
        <f aca="false">L22</f>
        <v>70033.3385289575</v>
      </c>
      <c r="M29" s="167" t="n">
        <f aca="false">M22</f>
        <v>71579.1954686518</v>
      </c>
      <c r="N29" s="167" t="n">
        <f aca="false">N22</f>
        <v>72765.1740080678</v>
      </c>
      <c r="O29" s="167" t="n">
        <f aca="false">O22</f>
        <v>74222.9409495464</v>
      </c>
      <c r="P29" s="167" t="n">
        <f aca="false">P22</f>
        <v>75098.5879645468</v>
      </c>
      <c r="Q29" s="167" t="n">
        <f aca="false">Q22</f>
        <v>76416.7464476954</v>
      </c>
      <c r="R29" s="167" t="n">
        <f aca="false">R22</f>
        <v>76445.2306859028</v>
      </c>
      <c r="S29" s="167" t="n">
        <f aca="false">S22</f>
        <v>59280.0174783069</v>
      </c>
      <c r="T29" s="167" t="n">
        <f aca="false">T22</f>
        <v>59881.7779614535</v>
      </c>
      <c r="U29" s="167" t="n">
        <f aca="false">U22</f>
        <v>60341.7856758133</v>
      </c>
      <c r="V29" s="167" t="n">
        <f aca="false">V22</f>
        <v>60676.4771855433</v>
      </c>
      <c r="W29" s="92"/>
      <c r="X29" s="92"/>
      <c r="Y29" s="92"/>
    </row>
    <row r="30" customFormat="false" ht="12.75" hidden="false" customHeight="true" outlineLevel="0" collapsed="false">
      <c r="A30" s="2" t="s">
        <v>156</v>
      </c>
      <c r="B30" s="249" t="n">
        <v>0</v>
      </c>
      <c r="C30" s="249" t="n">
        <v>0</v>
      </c>
      <c r="D30" s="249" t="n">
        <v>0</v>
      </c>
      <c r="E30" s="249" t="n">
        <v>0</v>
      </c>
      <c r="F30" s="249" t="n">
        <v>0</v>
      </c>
      <c r="G30" s="249" t="n">
        <v>0</v>
      </c>
      <c r="H30" s="249" t="n">
        <v>0</v>
      </c>
      <c r="I30" s="249" t="n">
        <v>0</v>
      </c>
      <c r="J30" s="249" t="n">
        <v>0</v>
      </c>
      <c r="K30" s="249" t="n">
        <v>0</v>
      </c>
      <c r="L30" s="249" t="n">
        <v>0</v>
      </c>
      <c r="M30" s="249" t="n">
        <v>0</v>
      </c>
      <c r="N30" s="249" t="n">
        <v>0</v>
      </c>
      <c r="O30" s="249" t="n">
        <v>0</v>
      </c>
      <c r="P30" s="249" t="n">
        <v>0</v>
      </c>
      <c r="Q30" s="249" t="n">
        <v>0</v>
      </c>
      <c r="R30" s="249" t="n">
        <v>0</v>
      </c>
      <c r="S30" s="249" t="n">
        <v>0</v>
      </c>
      <c r="T30" s="249" t="n">
        <v>0</v>
      </c>
      <c r="U30" s="249" t="n">
        <v>0</v>
      </c>
      <c r="V30" s="249" t="n">
        <f aca="false">2*V10</f>
        <v>321993.67110509</v>
      </c>
      <c r="W30" s="92"/>
      <c r="X30" s="92"/>
      <c r="Y30" s="92"/>
    </row>
    <row r="31" customFormat="false" ht="12.75" hidden="false" customHeight="true" outlineLevel="0" collapsed="false">
      <c r="A31" s="2" t="s">
        <v>157</v>
      </c>
      <c r="B31" s="167" t="n">
        <f aca="false">SUM(B28:B30)</f>
        <v>-448708.06698659</v>
      </c>
      <c r="C31" s="167" t="n">
        <f aca="false">SUM(C28:C30)</f>
        <v>48269.9632090733</v>
      </c>
      <c r="D31" s="167" t="n">
        <f aca="false">SUM(D28:D30)</f>
        <v>62815.0167817304</v>
      </c>
      <c r="E31" s="167" t="n">
        <f aca="false">SUM(E28:E30)</f>
        <v>66857.1683744554</v>
      </c>
      <c r="F31" s="167" t="n">
        <f aca="false">SUM(F28:F30)</f>
        <v>64969.4785420104</v>
      </c>
      <c r="G31" s="167" t="n">
        <f aca="false">SUM(G28:G30)</f>
        <v>65285.0441837889</v>
      </c>
      <c r="H31" s="167" t="n">
        <f aca="false">SUM(H28:H30)</f>
        <v>64902.2947870318</v>
      </c>
      <c r="I31" s="167" t="n">
        <f aca="false">SUM(I28:I30)</f>
        <v>65486.4116711831</v>
      </c>
      <c r="J31" s="167" t="n">
        <f aca="false">SUM(J28:J30)</f>
        <v>67049.1012286281</v>
      </c>
      <c r="K31" s="167" t="n">
        <f aca="false">SUM(K28:K30)</f>
        <v>68531.7755207954</v>
      </c>
      <c r="L31" s="167" t="n">
        <f aca="false">SUM(L28:L30)</f>
        <v>70033.3385289575</v>
      </c>
      <c r="M31" s="167" t="n">
        <f aca="false">SUM(M28:M30)</f>
        <v>71579.1954686518</v>
      </c>
      <c r="N31" s="167" t="n">
        <f aca="false">SUM(N28:N30)</f>
        <v>72765.1740080678</v>
      </c>
      <c r="O31" s="167" t="n">
        <f aca="false">SUM(O28:O30)</f>
        <v>74222.9409495464</v>
      </c>
      <c r="P31" s="167" t="n">
        <f aca="false">SUM(P28:P30)</f>
        <v>75098.5879645468</v>
      </c>
      <c r="Q31" s="167" t="n">
        <f aca="false">SUM(Q28:Q30)</f>
        <v>76416.7464476954</v>
      </c>
      <c r="R31" s="167" t="n">
        <f aca="false">SUM(R28:R30)</f>
        <v>76445.2306859028</v>
      </c>
      <c r="S31" s="167" t="n">
        <f aca="false">SUM(S28:S30)</f>
        <v>59280.0174783069</v>
      </c>
      <c r="T31" s="167" t="n">
        <f aca="false">SUM(T28:T30)</f>
        <v>59881.7779614535</v>
      </c>
      <c r="U31" s="167" t="n">
        <f aca="false">SUM(U28:U30)</f>
        <v>60341.7856758133</v>
      </c>
      <c r="V31" s="167" t="n">
        <f aca="false">SUM(V28:V30)</f>
        <v>382670.148290633</v>
      </c>
      <c r="W31" s="92"/>
      <c r="X31" s="92"/>
      <c r="Y31" s="92"/>
    </row>
    <row r="32" customFormat="false" ht="12.75" hidden="false" customHeight="true" outlineLevel="0" collapsed="false">
      <c r="A32" s="2" t="s">
        <v>158</v>
      </c>
      <c r="B32" s="253" t="n">
        <f aca="false">XIRR(B31:V31,B8:V8)</f>
        <v>0.140382973056834</v>
      </c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92"/>
      <c r="X32" s="92"/>
      <c r="Y32" s="92"/>
    </row>
  </sheetData>
  <mergeCells count="1">
    <mergeCell ref="X7:Y7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&amp;L&amp;12Enron's Generation&amp;RCONFIDENTIAL</oddHeader>
    <oddFooter>&amp;L&amp;D&amp;C&amp;F&amp;RPage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99"/>
    <col collapsed="false" customWidth="true" hidden="false" outlineLevel="0" max="2" min="2" style="0" width="11.42"/>
    <col collapsed="false" customWidth="true" hidden="false" outlineLevel="0" max="22" min="3" style="0" width="8.7"/>
    <col collapsed="false" customWidth="true" hidden="false" outlineLevel="0" max="23" min="23" style="0" width="11.7"/>
    <col collapsed="false" customWidth="true" hidden="false" outlineLevel="0" max="24" min="24" style="0" width="20.7"/>
    <col collapsed="false" customWidth="true" hidden="false" outlineLevel="0" max="25" min="25" style="0" width="7.28"/>
  </cols>
  <sheetData>
    <row r="1" customFormat="false" ht="12.7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customFormat="false" ht="18" hidden="false" customHeight="true" outlineLevel="0" collapsed="false">
      <c r="A2" s="144" t="s">
        <v>159</v>
      </c>
      <c r="B2" s="144"/>
      <c r="C2" s="254"/>
      <c r="D2" s="25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customFormat="false" ht="12.75" hidden="false" customHeight="true" outlineLevel="0" collapsed="false">
      <c r="A3" s="2"/>
      <c r="B3" s="256" t="s">
        <v>160</v>
      </c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"/>
      <c r="X3" s="2"/>
      <c r="Y3" s="2"/>
    </row>
    <row r="4" customFormat="false" ht="13.5" hidden="false" customHeight="true" outlineLevel="0" collapsed="false">
      <c r="A4" s="149" t="s">
        <v>100</v>
      </c>
      <c r="B4" s="182" t="s">
        <v>161</v>
      </c>
      <c r="C4" s="257" t="n">
        <v>2001</v>
      </c>
      <c r="D4" s="257" t="n">
        <v>2002</v>
      </c>
      <c r="E4" s="257" t="n">
        <v>2003</v>
      </c>
      <c r="F4" s="257" t="n">
        <v>2004</v>
      </c>
      <c r="G4" s="257" t="n">
        <v>2005</v>
      </c>
      <c r="H4" s="257" t="n">
        <v>2006</v>
      </c>
      <c r="I4" s="257" t="n">
        <v>2007</v>
      </c>
      <c r="J4" s="257" t="n">
        <v>2008</v>
      </c>
      <c r="K4" s="257" t="n">
        <v>2009</v>
      </c>
      <c r="L4" s="257" t="n">
        <v>2010</v>
      </c>
      <c r="M4" s="257" t="n">
        <v>2011</v>
      </c>
      <c r="N4" s="257" t="n">
        <v>2012</v>
      </c>
      <c r="O4" s="257" t="n">
        <v>2013</v>
      </c>
      <c r="P4" s="257" t="n">
        <v>2014</v>
      </c>
      <c r="Q4" s="257" t="n">
        <v>2015</v>
      </c>
      <c r="R4" s="257" t="n">
        <v>2016</v>
      </c>
      <c r="S4" s="257" t="n">
        <v>2017</v>
      </c>
      <c r="T4" s="257" t="n">
        <v>2018</v>
      </c>
      <c r="U4" s="257" t="n">
        <v>2019</v>
      </c>
      <c r="V4" s="257" t="n">
        <v>2020</v>
      </c>
      <c r="W4" s="258"/>
      <c r="X4" s="258"/>
      <c r="Y4" s="258"/>
    </row>
    <row r="5" customFormat="false" ht="12.75" hidden="false" customHeight="true" outlineLevel="0" collapsed="false">
      <c r="A5" s="2"/>
      <c r="B5" s="259" t="n">
        <v>0</v>
      </c>
      <c r="C5" s="259" t="n">
        <v>1</v>
      </c>
      <c r="D5" s="259" t="n">
        <v>2</v>
      </c>
      <c r="E5" s="259" t="n">
        <f aca="false">D5+1</f>
        <v>3</v>
      </c>
      <c r="F5" s="259" t="n">
        <f aca="false">E5+1</f>
        <v>4</v>
      </c>
      <c r="G5" s="259" t="n">
        <f aca="false">F5+1</f>
        <v>5</v>
      </c>
      <c r="H5" s="259" t="n">
        <f aca="false">G5+1</f>
        <v>6</v>
      </c>
      <c r="I5" s="259" t="n">
        <f aca="false">H5+1</f>
        <v>7</v>
      </c>
      <c r="J5" s="259" t="n">
        <f aca="false">I5+1</f>
        <v>8</v>
      </c>
      <c r="K5" s="259" t="n">
        <f aca="false">J5+1</f>
        <v>9</v>
      </c>
      <c r="L5" s="259" t="n">
        <f aca="false">K5+1</f>
        <v>10</v>
      </c>
      <c r="M5" s="259" t="n">
        <f aca="false">L5+1</f>
        <v>11</v>
      </c>
      <c r="N5" s="259" t="n">
        <f aca="false">M5+1</f>
        <v>12</v>
      </c>
      <c r="O5" s="259" t="n">
        <f aca="false">N5+1</f>
        <v>13</v>
      </c>
      <c r="P5" s="259" t="n">
        <f aca="false">O5+1</f>
        <v>14</v>
      </c>
      <c r="Q5" s="259" t="n">
        <f aca="false">P5+1</f>
        <v>15</v>
      </c>
      <c r="R5" s="259" t="n">
        <f aca="false">Q5+1</f>
        <v>16</v>
      </c>
      <c r="S5" s="259" t="n">
        <f aca="false">R5+1</f>
        <v>17</v>
      </c>
      <c r="T5" s="259" t="n">
        <f aca="false">S5+1</f>
        <v>18</v>
      </c>
      <c r="U5" s="259" t="n">
        <f aca="false">T5+1</f>
        <v>19</v>
      </c>
      <c r="V5" s="259" t="n">
        <f aca="false">U5+1</f>
        <v>20</v>
      </c>
      <c r="W5" s="2"/>
      <c r="X5" s="2"/>
      <c r="Y5" s="2"/>
    </row>
    <row r="6" customFormat="false" ht="12.75" hidden="false" customHeight="true" outlineLevel="0" collapsed="false">
      <c r="A6" s="260" t="s">
        <v>37</v>
      </c>
      <c r="B6" s="259" t="n">
        <v>0</v>
      </c>
      <c r="C6" s="259" t="n">
        <v>1</v>
      </c>
      <c r="D6" s="259" t="n">
        <v>2</v>
      </c>
      <c r="E6" s="259" t="n">
        <f aca="false">D6+1</f>
        <v>3</v>
      </c>
      <c r="F6" s="259" t="n">
        <f aca="false">E6+1</f>
        <v>4</v>
      </c>
      <c r="G6" s="259" t="n">
        <f aca="false">F6+1</f>
        <v>5</v>
      </c>
      <c r="H6" s="259" t="n">
        <f aca="false">G6+1</f>
        <v>6</v>
      </c>
      <c r="I6" s="259" t="n">
        <f aca="false">H6+1</f>
        <v>7</v>
      </c>
      <c r="J6" s="259" t="n">
        <f aca="false">I6+1</f>
        <v>8</v>
      </c>
      <c r="K6" s="259" t="n">
        <f aca="false">J6+1</f>
        <v>9</v>
      </c>
      <c r="L6" s="259" t="n">
        <f aca="false">K6+1</f>
        <v>10</v>
      </c>
      <c r="M6" s="259" t="n">
        <f aca="false">L6+1</f>
        <v>11</v>
      </c>
      <c r="N6" s="259" t="n">
        <f aca="false">M6+1</f>
        <v>12</v>
      </c>
      <c r="O6" s="259" t="n">
        <f aca="false">N6+1</f>
        <v>13</v>
      </c>
      <c r="P6" s="259" t="n">
        <f aca="false">O6+1</f>
        <v>14</v>
      </c>
      <c r="Q6" s="259" t="n">
        <f aca="false">P6+1</f>
        <v>15</v>
      </c>
      <c r="R6" s="259" t="n">
        <f aca="false">Q6+1</f>
        <v>16</v>
      </c>
      <c r="S6" s="259" t="n">
        <f aca="false">R6+1</f>
        <v>17</v>
      </c>
      <c r="T6" s="259" t="n">
        <f aca="false">S6+1</f>
        <v>18</v>
      </c>
      <c r="U6" s="259" t="n">
        <f aca="false">T6+1</f>
        <v>19</v>
      </c>
      <c r="V6" s="259" t="n">
        <f aca="false">U6+1</f>
        <v>20</v>
      </c>
      <c r="W6" s="261"/>
      <c r="X6" s="261"/>
      <c r="Y6" s="261"/>
    </row>
    <row r="7" customFormat="false" ht="12.75" hidden="false" customHeight="true" outlineLevel="0" collapsed="false">
      <c r="A7" s="261"/>
      <c r="B7" s="255"/>
      <c r="C7" s="255"/>
      <c r="D7" s="255"/>
      <c r="E7" s="255"/>
      <c r="F7" s="255"/>
      <c r="G7" s="255"/>
      <c r="H7" s="255"/>
      <c r="I7" s="255"/>
      <c r="J7" s="255"/>
      <c r="K7" s="255"/>
      <c r="L7" s="255"/>
      <c r="M7" s="255"/>
      <c r="N7" s="255"/>
      <c r="O7" s="255"/>
      <c r="P7" s="255"/>
      <c r="Q7" s="255"/>
      <c r="R7" s="255"/>
      <c r="S7" s="255"/>
      <c r="T7" s="255"/>
      <c r="U7" s="255"/>
      <c r="V7" s="255"/>
      <c r="W7" s="261"/>
      <c r="X7" s="261"/>
      <c r="Y7" s="261"/>
    </row>
    <row r="8" customFormat="false" ht="12.75" hidden="false" customHeight="true" outlineLevel="0" collapsed="false">
      <c r="A8" s="187" t="s">
        <v>55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customFormat="false" ht="12.75" hidden="false" customHeight="true" outlineLevel="0" collapsed="false">
      <c r="A9" s="24" t="s">
        <v>162</v>
      </c>
      <c r="B9" s="262" t="n">
        <v>0</v>
      </c>
      <c r="C9" s="262" t="n">
        <v>12</v>
      </c>
      <c r="D9" s="262" t="n">
        <v>12</v>
      </c>
      <c r="E9" s="262" t="n">
        <v>12</v>
      </c>
      <c r="F9" s="262" t="n">
        <v>12</v>
      </c>
      <c r="G9" s="262" t="n">
        <v>12</v>
      </c>
      <c r="H9" s="262" t="n">
        <v>12</v>
      </c>
      <c r="I9" s="262" t="n">
        <v>12</v>
      </c>
      <c r="J9" s="262" t="n">
        <v>12</v>
      </c>
      <c r="K9" s="262" t="n">
        <v>12</v>
      </c>
      <c r="L9" s="262" t="n">
        <v>12</v>
      </c>
      <c r="M9" s="262" t="n">
        <v>12</v>
      </c>
      <c r="N9" s="262" t="n">
        <v>12</v>
      </c>
      <c r="O9" s="262" t="n">
        <v>12</v>
      </c>
      <c r="P9" s="262" t="n">
        <v>12</v>
      </c>
      <c r="Q9" s="262" t="n">
        <v>12</v>
      </c>
      <c r="R9" s="262" t="n">
        <v>12</v>
      </c>
      <c r="S9" s="262" t="n">
        <v>12</v>
      </c>
      <c r="T9" s="262" t="n">
        <v>12</v>
      </c>
      <c r="U9" s="262" t="n">
        <v>12</v>
      </c>
      <c r="V9" s="262" t="n">
        <v>12</v>
      </c>
      <c r="W9" s="2"/>
      <c r="X9" s="2"/>
      <c r="Y9" s="2"/>
    </row>
    <row r="10" customFormat="false" ht="12.75" hidden="false" customHeight="true" outlineLevel="0" collapsed="false">
      <c r="A10" s="2" t="s">
        <v>163</v>
      </c>
      <c r="B10" s="196" t="n">
        <v>0</v>
      </c>
      <c r="C10" s="196" t="n">
        <f aca="false">90%/30</f>
        <v>0.03</v>
      </c>
      <c r="D10" s="196" t="n">
        <f aca="false">90%/30</f>
        <v>0.03</v>
      </c>
      <c r="E10" s="196" t="n">
        <f aca="false">90%/30</f>
        <v>0.03</v>
      </c>
      <c r="F10" s="196" t="n">
        <f aca="false">90%/30</f>
        <v>0.03</v>
      </c>
      <c r="G10" s="196" t="n">
        <f aca="false">90%/30</f>
        <v>0.03</v>
      </c>
      <c r="H10" s="196" t="n">
        <f aca="false">90%/30</f>
        <v>0.03</v>
      </c>
      <c r="I10" s="196" t="n">
        <f aca="false">90%/30</f>
        <v>0.03</v>
      </c>
      <c r="J10" s="196" t="n">
        <f aca="false">90%/30</f>
        <v>0.03</v>
      </c>
      <c r="K10" s="196" t="n">
        <f aca="false">90%/30</f>
        <v>0.03</v>
      </c>
      <c r="L10" s="196" t="n">
        <f aca="false">90%/30</f>
        <v>0.03</v>
      </c>
      <c r="M10" s="196" t="n">
        <f aca="false">90%/30</f>
        <v>0.03</v>
      </c>
      <c r="N10" s="196" t="n">
        <f aca="false">90%/30</f>
        <v>0.03</v>
      </c>
      <c r="O10" s="196" t="n">
        <f aca="false">90%/30</f>
        <v>0.03</v>
      </c>
      <c r="P10" s="196" t="n">
        <f aca="false">90%/30</f>
        <v>0.03</v>
      </c>
      <c r="Q10" s="196" t="n">
        <f aca="false">90%/30</f>
        <v>0.03</v>
      </c>
      <c r="R10" s="196" t="n">
        <f aca="false">90%/30</f>
        <v>0.03</v>
      </c>
      <c r="S10" s="196" t="n">
        <f aca="false">90%/30</f>
        <v>0.03</v>
      </c>
      <c r="T10" s="196" t="n">
        <f aca="false">90%/30</f>
        <v>0.03</v>
      </c>
      <c r="U10" s="196" t="n">
        <f aca="false">90%/30</f>
        <v>0.03</v>
      </c>
      <c r="V10" s="196" t="n">
        <f aca="false">90%/30</f>
        <v>0.03</v>
      </c>
      <c r="W10" s="2"/>
      <c r="X10" s="2"/>
      <c r="Y10" s="2"/>
    </row>
    <row r="11" customFormat="false" ht="12.75" hidden="false" customHeight="true" outlineLevel="0" collapsed="false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customFormat="false" ht="12.75" hidden="false" customHeight="true" outlineLevel="0" collapsed="false">
      <c r="A12" s="2" t="s">
        <v>164</v>
      </c>
      <c r="B12" s="155" t="n">
        <f aca="false">'Summary Output'!$G$7*Allocation!$C$6</f>
        <v>237363.089182827</v>
      </c>
      <c r="C12" s="167" t="n">
        <f aca="false">B14</f>
        <v>237363.089182827</v>
      </c>
      <c r="D12" s="167" t="n">
        <f aca="false">C14</f>
        <v>230242.196507342</v>
      </c>
      <c r="E12" s="167" t="n">
        <f aca="false">D14</f>
        <v>223121.303831857</v>
      </c>
      <c r="F12" s="167" t="n">
        <f aca="false">E14</f>
        <v>216000.411156372</v>
      </c>
      <c r="G12" s="167" t="n">
        <f aca="false">F14</f>
        <v>208879.518480888</v>
      </c>
      <c r="H12" s="167" t="n">
        <f aca="false">G14</f>
        <v>201758.625805403</v>
      </c>
      <c r="I12" s="167" t="n">
        <f aca="false">H14</f>
        <v>194637.733129918</v>
      </c>
      <c r="J12" s="167" t="n">
        <f aca="false">I14</f>
        <v>187516.840454433</v>
      </c>
      <c r="K12" s="167" t="n">
        <f aca="false">J14</f>
        <v>180395.947778948</v>
      </c>
      <c r="L12" s="167" t="n">
        <f aca="false">K14</f>
        <v>173275.055103464</v>
      </c>
      <c r="M12" s="167" t="n">
        <f aca="false">L14</f>
        <v>166154.162427979</v>
      </c>
      <c r="N12" s="167" t="n">
        <f aca="false">M14</f>
        <v>159033.269752494</v>
      </c>
      <c r="O12" s="167" t="n">
        <f aca="false">N14</f>
        <v>151912.377077009</v>
      </c>
      <c r="P12" s="167" t="n">
        <f aca="false">O14</f>
        <v>144791.484401524</v>
      </c>
      <c r="Q12" s="167" t="n">
        <f aca="false">P14</f>
        <v>137670.591726039</v>
      </c>
      <c r="R12" s="167" t="n">
        <f aca="false">Q14</f>
        <v>130549.699050555</v>
      </c>
      <c r="S12" s="167" t="n">
        <f aca="false">R14</f>
        <v>123428.80637507</v>
      </c>
      <c r="T12" s="167" t="n">
        <f aca="false">S14</f>
        <v>116307.913699585</v>
      </c>
      <c r="U12" s="167" t="n">
        <f aca="false">T14</f>
        <v>109187.0210241</v>
      </c>
      <c r="V12" s="167" t="n">
        <f aca="false">U14</f>
        <v>102066.128348615</v>
      </c>
      <c r="W12" s="2"/>
      <c r="X12" s="2"/>
      <c r="Y12" s="2"/>
    </row>
    <row r="13" customFormat="false" ht="12.75" hidden="false" customHeight="true" outlineLevel="0" collapsed="false">
      <c r="A13" s="2" t="s">
        <v>165</v>
      </c>
      <c r="B13" s="192" t="n">
        <f aca="false">$B$12*B10</f>
        <v>0</v>
      </c>
      <c r="C13" s="192" t="n">
        <f aca="false">$B$12*C10</f>
        <v>7120.89267548481</v>
      </c>
      <c r="D13" s="192" t="n">
        <f aca="false">$B$12*D10</f>
        <v>7120.89267548481</v>
      </c>
      <c r="E13" s="192" t="n">
        <f aca="false">$B$12*E10</f>
        <v>7120.89267548481</v>
      </c>
      <c r="F13" s="192" t="n">
        <f aca="false">$B$12*F10</f>
        <v>7120.89267548481</v>
      </c>
      <c r="G13" s="192" t="n">
        <f aca="false">$B$12*G10</f>
        <v>7120.89267548481</v>
      </c>
      <c r="H13" s="192" t="n">
        <f aca="false">$B$12*H10</f>
        <v>7120.89267548481</v>
      </c>
      <c r="I13" s="192" t="n">
        <f aca="false">$B$12*I10</f>
        <v>7120.89267548481</v>
      </c>
      <c r="J13" s="192" t="n">
        <f aca="false">$B$12*J10</f>
        <v>7120.89267548481</v>
      </c>
      <c r="K13" s="192" t="n">
        <f aca="false">$B$12*K10</f>
        <v>7120.89267548481</v>
      </c>
      <c r="L13" s="192" t="n">
        <f aca="false">$B$12*L10</f>
        <v>7120.89267548481</v>
      </c>
      <c r="M13" s="192" t="n">
        <f aca="false">$B$12*M10</f>
        <v>7120.89267548481</v>
      </c>
      <c r="N13" s="192" t="n">
        <f aca="false">$B$12*N10</f>
        <v>7120.89267548481</v>
      </c>
      <c r="O13" s="192" t="n">
        <f aca="false">$B$12*O10</f>
        <v>7120.89267548481</v>
      </c>
      <c r="P13" s="192" t="n">
        <f aca="false">$B$12*P10</f>
        <v>7120.89267548481</v>
      </c>
      <c r="Q13" s="192" t="n">
        <f aca="false">$B$12*Q10</f>
        <v>7120.89267548481</v>
      </c>
      <c r="R13" s="192" t="n">
        <f aca="false">$B$12*R10</f>
        <v>7120.89267548481</v>
      </c>
      <c r="S13" s="192" t="n">
        <f aca="false">$B$12*S10</f>
        <v>7120.89267548481</v>
      </c>
      <c r="T13" s="192" t="n">
        <f aca="false">$B$12*T10</f>
        <v>7120.89267548481</v>
      </c>
      <c r="U13" s="192" t="n">
        <f aca="false">$B$12*U10</f>
        <v>7120.89267548481</v>
      </c>
      <c r="V13" s="192" t="n">
        <f aca="false">$B$12*V10</f>
        <v>7120.89267548481</v>
      </c>
      <c r="W13" s="2"/>
      <c r="X13" s="2"/>
      <c r="Y13" s="2"/>
    </row>
    <row r="14" customFormat="false" ht="12.75" hidden="false" customHeight="true" outlineLevel="0" collapsed="false">
      <c r="A14" s="2" t="s">
        <v>166</v>
      </c>
      <c r="B14" s="167" t="n">
        <f aca="false">B12-B13</f>
        <v>237363.089182827</v>
      </c>
      <c r="C14" s="167" t="n">
        <f aca="false">C12-C13</f>
        <v>230242.196507342</v>
      </c>
      <c r="D14" s="167" t="n">
        <f aca="false">D12-D13</f>
        <v>223121.303831857</v>
      </c>
      <c r="E14" s="167" t="n">
        <f aca="false">E12-E13</f>
        <v>216000.411156372</v>
      </c>
      <c r="F14" s="167" t="n">
        <f aca="false">F12-F13</f>
        <v>208879.518480888</v>
      </c>
      <c r="G14" s="167" t="n">
        <f aca="false">G12-G13</f>
        <v>201758.625805403</v>
      </c>
      <c r="H14" s="167" t="n">
        <f aca="false">H12-H13</f>
        <v>194637.733129918</v>
      </c>
      <c r="I14" s="167" t="n">
        <f aca="false">I12-I13</f>
        <v>187516.840454433</v>
      </c>
      <c r="J14" s="167" t="n">
        <f aca="false">J12-J13</f>
        <v>180395.947778948</v>
      </c>
      <c r="K14" s="167" t="n">
        <f aca="false">K12-K13</f>
        <v>173275.055103464</v>
      </c>
      <c r="L14" s="167" t="n">
        <f aca="false">L12-L13</f>
        <v>166154.162427979</v>
      </c>
      <c r="M14" s="167" t="n">
        <f aca="false">M12-M13</f>
        <v>159033.269752494</v>
      </c>
      <c r="N14" s="167" t="n">
        <f aca="false">N12-N13</f>
        <v>151912.377077009</v>
      </c>
      <c r="O14" s="167" t="n">
        <f aca="false">O12-O13</f>
        <v>144791.484401524</v>
      </c>
      <c r="P14" s="167" t="n">
        <f aca="false">P12-P13</f>
        <v>137670.591726039</v>
      </c>
      <c r="Q14" s="167" t="n">
        <f aca="false">Q12-Q13</f>
        <v>130549.699050555</v>
      </c>
      <c r="R14" s="167" t="n">
        <f aca="false">R12-R13</f>
        <v>123428.80637507</v>
      </c>
      <c r="S14" s="167" t="n">
        <f aca="false">S12-S13</f>
        <v>116307.913699585</v>
      </c>
      <c r="T14" s="167" t="n">
        <f aca="false">T12-T13</f>
        <v>109187.0210241</v>
      </c>
      <c r="U14" s="167" t="n">
        <f aca="false">U12-U13</f>
        <v>102066.128348615</v>
      </c>
      <c r="V14" s="167" t="n">
        <f aca="false">V12-V13</f>
        <v>94945.2356731306</v>
      </c>
      <c r="W14" s="2"/>
      <c r="X14" s="2"/>
      <c r="Y14" s="2"/>
    </row>
    <row r="15" customFormat="false" ht="12.75" hidden="false" customHeight="tru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customFormat="false" ht="12.75" hidden="false" customHeight="true" outlineLevel="0" collapsed="false">
      <c r="A16" s="187" t="s">
        <v>56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customFormat="false" ht="12.75" hidden="false" customHeight="true" outlineLevel="0" collapsed="false">
      <c r="A17" s="24" t="s">
        <v>162</v>
      </c>
      <c r="B17" s="262" t="n">
        <v>0</v>
      </c>
      <c r="C17" s="262" t="n">
        <v>12</v>
      </c>
      <c r="D17" s="262" t="n">
        <v>12</v>
      </c>
      <c r="E17" s="262" t="n">
        <v>12</v>
      </c>
      <c r="F17" s="262" t="n">
        <v>12</v>
      </c>
      <c r="G17" s="262" t="n">
        <v>12</v>
      </c>
      <c r="H17" s="262" t="n">
        <v>12</v>
      </c>
      <c r="I17" s="262" t="n">
        <v>12</v>
      </c>
      <c r="J17" s="262" t="n">
        <v>12</v>
      </c>
      <c r="K17" s="262" t="n">
        <v>12</v>
      </c>
      <c r="L17" s="262" t="n">
        <v>12</v>
      </c>
      <c r="M17" s="262" t="n">
        <v>12</v>
      </c>
      <c r="N17" s="262" t="n">
        <v>12</v>
      </c>
      <c r="O17" s="262" t="n">
        <v>12</v>
      </c>
      <c r="P17" s="262" t="n">
        <v>12</v>
      </c>
      <c r="Q17" s="262" t="n">
        <v>12</v>
      </c>
      <c r="R17" s="262" t="n">
        <v>12</v>
      </c>
      <c r="S17" s="262" t="n">
        <v>12</v>
      </c>
      <c r="T17" s="262" t="n">
        <v>12</v>
      </c>
      <c r="U17" s="262" t="n">
        <v>12</v>
      </c>
      <c r="V17" s="262" t="n">
        <v>12</v>
      </c>
      <c r="W17" s="2"/>
      <c r="X17" s="2"/>
      <c r="Y17" s="2"/>
    </row>
    <row r="18" customFormat="false" ht="12.75" hidden="false" customHeight="true" outlineLevel="0" collapsed="false">
      <c r="A18" s="2" t="s">
        <v>163</v>
      </c>
      <c r="B18" s="196" t="n">
        <v>0</v>
      </c>
      <c r="C18" s="196" t="n">
        <f aca="false">90%/30</f>
        <v>0.03</v>
      </c>
      <c r="D18" s="196" t="n">
        <f aca="false">90%/30</f>
        <v>0.03</v>
      </c>
      <c r="E18" s="196" t="n">
        <f aca="false">90%/30</f>
        <v>0.03</v>
      </c>
      <c r="F18" s="196" t="n">
        <f aca="false">90%/30</f>
        <v>0.03</v>
      </c>
      <c r="G18" s="196" t="n">
        <f aca="false">90%/30</f>
        <v>0.03</v>
      </c>
      <c r="H18" s="196" t="n">
        <f aca="false">90%/30</f>
        <v>0.03</v>
      </c>
      <c r="I18" s="196" t="n">
        <f aca="false">90%/30</f>
        <v>0.03</v>
      </c>
      <c r="J18" s="196" t="n">
        <f aca="false">90%/30</f>
        <v>0.03</v>
      </c>
      <c r="K18" s="196" t="n">
        <f aca="false">90%/30</f>
        <v>0.03</v>
      </c>
      <c r="L18" s="196" t="n">
        <f aca="false">90%/30</f>
        <v>0.03</v>
      </c>
      <c r="M18" s="196" t="n">
        <f aca="false">90%/30</f>
        <v>0.03</v>
      </c>
      <c r="N18" s="196" t="n">
        <f aca="false">90%/30</f>
        <v>0.03</v>
      </c>
      <c r="O18" s="196" t="n">
        <f aca="false">90%/30</f>
        <v>0.03</v>
      </c>
      <c r="P18" s="196" t="n">
        <f aca="false">90%/30</f>
        <v>0.03</v>
      </c>
      <c r="Q18" s="196" t="n">
        <f aca="false">90%/30</f>
        <v>0.03</v>
      </c>
      <c r="R18" s="196" t="n">
        <f aca="false">90%/30</f>
        <v>0.03</v>
      </c>
      <c r="S18" s="196" t="n">
        <f aca="false">90%/30</f>
        <v>0.03</v>
      </c>
      <c r="T18" s="196" t="n">
        <f aca="false">90%/30</f>
        <v>0.03</v>
      </c>
      <c r="U18" s="196" t="n">
        <f aca="false">90%/30</f>
        <v>0.03</v>
      </c>
      <c r="V18" s="196" t="n">
        <f aca="false">90%/30</f>
        <v>0.03</v>
      </c>
      <c r="W18" s="2"/>
      <c r="X18" s="2"/>
      <c r="Y18" s="2"/>
    </row>
    <row r="19" customFormat="false" ht="12.75" hidden="false" customHeight="tru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63" t="s">
        <v>167</v>
      </c>
      <c r="Y19" s="264"/>
    </row>
    <row r="20" customFormat="false" ht="12.75" hidden="false" customHeight="true" outlineLevel="0" collapsed="false">
      <c r="A20" s="2" t="s">
        <v>164</v>
      </c>
      <c r="B20" s="155" t="n">
        <f aca="false">'Summary Output'!$G$7*Allocation!$C$7</f>
        <v>217125.800924912</v>
      </c>
      <c r="C20" s="167" t="n">
        <f aca="false">B22</f>
        <v>217125.800924912</v>
      </c>
      <c r="D20" s="167" t="n">
        <f aca="false">C22</f>
        <v>210612.026897165</v>
      </c>
      <c r="E20" s="167" t="n">
        <f aca="false">D22</f>
        <v>204098.252869418</v>
      </c>
      <c r="F20" s="167" t="n">
        <f aca="false">E22</f>
        <v>197584.47884167</v>
      </c>
      <c r="G20" s="167" t="n">
        <f aca="false">F22</f>
        <v>191070.704813923</v>
      </c>
      <c r="H20" s="167" t="n">
        <f aca="false">G22</f>
        <v>184556.930786176</v>
      </c>
      <c r="I20" s="167" t="n">
        <f aca="false">H22</f>
        <v>178043.156758428</v>
      </c>
      <c r="J20" s="167" t="n">
        <f aca="false">I22</f>
        <v>171529.382730681</v>
      </c>
      <c r="K20" s="167" t="n">
        <f aca="false">J22</f>
        <v>165015.608702934</v>
      </c>
      <c r="L20" s="167" t="n">
        <f aca="false">K22</f>
        <v>158501.834675186</v>
      </c>
      <c r="M20" s="167" t="n">
        <f aca="false">L22</f>
        <v>151988.060647439</v>
      </c>
      <c r="N20" s="167" t="n">
        <f aca="false">M22</f>
        <v>145474.286619691</v>
      </c>
      <c r="O20" s="167" t="n">
        <f aca="false">N22</f>
        <v>138960.512591944</v>
      </c>
      <c r="P20" s="167" t="n">
        <f aca="false">O22</f>
        <v>132446.738564197</v>
      </c>
      <c r="Q20" s="167" t="n">
        <f aca="false">P22</f>
        <v>125932.964536449</v>
      </c>
      <c r="R20" s="167" t="n">
        <f aca="false">Q22</f>
        <v>119419.190508702</v>
      </c>
      <c r="S20" s="167" t="n">
        <f aca="false">R22</f>
        <v>112905.416480955</v>
      </c>
      <c r="T20" s="167" t="n">
        <f aca="false">S22</f>
        <v>106391.642453207</v>
      </c>
      <c r="U20" s="167" t="n">
        <f aca="false">T22</f>
        <v>99877.8684254599</v>
      </c>
      <c r="V20" s="167" t="n">
        <f aca="false">U22</f>
        <v>93364.0943977125</v>
      </c>
      <c r="W20" s="2"/>
      <c r="X20" s="265"/>
      <c r="Y20" s="266"/>
    </row>
    <row r="21" customFormat="false" ht="12.75" hidden="false" customHeight="true" outlineLevel="0" collapsed="false">
      <c r="A21" s="2" t="s">
        <v>165</v>
      </c>
      <c r="B21" s="192" t="n">
        <f aca="false">$B$20*B18</f>
        <v>0</v>
      </c>
      <c r="C21" s="192" t="n">
        <f aca="false">$B$20*C18</f>
        <v>6513.77402774738</v>
      </c>
      <c r="D21" s="192" t="n">
        <f aca="false">$B$20*D18</f>
        <v>6513.77402774738</v>
      </c>
      <c r="E21" s="192" t="n">
        <f aca="false">$B$20*E18</f>
        <v>6513.77402774738</v>
      </c>
      <c r="F21" s="192" t="n">
        <f aca="false">$B$20*F18</f>
        <v>6513.77402774738</v>
      </c>
      <c r="G21" s="192" t="n">
        <f aca="false">$B$20*G18</f>
        <v>6513.77402774738</v>
      </c>
      <c r="H21" s="192" t="n">
        <f aca="false">$B$20*H18</f>
        <v>6513.77402774738</v>
      </c>
      <c r="I21" s="192" t="n">
        <f aca="false">$B$20*I18</f>
        <v>6513.77402774738</v>
      </c>
      <c r="J21" s="192" t="n">
        <f aca="false">$B$20*J18</f>
        <v>6513.77402774738</v>
      </c>
      <c r="K21" s="192" t="n">
        <f aca="false">$B$20*K18</f>
        <v>6513.77402774738</v>
      </c>
      <c r="L21" s="192" t="n">
        <f aca="false">$B$20*L18</f>
        <v>6513.77402774738</v>
      </c>
      <c r="M21" s="192" t="n">
        <f aca="false">$B$20*M18</f>
        <v>6513.77402774738</v>
      </c>
      <c r="N21" s="192" t="n">
        <f aca="false">$B$20*N18</f>
        <v>6513.77402774738</v>
      </c>
      <c r="O21" s="192" t="n">
        <f aca="false">$B$20*O18</f>
        <v>6513.77402774738</v>
      </c>
      <c r="P21" s="192" t="n">
        <f aca="false">$B$20*P18</f>
        <v>6513.77402774738</v>
      </c>
      <c r="Q21" s="192" t="n">
        <f aca="false">$B$20*Q18</f>
        <v>6513.77402774738</v>
      </c>
      <c r="R21" s="192" t="n">
        <f aca="false">$B$20*R18</f>
        <v>6513.77402774738</v>
      </c>
      <c r="S21" s="192" t="n">
        <f aca="false">$B$20*S18</f>
        <v>6513.77402774738</v>
      </c>
      <c r="T21" s="192" t="n">
        <f aca="false">$B$20*T18</f>
        <v>6513.77402774738</v>
      </c>
      <c r="U21" s="192" t="n">
        <f aca="false">$B$20*U18</f>
        <v>6513.77402774738</v>
      </c>
      <c r="V21" s="192" t="n">
        <f aca="false">$B$20*V18</f>
        <v>6513.77402774738</v>
      </c>
      <c r="W21" s="2"/>
      <c r="X21" s="267" t="n">
        <v>0</v>
      </c>
      <c r="Y21" s="268" t="n">
        <v>0</v>
      </c>
    </row>
    <row r="22" customFormat="false" ht="12.75" hidden="false" customHeight="true" outlineLevel="0" collapsed="false">
      <c r="A22" s="2" t="s">
        <v>166</v>
      </c>
      <c r="B22" s="167" t="n">
        <f aca="false">B20-B21</f>
        <v>217125.800924912</v>
      </c>
      <c r="C22" s="167" t="n">
        <f aca="false">C20-C21</f>
        <v>210612.026897165</v>
      </c>
      <c r="D22" s="167" t="n">
        <f aca="false">D20-D21</f>
        <v>204098.252869418</v>
      </c>
      <c r="E22" s="167" t="n">
        <f aca="false">E20-E21</f>
        <v>197584.47884167</v>
      </c>
      <c r="F22" s="167" t="n">
        <f aca="false">F20-F21</f>
        <v>191070.704813923</v>
      </c>
      <c r="G22" s="167" t="n">
        <f aca="false">G20-G21</f>
        <v>184556.930786176</v>
      </c>
      <c r="H22" s="167" t="n">
        <f aca="false">H20-H21</f>
        <v>178043.156758428</v>
      </c>
      <c r="I22" s="167" t="n">
        <f aca="false">I20-I21</f>
        <v>171529.382730681</v>
      </c>
      <c r="J22" s="167" t="n">
        <f aca="false">J20-J21</f>
        <v>165015.608702934</v>
      </c>
      <c r="K22" s="167" t="n">
        <f aca="false">K20-K21</f>
        <v>158501.834675186</v>
      </c>
      <c r="L22" s="167" t="n">
        <f aca="false">L20-L21</f>
        <v>151988.060647439</v>
      </c>
      <c r="M22" s="167" t="n">
        <f aca="false">M20-M21</f>
        <v>145474.286619691</v>
      </c>
      <c r="N22" s="167" t="n">
        <f aca="false">N20-N21</f>
        <v>138960.512591944</v>
      </c>
      <c r="O22" s="167" t="n">
        <f aca="false">O20-O21</f>
        <v>132446.738564197</v>
      </c>
      <c r="P22" s="167" t="n">
        <f aca="false">P20-P21</f>
        <v>125932.964536449</v>
      </c>
      <c r="Q22" s="167" t="n">
        <f aca="false">Q20-Q21</f>
        <v>119419.190508702</v>
      </c>
      <c r="R22" s="167" t="n">
        <f aca="false">R20-R21</f>
        <v>112905.416480955</v>
      </c>
      <c r="S22" s="167" t="n">
        <f aca="false">S20-S21</f>
        <v>106391.642453207</v>
      </c>
      <c r="T22" s="167" t="n">
        <f aca="false">T20-T21</f>
        <v>99877.8684254599</v>
      </c>
      <c r="U22" s="167" t="n">
        <f aca="false">U20-U21</f>
        <v>93364.0943977125</v>
      </c>
      <c r="V22" s="167" t="n">
        <f aca="false">V20-V21</f>
        <v>86850.3203699651</v>
      </c>
      <c r="W22" s="2"/>
      <c r="X22" s="267" t="n">
        <v>1</v>
      </c>
      <c r="Y22" s="268" t="n">
        <v>0.05</v>
      </c>
    </row>
    <row r="23" customFormat="false" ht="12.75" hidden="false" customHeight="tru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67" t="n">
        <v>2</v>
      </c>
      <c r="Y23" s="268" t="n">
        <v>0.095</v>
      </c>
    </row>
    <row r="24" customFormat="false" ht="12.75" hidden="false" customHeight="true" outlineLevel="0" collapsed="false">
      <c r="A24" s="187" t="s">
        <v>57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67" t="n">
        <v>3</v>
      </c>
      <c r="Y24" s="268" t="n">
        <v>0.0855</v>
      </c>
    </row>
    <row r="25" customFormat="false" ht="12.75" hidden="false" customHeight="true" outlineLevel="0" collapsed="false">
      <c r="A25" s="24" t="s">
        <v>162</v>
      </c>
      <c r="B25" s="262" t="n">
        <v>0</v>
      </c>
      <c r="C25" s="262" t="n">
        <v>12</v>
      </c>
      <c r="D25" s="262" t="n">
        <v>12</v>
      </c>
      <c r="E25" s="262" t="n">
        <v>12</v>
      </c>
      <c r="F25" s="262" t="n">
        <v>12</v>
      </c>
      <c r="G25" s="262" t="n">
        <v>12</v>
      </c>
      <c r="H25" s="262" t="n">
        <v>12</v>
      </c>
      <c r="I25" s="262" t="n">
        <v>12</v>
      </c>
      <c r="J25" s="262" t="n">
        <v>12</v>
      </c>
      <c r="K25" s="262" t="n">
        <v>12</v>
      </c>
      <c r="L25" s="262" t="n">
        <v>12</v>
      </c>
      <c r="M25" s="262" t="n">
        <v>12</v>
      </c>
      <c r="N25" s="262" t="n">
        <v>12</v>
      </c>
      <c r="O25" s="262" t="n">
        <v>12</v>
      </c>
      <c r="P25" s="262" t="n">
        <v>12</v>
      </c>
      <c r="Q25" s="262" t="n">
        <v>12</v>
      </c>
      <c r="R25" s="262" t="n">
        <v>12</v>
      </c>
      <c r="S25" s="262" t="n">
        <v>12</v>
      </c>
      <c r="T25" s="262" t="n">
        <v>12</v>
      </c>
      <c r="U25" s="262" t="n">
        <v>12</v>
      </c>
      <c r="V25" s="262" t="n">
        <v>12</v>
      </c>
      <c r="W25" s="2"/>
      <c r="X25" s="267" t="n">
        <v>4</v>
      </c>
      <c r="Y25" s="268" t="n">
        <v>0.077</v>
      </c>
    </row>
    <row r="26" customFormat="false" ht="12.75" hidden="false" customHeight="true" outlineLevel="0" collapsed="false">
      <c r="A26" s="2" t="s">
        <v>163</v>
      </c>
      <c r="B26" s="196" t="n">
        <v>0</v>
      </c>
      <c r="C26" s="196" t="n">
        <f aca="false">90%/30</f>
        <v>0.03</v>
      </c>
      <c r="D26" s="196" t="n">
        <f aca="false">90%/30</f>
        <v>0.03</v>
      </c>
      <c r="E26" s="196" t="n">
        <f aca="false">90%/30</f>
        <v>0.03</v>
      </c>
      <c r="F26" s="196" t="n">
        <f aca="false">90%/30</f>
        <v>0.03</v>
      </c>
      <c r="G26" s="196" t="n">
        <f aca="false">90%/30</f>
        <v>0.03</v>
      </c>
      <c r="H26" s="196" t="n">
        <f aca="false">90%/30</f>
        <v>0.03</v>
      </c>
      <c r="I26" s="196" t="n">
        <f aca="false">90%/30</f>
        <v>0.03</v>
      </c>
      <c r="J26" s="196" t="n">
        <f aca="false">90%/30</f>
        <v>0.03</v>
      </c>
      <c r="K26" s="196" t="n">
        <f aca="false">90%/30</f>
        <v>0.03</v>
      </c>
      <c r="L26" s="196" t="n">
        <f aca="false">90%/30</f>
        <v>0.03</v>
      </c>
      <c r="M26" s="196" t="n">
        <f aca="false">90%/30</f>
        <v>0.03</v>
      </c>
      <c r="N26" s="196" t="n">
        <f aca="false">90%/30</f>
        <v>0.03</v>
      </c>
      <c r="O26" s="196" t="n">
        <f aca="false">90%/30</f>
        <v>0.03</v>
      </c>
      <c r="P26" s="196" t="n">
        <f aca="false">90%/30</f>
        <v>0.03</v>
      </c>
      <c r="Q26" s="196" t="n">
        <f aca="false">90%/30</f>
        <v>0.03</v>
      </c>
      <c r="R26" s="196" t="n">
        <f aca="false">90%/30</f>
        <v>0.03</v>
      </c>
      <c r="S26" s="196" t="n">
        <f aca="false">90%/30</f>
        <v>0.03</v>
      </c>
      <c r="T26" s="196" t="n">
        <f aca="false">90%/30</f>
        <v>0.03</v>
      </c>
      <c r="U26" s="196" t="n">
        <f aca="false">90%/30</f>
        <v>0.03</v>
      </c>
      <c r="V26" s="196" t="n">
        <f aca="false">90%/30</f>
        <v>0.03</v>
      </c>
      <c r="W26" s="2"/>
      <c r="X26" s="267" t="n">
        <v>5</v>
      </c>
      <c r="Y26" s="268" t="n">
        <v>0.0693</v>
      </c>
    </row>
    <row r="27" customFormat="false" ht="12.75" hidden="false" customHeight="tru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67" t="n">
        <v>6</v>
      </c>
      <c r="Y27" s="268" t="n">
        <v>0.0623</v>
      </c>
    </row>
    <row r="28" customFormat="false" ht="12.75" hidden="false" customHeight="true" outlineLevel="0" collapsed="false">
      <c r="A28" s="2" t="s">
        <v>164</v>
      </c>
      <c r="B28" s="155" t="n">
        <f aca="false">'Summary Output'!$G$7*Allocation!$C$8</f>
        <v>349573.176878851</v>
      </c>
      <c r="C28" s="167" t="n">
        <f aca="false">B30</f>
        <v>349573.176878851</v>
      </c>
      <c r="D28" s="167" t="n">
        <f aca="false">C30</f>
        <v>339085.981572485</v>
      </c>
      <c r="E28" s="167" t="n">
        <f aca="false">D30</f>
        <v>328598.78626612</v>
      </c>
      <c r="F28" s="167" t="n">
        <f aca="false">E30</f>
        <v>318111.590959754</v>
      </c>
      <c r="G28" s="167" t="n">
        <f aca="false">F30</f>
        <v>307624.395653389</v>
      </c>
      <c r="H28" s="167" t="n">
        <f aca="false">G30</f>
        <v>297137.200347023</v>
      </c>
      <c r="I28" s="167" t="n">
        <f aca="false">H30</f>
        <v>286650.005040658</v>
      </c>
      <c r="J28" s="167" t="n">
        <f aca="false">I30</f>
        <v>276162.809734292</v>
      </c>
      <c r="K28" s="167" t="n">
        <f aca="false">J30</f>
        <v>265675.614427927</v>
      </c>
      <c r="L28" s="167" t="n">
        <f aca="false">K30</f>
        <v>255188.419121561</v>
      </c>
      <c r="M28" s="167" t="n">
        <f aca="false">L30</f>
        <v>244701.223815195</v>
      </c>
      <c r="N28" s="167" t="n">
        <f aca="false">M30</f>
        <v>234214.02850883</v>
      </c>
      <c r="O28" s="167" t="n">
        <f aca="false">N30</f>
        <v>223726.833202464</v>
      </c>
      <c r="P28" s="167" t="n">
        <f aca="false">O30</f>
        <v>213239.637896099</v>
      </c>
      <c r="Q28" s="167" t="n">
        <f aca="false">P30</f>
        <v>202752.442589733</v>
      </c>
      <c r="R28" s="167" t="n">
        <f aca="false">Q30</f>
        <v>192265.247283368</v>
      </c>
      <c r="S28" s="167" t="n">
        <f aca="false">R30</f>
        <v>181778.051977002</v>
      </c>
      <c r="T28" s="167" t="n">
        <f aca="false">S30</f>
        <v>171290.856670637</v>
      </c>
      <c r="U28" s="167" t="n">
        <f aca="false">T30</f>
        <v>160803.661364271</v>
      </c>
      <c r="V28" s="167" t="n">
        <f aca="false">U30</f>
        <v>150316.466057906</v>
      </c>
      <c r="W28" s="2"/>
      <c r="X28" s="267" t="n">
        <v>7</v>
      </c>
      <c r="Y28" s="268" t="n">
        <v>0.059</v>
      </c>
    </row>
    <row r="29" customFormat="false" ht="12.75" hidden="false" customHeight="true" outlineLevel="0" collapsed="false">
      <c r="A29" s="2" t="s">
        <v>165</v>
      </c>
      <c r="B29" s="192" t="n">
        <f aca="false">$B$28*B26</f>
        <v>0</v>
      </c>
      <c r="C29" s="192" t="n">
        <f aca="false">$B$28*C26</f>
        <v>10487.1953063655</v>
      </c>
      <c r="D29" s="192" t="n">
        <f aca="false">$B$28*D26</f>
        <v>10487.1953063655</v>
      </c>
      <c r="E29" s="192" t="n">
        <f aca="false">$B$28*E26</f>
        <v>10487.1953063655</v>
      </c>
      <c r="F29" s="192" t="n">
        <f aca="false">$B$28*F26</f>
        <v>10487.1953063655</v>
      </c>
      <c r="G29" s="192" t="n">
        <f aca="false">$B$28*G26</f>
        <v>10487.1953063655</v>
      </c>
      <c r="H29" s="192" t="n">
        <f aca="false">$B$28*H26</f>
        <v>10487.1953063655</v>
      </c>
      <c r="I29" s="192" t="n">
        <f aca="false">$B$28*I26</f>
        <v>10487.1953063655</v>
      </c>
      <c r="J29" s="192" t="n">
        <f aca="false">$B$28*J26</f>
        <v>10487.1953063655</v>
      </c>
      <c r="K29" s="192" t="n">
        <f aca="false">$B$28*K26</f>
        <v>10487.1953063655</v>
      </c>
      <c r="L29" s="192" t="n">
        <f aca="false">$B$28*L26</f>
        <v>10487.1953063655</v>
      </c>
      <c r="M29" s="192" t="n">
        <f aca="false">$B$28*M26</f>
        <v>10487.1953063655</v>
      </c>
      <c r="N29" s="192" t="n">
        <f aca="false">$B$28*N26</f>
        <v>10487.1953063655</v>
      </c>
      <c r="O29" s="192" t="n">
        <f aca="false">$B$28*O26</f>
        <v>10487.1953063655</v>
      </c>
      <c r="P29" s="192" t="n">
        <f aca="false">$B$28*P26</f>
        <v>10487.1953063655</v>
      </c>
      <c r="Q29" s="192" t="n">
        <f aca="false">$B$28*Q26</f>
        <v>10487.1953063655</v>
      </c>
      <c r="R29" s="192" t="n">
        <f aca="false">$B$28*R26</f>
        <v>10487.1953063655</v>
      </c>
      <c r="S29" s="192" t="n">
        <f aca="false">$B$28*S26</f>
        <v>10487.1953063655</v>
      </c>
      <c r="T29" s="192" t="n">
        <f aca="false">$B$28*T26</f>
        <v>10487.1953063655</v>
      </c>
      <c r="U29" s="192" t="n">
        <f aca="false">$B$28*U26</f>
        <v>10487.1953063655</v>
      </c>
      <c r="V29" s="192" t="n">
        <f aca="false">$B$28*V26</f>
        <v>10487.1953063655</v>
      </c>
      <c r="W29" s="2"/>
      <c r="X29" s="267" t="n">
        <v>8</v>
      </c>
      <c r="Y29" s="268" t="n">
        <v>0.0591</v>
      </c>
    </row>
    <row r="30" customFormat="false" ht="12.75" hidden="false" customHeight="true" outlineLevel="0" collapsed="false">
      <c r="A30" s="2" t="s">
        <v>166</v>
      </c>
      <c r="B30" s="167" t="n">
        <f aca="false">B28-B29</f>
        <v>349573.176878851</v>
      </c>
      <c r="C30" s="167" t="n">
        <f aca="false">C28-C29</f>
        <v>339085.981572485</v>
      </c>
      <c r="D30" s="167" t="n">
        <f aca="false">D28-D29</f>
        <v>328598.78626612</v>
      </c>
      <c r="E30" s="167" t="n">
        <f aca="false">E28-E29</f>
        <v>318111.590959754</v>
      </c>
      <c r="F30" s="167" t="n">
        <f aca="false">F28-F29</f>
        <v>307624.395653389</v>
      </c>
      <c r="G30" s="167" t="n">
        <f aca="false">G28-G29</f>
        <v>297137.200347023</v>
      </c>
      <c r="H30" s="167" t="n">
        <f aca="false">H28-H29</f>
        <v>286650.005040658</v>
      </c>
      <c r="I30" s="167" t="n">
        <f aca="false">I28-I29</f>
        <v>276162.809734292</v>
      </c>
      <c r="J30" s="167" t="n">
        <f aca="false">J28-J29</f>
        <v>265675.614427927</v>
      </c>
      <c r="K30" s="167" t="n">
        <f aca="false">K28-K29</f>
        <v>255188.419121561</v>
      </c>
      <c r="L30" s="167" t="n">
        <f aca="false">L28-L29</f>
        <v>244701.223815195</v>
      </c>
      <c r="M30" s="167" t="n">
        <f aca="false">M28-M29</f>
        <v>234214.02850883</v>
      </c>
      <c r="N30" s="167" t="n">
        <f aca="false">N28-N29</f>
        <v>223726.833202464</v>
      </c>
      <c r="O30" s="167" t="n">
        <f aca="false">O28-O29</f>
        <v>213239.637896099</v>
      </c>
      <c r="P30" s="167" t="n">
        <f aca="false">P28-P29</f>
        <v>202752.442589733</v>
      </c>
      <c r="Q30" s="167" t="n">
        <f aca="false">Q28-Q29</f>
        <v>192265.247283368</v>
      </c>
      <c r="R30" s="167" t="n">
        <f aca="false">R28-R29</f>
        <v>181778.051977002</v>
      </c>
      <c r="S30" s="167" t="n">
        <f aca="false">S28-S29</f>
        <v>171290.856670637</v>
      </c>
      <c r="T30" s="167" t="n">
        <f aca="false">T28-T29</f>
        <v>160803.661364271</v>
      </c>
      <c r="U30" s="167" t="n">
        <f aca="false">U28-U29</f>
        <v>150316.466057906</v>
      </c>
      <c r="V30" s="167" t="n">
        <f aca="false">V28-V29</f>
        <v>139829.27075154</v>
      </c>
      <c r="W30" s="2"/>
      <c r="X30" s="267" t="n">
        <v>9</v>
      </c>
      <c r="Y30" s="268" t="n">
        <v>0.059</v>
      </c>
    </row>
    <row r="31" customFormat="false" ht="12.75" hidden="false" customHeight="tru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67" t="n">
        <v>10</v>
      </c>
      <c r="Y31" s="268" t="n">
        <v>0.0591</v>
      </c>
    </row>
    <row r="32" customFormat="false" ht="12.75" hidden="false" customHeight="true" outlineLevel="0" collapsed="false">
      <c r="A32" s="187" t="s">
        <v>168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67" t="n">
        <v>11</v>
      </c>
      <c r="Y32" s="268" t="n">
        <v>0.059</v>
      </c>
    </row>
    <row r="33" customFormat="false" ht="12.75" hidden="false" customHeight="true" outlineLevel="0" collapsed="false">
      <c r="A33" s="2" t="s">
        <v>164</v>
      </c>
      <c r="B33" s="269" t="n">
        <f aca="false">SUM(B20,B28,B12)</f>
        <v>804062.06698659</v>
      </c>
      <c r="C33" s="269" t="n">
        <f aca="false">B35</f>
        <v>804062.06698659</v>
      </c>
      <c r="D33" s="269" t="n">
        <f aca="false">C35</f>
        <v>779940.204976993</v>
      </c>
      <c r="E33" s="269" t="n">
        <f aca="false">D35</f>
        <v>755818.342967395</v>
      </c>
      <c r="F33" s="269" t="n">
        <f aca="false">E35</f>
        <v>731696.480957797</v>
      </c>
      <c r="G33" s="269" t="n">
        <f aca="false">F35</f>
        <v>707574.618948199</v>
      </c>
      <c r="H33" s="269" t="n">
        <f aca="false">G35</f>
        <v>683452.756938602</v>
      </c>
      <c r="I33" s="269" t="n">
        <f aca="false">H35</f>
        <v>659330.894929004</v>
      </c>
      <c r="J33" s="269" t="n">
        <f aca="false">I35</f>
        <v>635209.032919406</v>
      </c>
      <c r="K33" s="269" t="n">
        <f aca="false">J35</f>
        <v>611087.170909809</v>
      </c>
      <c r="L33" s="269" t="n">
        <f aca="false">K35</f>
        <v>586965.308900211</v>
      </c>
      <c r="M33" s="269" t="n">
        <f aca="false">L35</f>
        <v>562843.446890613</v>
      </c>
      <c r="N33" s="269" t="n">
        <f aca="false">M35</f>
        <v>538721.584881016</v>
      </c>
      <c r="O33" s="269" t="n">
        <f aca="false">N35</f>
        <v>514599.722871418</v>
      </c>
      <c r="P33" s="269" t="n">
        <f aca="false">O35</f>
        <v>490477.86086182</v>
      </c>
      <c r="Q33" s="269" t="n">
        <f aca="false">P35</f>
        <v>466355.998852222</v>
      </c>
      <c r="R33" s="269" t="n">
        <f aca="false">Q35</f>
        <v>442234.136842625</v>
      </c>
      <c r="S33" s="269" t="n">
        <f aca="false">R35</f>
        <v>418112.274833027</v>
      </c>
      <c r="T33" s="269" t="n">
        <f aca="false">S35</f>
        <v>393990.412823429</v>
      </c>
      <c r="U33" s="269" t="n">
        <f aca="false">T35</f>
        <v>369868.550813832</v>
      </c>
      <c r="V33" s="269" t="n">
        <f aca="false">U35</f>
        <v>345746.688804234</v>
      </c>
      <c r="W33" s="2"/>
      <c r="X33" s="267" t="n">
        <v>12</v>
      </c>
      <c r="Y33" s="268" t="n">
        <v>0.0591</v>
      </c>
    </row>
    <row r="34" customFormat="false" ht="12.75" hidden="false" customHeight="true" outlineLevel="0" collapsed="false">
      <c r="A34" s="2" t="s">
        <v>165</v>
      </c>
      <c r="B34" s="270" t="n">
        <f aca="false">SUM(B21,B29,B13)</f>
        <v>0</v>
      </c>
      <c r="C34" s="270" t="n">
        <f aca="false">SUM(C21,C29,C13)</f>
        <v>24121.8620095977</v>
      </c>
      <c r="D34" s="270" t="n">
        <f aca="false">SUM(D21,D29,D13)</f>
        <v>24121.8620095977</v>
      </c>
      <c r="E34" s="270" t="n">
        <f aca="false">SUM(E21,E29,E13)</f>
        <v>24121.8620095977</v>
      </c>
      <c r="F34" s="270" t="n">
        <f aca="false">SUM(F21,F29,F13)</f>
        <v>24121.8620095977</v>
      </c>
      <c r="G34" s="270" t="n">
        <f aca="false">SUM(G21,G29,G13)</f>
        <v>24121.8620095977</v>
      </c>
      <c r="H34" s="270" t="n">
        <f aca="false">SUM(H21,H29,H13)</f>
        <v>24121.8620095977</v>
      </c>
      <c r="I34" s="270" t="n">
        <f aca="false">SUM(I21,I29,I13)</f>
        <v>24121.8620095977</v>
      </c>
      <c r="J34" s="270" t="n">
        <f aca="false">SUM(J21,J29,J13)</f>
        <v>24121.8620095977</v>
      </c>
      <c r="K34" s="270" t="n">
        <f aca="false">SUM(K21,K29,K13)</f>
        <v>24121.8620095977</v>
      </c>
      <c r="L34" s="270" t="n">
        <f aca="false">SUM(L21,L29,L13)</f>
        <v>24121.8620095977</v>
      </c>
      <c r="M34" s="270" t="n">
        <f aca="false">SUM(M21,M29,M13)</f>
        <v>24121.8620095977</v>
      </c>
      <c r="N34" s="270" t="n">
        <f aca="false">SUM(N21,N29,N13)</f>
        <v>24121.8620095977</v>
      </c>
      <c r="O34" s="270" t="n">
        <f aca="false">SUM(O21,O29,O13)</f>
        <v>24121.8620095977</v>
      </c>
      <c r="P34" s="270" t="n">
        <f aca="false">SUM(P21,P29,P13)</f>
        <v>24121.8620095977</v>
      </c>
      <c r="Q34" s="270" t="n">
        <f aca="false">SUM(Q21,Q29,Q13)</f>
        <v>24121.8620095977</v>
      </c>
      <c r="R34" s="270" t="n">
        <f aca="false">SUM(R21,R29,R13)</f>
        <v>24121.8620095977</v>
      </c>
      <c r="S34" s="270" t="n">
        <f aca="false">SUM(S21,S29,S13)</f>
        <v>24121.8620095977</v>
      </c>
      <c r="T34" s="270" t="n">
        <f aca="false">SUM(T21,T29,T13)</f>
        <v>24121.8620095977</v>
      </c>
      <c r="U34" s="270" t="n">
        <f aca="false">SUM(U21,U29,U13)</f>
        <v>24121.8620095977</v>
      </c>
      <c r="V34" s="270" t="n">
        <f aca="false">SUM(V21,V29,V13)</f>
        <v>24121.8620095977</v>
      </c>
      <c r="W34" s="2"/>
      <c r="X34" s="267" t="n">
        <v>13</v>
      </c>
      <c r="Y34" s="268" t="n">
        <v>0.059</v>
      </c>
    </row>
    <row r="35" customFormat="false" ht="12.75" hidden="false" customHeight="true" outlineLevel="0" collapsed="false">
      <c r="A35" s="2" t="s">
        <v>166</v>
      </c>
      <c r="B35" s="269" t="n">
        <f aca="false">B33-B34</f>
        <v>804062.06698659</v>
      </c>
      <c r="C35" s="269" t="n">
        <f aca="false">C33-C34</f>
        <v>779940.204976993</v>
      </c>
      <c r="D35" s="269" t="n">
        <f aca="false">D33-D34</f>
        <v>755818.342967395</v>
      </c>
      <c r="E35" s="269" t="n">
        <f aca="false">E33-E34</f>
        <v>731696.480957797</v>
      </c>
      <c r="F35" s="269" t="n">
        <f aca="false">F33-F34</f>
        <v>707574.618948199</v>
      </c>
      <c r="G35" s="269" t="n">
        <f aca="false">G33-G34</f>
        <v>683452.756938602</v>
      </c>
      <c r="H35" s="269" t="n">
        <f aca="false">H33-H34</f>
        <v>659330.894929004</v>
      </c>
      <c r="I35" s="269" t="n">
        <f aca="false">I33-I34</f>
        <v>635209.032919406</v>
      </c>
      <c r="J35" s="269" t="n">
        <f aca="false">J33-J34</f>
        <v>611087.170909809</v>
      </c>
      <c r="K35" s="269" t="n">
        <f aca="false">K33-K34</f>
        <v>586965.308900211</v>
      </c>
      <c r="L35" s="269" t="n">
        <f aca="false">L33-L34</f>
        <v>562843.446890613</v>
      </c>
      <c r="M35" s="269" t="n">
        <f aca="false">M33-M34</f>
        <v>538721.584881016</v>
      </c>
      <c r="N35" s="269" t="n">
        <f aca="false">N33-N34</f>
        <v>514599.722871418</v>
      </c>
      <c r="O35" s="269" t="n">
        <f aca="false">O33-O34</f>
        <v>490477.86086182</v>
      </c>
      <c r="P35" s="269" t="n">
        <f aca="false">P33-P34</f>
        <v>466355.998852222</v>
      </c>
      <c r="Q35" s="269" t="n">
        <f aca="false">Q33-Q34</f>
        <v>442234.136842625</v>
      </c>
      <c r="R35" s="269" t="n">
        <f aca="false">R33-R34</f>
        <v>418112.274833027</v>
      </c>
      <c r="S35" s="269" t="n">
        <f aca="false">S33-S34</f>
        <v>393990.412823429</v>
      </c>
      <c r="T35" s="269" t="n">
        <f aca="false">T33-T34</f>
        <v>369868.550813832</v>
      </c>
      <c r="U35" s="269" t="n">
        <f aca="false">U33-U34</f>
        <v>345746.688804234</v>
      </c>
      <c r="V35" s="269" t="n">
        <f aca="false">V33-V34</f>
        <v>321624.826794636</v>
      </c>
      <c r="W35" s="2"/>
      <c r="X35" s="267" t="n">
        <v>14</v>
      </c>
      <c r="Y35" s="268" t="n">
        <v>0.0591</v>
      </c>
    </row>
    <row r="36" customFormat="false" ht="12.75" hidden="false" customHeight="true" outlineLevel="0" collapsed="false">
      <c r="A36" s="2"/>
      <c r="B36" s="271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72"/>
      <c r="W36" s="2"/>
      <c r="X36" s="267" t="n">
        <v>15</v>
      </c>
      <c r="Y36" s="268" t="n">
        <v>0.059</v>
      </c>
    </row>
    <row r="37" customFormat="false" ht="12.75" hidden="false" customHeight="true" outlineLevel="0" collapsed="false">
      <c r="A37" s="260" t="s">
        <v>169</v>
      </c>
      <c r="B37" s="255"/>
      <c r="C37" s="255"/>
      <c r="D37" s="255"/>
      <c r="E37" s="255"/>
      <c r="F37" s="255"/>
      <c r="G37" s="255"/>
      <c r="H37" s="255"/>
      <c r="I37" s="255"/>
      <c r="J37" s="255"/>
      <c r="K37" s="255"/>
      <c r="L37" s="255"/>
      <c r="M37" s="255"/>
      <c r="N37" s="255"/>
      <c r="O37" s="255"/>
      <c r="P37" s="255"/>
      <c r="Q37" s="255"/>
      <c r="R37" s="255"/>
      <c r="S37" s="255"/>
      <c r="T37" s="255"/>
      <c r="U37" s="255"/>
      <c r="V37" s="255"/>
      <c r="W37" s="261"/>
      <c r="X37" s="273"/>
      <c r="Y37" s="274" t="n">
        <f aca="false">SUM(Y22:Y36)</f>
        <v>0.9705</v>
      </c>
    </row>
    <row r="38" customFormat="false" ht="12.75" hidden="false" customHeight="true" outlineLevel="0" collapsed="false">
      <c r="A38" s="261"/>
      <c r="B38" s="255"/>
      <c r="C38" s="255"/>
      <c r="D38" s="255"/>
      <c r="E38" s="255"/>
      <c r="F38" s="255"/>
      <c r="G38" s="255"/>
      <c r="H38" s="255"/>
      <c r="I38" s="255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261"/>
      <c r="X38" s="2"/>
      <c r="Y38" s="2"/>
    </row>
    <row r="39" customFormat="false" ht="12.75" hidden="false" customHeight="true" outlineLevel="0" collapsed="false">
      <c r="A39" s="187" t="s">
        <v>170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customFormat="false" ht="12.75" hidden="false" customHeight="true" outlineLevel="0" collapsed="false">
      <c r="A40" s="187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customFormat="false" ht="12.75" hidden="false" customHeight="true" outlineLevel="0" collapsed="false">
      <c r="A41" s="275" t="s">
        <v>55</v>
      </c>
      <c r="B41" s="255"/>
      <c r="C41" s="255"/>
      <c r="D41" s="25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customFormat="false" ht="12.75" hidden="false" customHeight="true" outlineLevel="0" collapsed="false">
      <c r="A42" s="2" t="s">
        <v>171</v>
      </c>
      <c r="B42" s="276" t="n">
        <f aca="false">'Summary Output'!$G$7*Allocation!$C$6</f>
        <v>237363.089182827</v>
      </c>
      <c r="C42" s="276" t="n">
        <f aca="false">B45</f>
        <v>237363.089182827</v>
      </c>
      <c r="D42" s="276" t="n">
        <f aca="false">C45</f>
        <v>225494.934723686</v>
      </c>
      <c r="E42" s="276" t="n">
        <f aca="false">D45</f>
        <v>202945.441251317</v>
      </c>
      <c r="F42" s="276" t="n">
        <f aca="false">E45</f>
        <v>182650.897126185</v>
      </c>
      <c r="G42" s="276" t="n">
        <f aca="false">F45</f>
        <v>164373.939259108</v>
      </c>
      <c r="H42" s="276" t="n">
        <f aca="false">G45</f>
        <v>147924.677178738</v>
      </c>
      <c r="I42" s="276" t="n">
        <f aca="false">H45</f>
        <v>133136.956722648</v>
      </c>
      <c r="J42" s="276" t="n">
        <f aca="false">I45</f>
        <v>119132.534460861</v>
      </c>
      <c r="K42" s="276" t="n">
        <f aca="false">J45</f>
        <v>105104.375890156</v>
      </c>
      <c r="L42" s="276" t="n">
        <f aca="false">K45</f>
        <v>91099.953628369</v>
      </c>
      <c r="M42" s="276" t="n">
        <f aca="false">L45</f>
        <v>77071.7950576639</v>
      </c>
      <c r="N42" s="276" t="n">
        <f aca="false">M45</f>
        <v>63067.3727958771</v>
      </c>
      <c r="O42" s="276" t="n">
        <f aca="false">N45</f>
        <v>49039.214225172</v>
      </c>
      <c r="P42" s="276" t="n">
        <f aca="false">O45</f>
        <v>35034.7919633853</v>
      </c>
      <c r="Q42" s="276" t="n">
        <f aca="false">P45</f>
        <v>21006.6333926802</v>
      </c>
      <c r="R42" s="276" t="n">
        <f aca="false">Q45</f>
        <v>7002.2111308934</v>
      </c>
      <c r="S42" s="276" t="n">
        <f aca="false">R45</f>
        <v>-7002.21113089338</v>
      </c>
      <c r="T42" s="276" t="n">
        <f aca="false">S45</f>
        <v>-7002.21113089338</v>
      </c>
      <c r="U42" s="276" t="n">
        <f aca="false">T45</f>
        <v>-7002.21113089338</v>
      </c>
      <c r="V42" s="276" t="n">
        <f aca="false">U45</f>
        <v>-7002.21113089338</v>
      </c>
      <c r="W42" s="2"/>
      <c r="X42" s="2"/>
      <c r="Y42" s="2"/>
    </row>
    <row r="43" customFormat="false" ht="12.75" hidden="false" customHeight="true" outlineLevel="0" collapsed="false">
      <c r="A43" s="2" t="s">
        <v>163</v>
      </c>
      <c r="B43" s="277" t="n">
        <f aca="false">VLOOKUP(B6,$X$21:$Y$36,2)</f>
        <v>0</v>
      </c>
      <c r="C43" s="277" t="n">
        <f aca="false">VLOOKUP(C6,$X$21:$Y$36,2)</f>
        <v>0.05</v>
      </c>
      <c r="D43" s="277" t="n">
        <f aca="false">VLOOKUP(D6,$X$21:$Y$36,2)</f>
        <v>0.095</v>
      </c>
      <c r="E43" s="277" t="n">
        <f aca="false">VLOOKUP(E6,$X$21:$Y$36,2)</f>
        <v>0.0855</v>
      </c>
      <c r="F43" s="277" t="n">
        <f aca="false">VLOOKUP(F6,$X$21:$Y$36,2)</f>
        <v>0.077</v>
      </c>
      <c r="G43" s="277" t="n">
        <f aca="false">VLOOKUP(G6,$X$21:$Y$36,2)</f>
        <v>0.0693</v>
      </c>
      <c r="H43" s="277" t="n">
        <f aca="false">VLOOKUP(H6,$X$21:$Y$36,2)</f>
        <v>0.0623</v>
      </c>
      <c r="I43" s="277" t="n">
        <f aca="false">VLOOKUP(I6,$X$21:$Y$36,2)</f>
        <v>0.059</v>
      </c>
      <c r="J43" s="277" t="n">
        <f aca="false">VLOOKUP(J6,$X$21:$Y$36,2)</f>
        <v>0.0591</v>
      </c>
      <c r="K43" s="277" t="n">
        <f aca="false">VLOOKUP(K6,$X$21:$Y$36,2)</f>
        <v>0.059</v>
      </c>
      <c r="L43" s="277" t="n">
        <f aca="false">VLOOKUP(L6,$X$21:$Y$36,2)</f>
        <v>0.0591</v>
      </c>
      <c r="M43" s="277" t="n">
        <f aca="false">VLOOKUP(M6,$X$21:$Y$36,2)</f>
        <v>0.059</v>
      </c>
      <c r="N43" s="277" t="n">
        <f aca="false">VLOOKUP(N6,$X$21:$Y$36,2)</f>
        <v>0.0591</v>
      </c>
      <c r="O43" s="277" t="n">
        <f aca="false">VLOOKUP(O6,$X$21:$Y$36,2)</f>
        <v>0.059</v>
      </c>
      <c r="P43" s="277" t="n">
        <f aca="false">VLOOKUP(P6,$X$21:$Y$36,2)</f>
        <v>0.0591</v>
      </c>
      <c r="Q43" s="277" t="n">
        <f aca="false">VLOOKUP(Q6,$X$21:$Y$36,2)</f>
        <v>0.059</v>
      </c>
      <c r="R43" s="277" t="n">
        <f aca="false">VLOOKUP(R6,$X$21:$Y$36,2)</f>
        <v>0.059</v>
      </c>
      <c r="S43" s="277" t="n">
        <v>0</v>
      </c>
      <c r="T43" s="277" t="n">
        <v>0</v>
      </c>
      <c r="U43" s="277" t="n">
        <v>0</v>
      </c>
      <c r="V43" s="277" t="n">
        <v>0</v>
      </c>
      <c r="W43" s="2"/>
      <c r="X43" s="2"/>
      <c r="Y43" s="2"/>
    </row>
    <row r="44" customFormat="false" ht="12.75" hidden="false" customHeight="true" outlineLevel="0" collapsed="false">
      <c r="A44" s="2" t="s">
        <v>165</v>
      </c>
      <c r="B44" s="249" t="n">
        <f aca="false">$B$42*B43</f>
        <v>0</v>
      </c>
      <c r="C44" s="249" t="n">
        <f aca="false">$B$42*C43</f>
        <v>11868.1544591413</v>
      </c>
      <c r="D44" s="249" t="n">
        <f aca="false">$B$42*D43</f>
        <v>22549.4934723686</v>
      </c>
      <c r="E44" s="249" t="n">
        <f aca="false">$B$42*E43</f>
        <v>20294.5441251317</v>
      </c>
      <c r="F44" s="249" t="n">
        <f aca="false">$B$42*F43</f>
        <v>18276.9578670777</v>
      </c>
      <c r="G44" s="249" t="n">
        <f aca="false">$B$42*G43</f>
        <v>16449.2620803699</v>
      </c>
      <c r="H44" s="249" t="n">
        <f aca="false">$B$42*H43</f>
        <v>14787.7204560901</v>
      </c>
      <c r="I44" s="249" t="n">
        <f aca="false">$B$42*I43</f>
        <v>14004.4222617868</v>
      </c>
      <c r="J44" s="249" t="n">
        <f aca="false">$B$42*J43</f>
        <v>14028.1585707051</v>
      </c>
      <c r="K44" s="249" t="n">
        <f aca="false">$B$42*K43</f>
        <v>14004.4222617868</v>
      </c>
      <c r="L44" s="249" t="n">
        <f aca="false">$B$42*L43</f>
        <v>14028.1585707051</v>
      </c>
      <c r="M44" s="249" t="n">
        <f aca="false">$B$42*M43</f>
        <v>14004.4222617868</v>
      </c>
      <c r="N44" s="249" t="n">
        <f aca="false">$B$42*N43</f>
        <v>14028.1585707051</v>
      </c>
      <c r="O44" s="249" t="n">
        <f aca="false">$B$42*O43</f>
        <v>14004.4222617868</v>
      </c>
      <c r="P44" s="249" t="n">
        <f aca="false">$B$42*P43</f>
        <v>14028.1585707051</v>
      </c>
      <c r="Q44" s="249" t="n">
        <f aca="false">$B$42*Q43</f>
        <v>14004.4222617868</v>
      </c>
      <c r="R44" s="249" t="n">
        <f aca="false">$B$42*R43</f>
        <v>14004.4222617868</v>
      </c>
      <c r="S44" s="249" t="n">
        <f aca="false">$B$42*S43</f>
        <v>0</v>
      </c>
      <c r="T44" s="249" t="n">
        <f aca="false">$B$42*T43</f>
        <v>0</v>
      </c>
      <c r="U44" s="249" t="n">
        <f aca="false">$B$42*U43</f>
        <v>0</v>
      </c>
      <c r="V44" s="249" t="n">
        <f aca="false">$B$42*V43</f>
        <v>0</v>
      </c>
      <c r="W44" s="2"/>
      <c r="X44" s="2"/>
      <c r="Y44" s="2"/>
    </row>
    <row r="45" customFormat="false" ht="12.75" hidden="false" customHeight="true" outlineLevel="0" collapsed="false">
      <c r="A45" s="2" t="s">
        <v>172</v>
      </c>
      <c r="B45" s="167" t="n">
        <f aca="false">B42-B44</f>
        <v>237363.089182827</v>
      </c>
      <c r="C45" s="167" t="n">
        <f aca="false">C42-C44</f>
        <v>225494.934723686</v>
      </c>
      <c r="D45" s="167" t="n">
        <f aca="false">D42-D44</f>
        <v>202945.441251317</v>
      </c>
      <c r="E45" s="167" t="n">
        <f aca="false">E42-E44</f>
        <v>182650.897126185</v>
      </c>
      <c r="F45" s="167" t="n">
        <f aca="false">F42-F44</f>
        <v>164373.939259108</v>
      </c>
      <c r="G45" s="167" t="n">
        <f aca="false">G42-G44</f>
        <v>147924.677178738</v>
      </c>
      <c r="H45" s="167" t="n">
        <f aca="false">H42-H44</f>
        <v>133136.956722648</v>
      </c>
      <c r="I45" s="167" t="n">
        <f aca="false">I42-I44</f>
        <v>119132.534460861</v>
      </c>
      <c r="J45" s="167" t="n">
        <f aca="false">J42-J44</f>
        <v>105104.375890156</v>
      </c>
      <c r="K45" s="167" t="n">
        <f aca="false">K42-K44</f>
        <v>91099.953628369</v>
      </c>
      <c r="L45" s="167" t="n">
        <f aca="false">L42-L44</f>
        <v>77071.7950576639</v>
      </c>
      <c r="M45" s="167" t="n">
        <f aca="false">M42-M44</f>
        <v>63067.3727958771</v>
      </c>
      <c r="N45" s="167" t="n">
        <f aca="false">N42-N44</f>
        <v>49039.214225172</v>
      </c>
      <c r="O45" s="167" t="n">
        <f aca="false">O42-O44</f>
        <v>35034.7919633853</v>
      </c>
      <c r="P45" s="167" t="n">
        <f aca="false">P42-P44</f>
        <v>21006.6333926802</v>
      </c>
      <c r="Q45" s="167" t="n">
        <f aca="false">Q42-Q44</f>
        <v>7002.2111308934</v>
      </c>
      <c r="R45" s="167" t="n">
        <f aca="false">R42-R44</f>
        <v>-7002.21113089338</v>
      </c>
      <c r="S45" s="167" t="n">
        <f aca="false">S42-S44</f>
        <v>-7002.21113089338</v>
      </c>
      <c r="T45" s="167" t="n">
        <f aca="false">T42-T44</f>
        <v>-7002.21113089338</v>
      </c>
      <c r="U45" s="167" t="n">
        <f aca="false">U42-U44</f>
        <v>-7002.21113089338</v>
      </c>
      <c r="V45" s="167" t="n">
        <f aca="false">V42-V44</f>
        <v>-7002.21113089338</v>
      </c>
      <c r="W45" s="2"/>
      <c r="X45" s="2"/>
      <c r="Y45" s="2"/>
    </row>
    <row r="46" customFormat="false" ht="12.75" hidden="false" customHeight="true" outlineLevel="0" collapsed="false">
      <c r="A46" s="2"/>
      <c r="B46" s="255"/>
      <c r="C46" s="255"/>
      <c r="D46" s="255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customFormat="false" ht="12.75" hidden="false" customHeight="true" outlineLevel="0" collapsed="false">
      <c r="A47" s="275" t="s">
        <v>56</v>
      </c>
      <c r="B47" s="255"/>
      <c r="C47" s="255"/>
      <c r="D47" s="255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customFormat="false" ht="12.75" hidden="false" customHeight="true" outlineLevel="0" collapsed="false">
      <c r="A48" s="2" t="s">
        <v>171</v>
      </c>
      <c r="B48" s="276" t="n">
        <f aca="false">'Summary Output'!$G$7*Allocation!$C$7</f>
        <v>217125.800924912</v>
      </c>
      <c r="C48" s="276" t="n">
        <f aca="false">B51</f>
        <v>217125.800924912</v>
      </c>
      <c r="D48" s="276" t="n">
        <f aca="false">C51</f>
        <v>206269.510878667</v>
      </c>
      <c r="E48" s="276" t="n">
        <f aca="false">D51</f>
        <v>185642.5597908</v>
      </c>
      <c r="F48" s="276" t="n">
        <f aca="false">E51</f>
        <v>167078.30381172</v>
      </c>
      <c r="G48" s="276" t="n">
        <f aca="false">F51</f>
        <v>150359.617140502</v>
      </c>
      <c r="H48" s="276" t="n">
        <f aca="false">G51</f>
        <v>135312.799136406</v>
      </c>
      <c r="I48" s="276" t="n">
        <f aca="false">H51</f>
        <v>121785.861738783</v>
      </c>
      <c r="J48" s="276" t="n">
        <f aca="false">I51</f>
        <v>108975.439484214</v>
      </c>
      <c r="K48" s="276" t="n">
        <f aca="false">J51</f>
        <v>96143.3046495513</v>
      </c>
      <c r="L48" s="276" t="n">
        <f aca="false">K51</f>
        <v>83332.8823949814</v>
      </c>
      <c r="M48" s="276" t="n">
        <f aca="false">L51</f>
        <v>70500.7475603191</v>
      </c>
      <c r="N48" s="276" t="n">
        <f aca="false">M51</f>
        <v>57690.3253057493</v>
      </c>
      <c r="O48" s="276" t="n">
        <f aca="false">N51</f>
        <v>44858.1904710869</v>
      </c>
      <c r="P48" s="276" t="n">
        <f aca="false">O51</f>
        <v>32047.7682165171</v>
      </c>
      <c r="Q48" s="276" t="n">
        <f aca="false">P51</f>
        <v>19215.6333818548</v>
      </c>
      <c r="R48" s="276" t="n">
        <f aca="false">Q51</f>
        <v>6405.21112728494</v>
      </c>
      <c r="S48" s="276" t="n">
        <f aca="false">R51</f>
        <v>-6405.2111272849</v>
      </c>
      <c r="T48" s="276" t="n">
        <f aca="false">S51</f>
        <v>-6405.2111272849</v>
      </c>
      <c r="U48" s="276" t="n">
        <f aca="false">T51</f>
        <v>-6405.2111272849</v>
      </c>
      <c r="V48" s="276" t="n">
        <f aca="false">U51</f>
        <v>-6405.2111272849</v>
      </c>
      <c r="W48" s="2"/>
      <c r="X48" s="2"/>
      <c r="Y48" s="2"/>
    </row>
    <row r="49" customFormat="false" ht="12.75" hidden="false" customHeight="true" outlineLevel="0" collapsed="false">
      <c r="A49" s="2" t="s">
        <v>163</v>
      </c>
      <c r="B49" s="277" t="n">
        <f aca="false">VLOOKUP(B6,$X$21:$Y$36,2)</f>
        <v>0</v>
      </c>
      <c r="C49" s="277" t="n">
        <f aca="false">VLOOKUP(C6,$X$21:$Y$36,2)</f>
        <v>0.05</v>
      </c>
      <c r="D49" s="277" t="n">
        <f aca="false">VLOOKUP(D6,$X$21:$Y$36,2)</f>
        <v>0.095</v>
      </c>
      <c r="E49" s="277" t="n">
        <f aca="false">VLOOKUP(E6,$X$21:$Y$36,2)</f>
        <v>0.0855</v>
      </c>
      <c r="F49" s="277" t="n">
        <f aca="false">VLOOKUP(F6,$X$21:$Y$36,2)</f>
        <v>0.077</v>
      </c>
      <c r="G49" s="277" t="n">
        <f aca="false">VLOOKUP(G6,$X$21:$Y$36,2)</f>
        <v>0.0693</v>
      </c>
      <c r="H49" s="277" t="n">
        <f aca="false">VLOOKUP(H6,$X$21:$Y$36,2)</f>
        <v>0.0623</v>
      </c>
      <c r="I49" s="277" t="n">
        <f aca="false">VLOOKUP(I6,$X$21:$Y$36,2)</f>
        <v>0.059</v>
      </c>
      <c r="J49" s="277" t="n">
        <f aca="false">VLOOKUP(J6,$X$21:$Y$36,2)</f>
        <v>0.0591</v>
      </c>
      <c r="K49" s="277" t="n">
        <f aca="false">VLOOKUP(K6,$X$21:$Y$36,2)</f>
        <v>0.059</v>
      </c>
      <c r="L49" s="277" t="n">
        <f aca="false">VLOOKUP(L6,$X$21:$Y$36,2)</f>
        <v>0.0591</v>
      </c>
      <c r="M49" s="277" t="n">
        <f aca="false">VLOOKUP(M6,$X$21:$Y$36,2)</f>
        <v>0.059</v>
      </c>
      <c r="N49" s="277" t="n">
        <f aca="false">VLOOKUP(N6,$X$21:$Y$36,2)</f>
        <v>0.0591</v>
      </c>
      <c r="O49" s="277" t="n">
        <f aca="false">VLOOKUP(O6,$X$21:$Y$36,2)</f>
        <v>0.059</v>
      </c>
      <c r="P49" s="277" t="n">
        <f aca="false">VLOOKUP(P6,$X$21:$Y$36,2)</f>
        <v>0.0591</v>
      </c>
      <c r="Q49" s="277" t="n">
        <f aca="false">VLOOKUP(Q6,$X$21:$Y$36,2)</f>
        <v>0.059</v>
      </c>
      <c r="R49" s="277" t="n">
        <f aca="false">VLOOKUP(R6,$X$21:$Y$36,2)</f>
        <v>0.059</v>
      </c>
      <c r="S49" s="277" t="n">
        <v>0</v>
      </c>
      <c r="T49" s="277" t="n">
        <v>0</v>
      </c>
      <c r="U49" s="277" t="n">
        <v>0</v>
      </c>
      <c r="V49" s="277" t="n">
        <v>0</v>
      </c>
      <c r="W49" s="2"/>
      <c r="X49" s="2"/>
      <c r="Y49" s="2"/>
    </row>
    <row r="50" customFormat="false" ht="12.75" hidden="false" customHeight="true" outlineLevel="0" collapsed="false">
      <c r="A50" s="2" t="s">
        <v>165</v>
      </c>
      <c r="B50" s="249" t="n">
        <f aca="false">$B$48*B49</f>
        <v>0</v>
      </c>
      <c r="C50" s="249" t="n">
        <f aca="false">$B$48*C49</f>
        <v>10856.2900462456</v>
      </c>
      <c r="D50" s="249" t="n">
        <f aca="false">$B$48*D49</f>
        <v>20626.9510878667</v>
      </c>
      <c r="E50" s="249" t="n">
        <f aca="false">$B$48*E49</f>
        <v>18564.25597908</v>
      </c>
      <c r="F50" s="249" t="n">
        <f aca="false">$B$48*F49</f>
        <v>16718.6866712183</v>
      </c>
      <c r="G50" s="249" t="n">
        <f aca="false">$B$48*G49</f>
        <v>15046.8180040964</v>
      </c>
      <c r="H50" s="249" t="n">
        <f aca="false">$B$48*H49</f>
        <v>13526.937397622</v>
      </c>
      <c r="I50" s="249" t="n">
        <f aca="false">$B$48*I49</f>
        <v>12810.4222545698</v>
      </c>
      <c r="J50" s="249" t="n">
        <f aca="false">$B$48*J49</f>
        <v>12832.1348346623</v>
      </c>
      <c r="K50" s="249" t="n">
        <f aca="false">$B$48*K49</f>
        <v>12810.4222545698</v>
      </c>
      <c r="L50" s="249" t="n">
        <f aca="false">$B$48*L49</f>
        <v>12832.1348346623</v>
      </c>
      <c r="M50" s="249" t="n">
        <f aca="false">$B$48*M49</f>
        <v>12810.4222545698</v>
      </c>
      <c r="N50" s="249" t="n">
        <f aca="false">$B$48*N49</f>
        <v>12832.1348346623</v>
      </c>
      <c r="O50" s="249" t="n">
        <f aca="false">$B$48*O49</f>
        <v>12810.4222545698</v>
      </c>
      <c r="P50" s="249" t="n">
        <f aca="false">$B$48*P49</f>
        <v>12832.1348346623</v>
      </c>
      <c r="Q50" s="249" t="n">
        <f aca="false">$B$48*Q49</f>
        <v>12810.4222545698</v>
      </c>
      <c r="R50" s="249" t="n">
        <f aca="false">$B$48*R49</f>
        <v>12810.4222545698</v>
      </c>
      <c r="S50" s="249" t="n">
        <f aca="false">$B$48*S49</f>
        <v>0</v>
      </c>
      <c r="T50" s="249" t="n">
        <f aca="false">$B$48*T49</f>
        <v>0</v>
      </c>
      <c r="U50" s="249" t="n">
        <f aca="false">$B$48*U49</f>
        <v>0</v>
      </c>
      <c r="V50" s="249" t="n">
        <f aca="false">$B$48*V49</f>
        <v>0</v>
      </c>
      <c r="W50" s="2"/>
      <c r="X50" s="2"/>
      <c r="Y50" s="2"/>
    </row>
    <row r="51" customFormat="false" ht="12.75" hidden="false" customHeight="true" outlineLevel="0" collapsed="false">
      <c r="A51" s="2" t="s">
        <v>172</v>
      </c>
      <c r="B51" s="167" t="n">
        <f aca="false">B48-B50</f>
        <v>217125.800924912</v>
      </c>
      <c r="C51" s="167" t="n">
        <f aca="false">C48-C50</f>
        <v>206269.510878667</v>
      </c>
      <c r="D51" s="167" t="n">
        <f aca="false">D48-D50</f>
        <v>185642.5597908</v>
      </c>
      <c r="E51" s="167" t="n">
        <f aca="false">E48-E50</f>
        <v>167078.30381172</v>
      </c>
      <c r="F51" s="167" t="n">
        <f aca="false">F48-F50</f>
        <v>150359.617140502</v>
      </c>
      <c r="G51" s="167" t="n">
        <f aca="false">G48-G50</f>
        <v>135312.799136406</v>
      </c>
      <c r="H51" s="167" t="n">
        <f aca="false">H48-H50</f>
        <v>121785.861738783</v>
      </c>
      <c r="I51" s="167" t="n">
        <f aca="false">I48-I50</f>
        <v>108975.439484214</v>
      </c>
      <c r="J51" s="167" t="n">
        <f aca="false">J48-J50</f>
        <v>96143.3046495513</v>
      </c>
      <c r="K51" s="167" t="n">
        <f aca="false">K48-K50</f>
        <v>83332.8823949814</v>
      </c>
      <c r="L51" s="167" t="n">
        <f aca="false">L48-L50</f>
        <v>70500.7475603191</v>
      </c>
      <c r="M51" s="167" t="n">
        <f aca="false">M48-M50</f>
        <v>57690.3253057493</v>
      </c>
      <c r="N51" s="167" t="n">
        <f aca="false">N48-N50</f>
        <v>44858.1904710869</v>
      </c>
      <c r="O51" s="167" t="n">
        <f aca="false">O48-O50</f>
        <v>32047.7682165171</v>
      </c>
      <c r="P51" s="167" t="n">
        <f aca="false">P48-P50</f>
        <v>19215.6333818548</v>
      </c>
      <c r="Q51" s="167" t="n">
        <f aca="false">Q48-Q50</f>
        <v>6405.21112728494</v>
      </c>
      <c r="R51" s="167" t="n">
        <f aca="false">R48-R50</f>
        <v>-6405.2111272849</v>
      </c>
      <c r="S51" s="167" t="n">
        <f aca="false">S48-S50</f>
        <v>-6405.2111272849</v>
      </c>
      <c r="T51" s="167" t="n">
        <f aca="false">T48-T50</f>
        <v>-6405.2111272849</v>
      </c>
      <c r="U51" s="167" t="n">
        <f aca="false">U48-U50</f>
        <v>-6405.2111272849</v>
      </c>
      <c r="V51" s="167" t="n">
        <f aca="false">V48-V50</f>
        <v>-6405.2111272849</v>
      </c>
      <c r="W51" s="2"/>
      <c r="X51" s="2"/>
      <c r="Y51" s="2"/>
    </row>
    <row r="52" customFormat="false" ht="12.75" hidden="false" customHeight="true" outlineLevel="0" collapsed="false">
      <c r="A52" s="2"/>
      <c r="B52" s="255"/>
      <c r="C52" s="255"/>
      <c r="D52" s="255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customFormat="false" ht="12.75" hidden="false" customHeight="true" outlineLevel="0" collapsed="false">
      <c r="A53" s="275" t="s">
        <v>57</v>
      </c>
      <c r="B53" s="255"/>
      <c r="C53" s="255"/>
      <c r="D53" s="255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customFormat="false" ht="12.75" hidden="false" customHeight="true" outlineLevel="0" collapsed="false">
      <c r="A54" s="2" t="s">
        <v>171</v>
      </c>
      <c r="B54" s="276" t="n">
        <f aca="false">'Summary Output'!$G$7*Allocation!$C$8</f>
        <v>349573.176878851</v>
      </c>
      <c r="C54" s="167" t="n">
        <f aca="false">B57</f>
        <v>349573.176878851</v>
      </c>
      <c r="D54" s="167" t="n">
        <f aca="false">C57</f>
        <v>332094.518034908</v>
      </c>
      <c r="E54" s="167" t="n">
        <f aca="false">D57</f>
        <v>298885.066231417</v>
      </c>
      <c r="F54" s="167" t="n">
        <f aca="false">E57</f>
        <v>268996.559608276</v>
      </c>
      <c r="G54" s="167" t="n">
        <f aca="false">F57</f>
        <v>242079.424988604</v>
      </c>
      <c r="H54" s="167" t="n">
        <f aca="false">G57</f>
        <v>217854.0038309</v>
      </c>
      <c r="I54" s="167" t="n">
        <f aca="false">H57</f>
        <v>196075.594911347</v>
      </c>
      <c r="J54" s="167" t="n">
        <f aca="false">I57</f>
        <v>175450.777475495</v>
      </c>
      <c r="K54" s="167" t="n">
        <f aca="false">J57</f>
        <v>154791.002721955</v>
      </c>
      <c r="L54" s="167" t="n">
        <f aca="false">K57</f>
        <v>134166.185286103</v>
      </c>
      <c r="M54" s="167" t="n">
        <f aca="false">L57</f>
        <v>113506.410532563</v>
      </c>
      <c r="N54" s="167" t="n">
        <f aca="false">M57</f>
        <v>92881.5930967107</v>
      </c>
      <c r="O54" s="167" t="n">
        <f aca="false">N57</f>
        <v>72221.8183431706</v>
      </c>
      <c r="P54" s="167" t="n">
        <f aca="false">O57</f>
        <v>51597.0009073184</v>
      </c>
      <c r="Q54" s="167" t="n">
        <f aca="false">P57</f>
        <v>30937.2261537783</v>
      </c>
      <c r="R54" s="167" t="n">
        <f aca="false">Q57</f>
        <v>10312.4087179261</v>
      </c>
      <c r="S54" s="167" t="n">
        <f aca="false">R57</f>
        <v>-10312.4087179261</v>
      </c>
      <c r="T54" s="167" t="n">
        <f aca="false">S57</f>
        <v>-10312.4087179261</v>
      </c>
      <c r="U54" s="167" t="n">
        <f aca="false">T57</f>
        <v>-10312.4087179261</v>
      </c>
      <c r="V54" s="167" t="n">
        <f aca="false">U57</f>
        <v>-10312.4087179261</v>
      </c>
      <c r="W54" s="2"/>
      <c r="X54" s="2"/>
      <c r="Y54" s="2"/>
    </row>
    <row r="55" customFormat="false" ht="12.75" hidden="false" customHeight="true" outlineLevel="0" collapsed="false">
      <c r="A55" s="2" t="s">
        <v>163</v>
      </c>
      <c r="B55" s="277" t="n">
        <f aca="false">VLOOKUP(B6,$X$21:$Y$36,2)</f>
        <v>0</v>
      </c>
      <c r="C55" s="277" t="n">
        <f aca="false">VLOOKUP(C6,$X$21:$Y$36,2)</f>
        <v>0.05</v>
      </c>
      <c r="D55" s="277" t="n">
        <f aca="false">VLOOKUP(D6,$X$21:$Y$36,2)</f>
        <v>0.095</v>
      </c>
      <c r="E55" s="277" t="n">
        <f aca="false">VLOOKUP(E6,$X$21:$Y$36,2)</f>
        <v>0.0855</v>
      </c>
      <c r="F55" s="277" t="n">
        <f aca="false">VLOOKUP(F6,$X$21:$Y$36,2)</f>
        <v>0.077</v>
      </c>
      <c r="G55" s="277" t="n">
        <f aca="false">VLOOKUP(G6,$X$21:$Y$36,2)</f>
        <v>0.0693</v>
      </c>
      <c r="H55" s="277" t="n">
        <f aca="false">VLOOKUP(H6,$X$21:$Y$36,2)</f>
        <v>0.0623</v>
      </c>
      <c r="I55" s="277" t="n">
        <f aca="false">VLOOKUP(I6,$X$21:$Y$36,2)</f>
        <v>0.059</v>
      </c>
      <c r="J55" s="277" t="n">
        <f aca="false">VLOOKUP(J6,$X$21:$Y$36,2)</f>
        <v>0.0591</v>
      </c>
      <c r="K55" s="277" t="n">
        <f aca="false">VLOOKUP(K6,$X$21:$Y$36,2)</f>
        <v>0.059</v>
      </c>
      <c r="L55" s="277" t="n">
        <f aca="false">VLOOKUP(L6,$X$21:$Y$36,2)</f>
        <v>0.0591</v>
      </c>
      <c r="M55" s="277" t="n">
        <f aca="false">VLOOKUP(M6,$X$21:$Y$36,2)</f>
        <v>0.059</v>
      </c>
      <c r="N55" s="277" t="n">
        <f aca="false">VLOOKUP(N6,$X$21:$Y$36,2)</f>
        <v>0.0591</v>
      </c>
      <c r="O55" s="277" t="n">
        <f aca="false">VLOOKUP(O6,$X$21:$Y$36,2)</f>
        <v>0.059</v>
      </c>
      <c r="P55" s="277" t="n">
        <f aca="false">VLOOKUP(P6,$X$21:$Y$36,2)</f>
        <v>0.0591</v>
      </c>
      <c r="Q55" s="277" t="n">
        <f aca="false">VLOOKUP(Q6,$X$21:$Y$36,2)</f>
        <v>0.059</v>
      </c>
      <c r="R55" s="277" t="n">
        <f aca="false">VLOOKUP(R6,$X$21:$Y$36,2)</f>
        <v>0.059</v>
      </c>
      <c r="S55" s="277" t="n">
        <v>0</v>
      </c>
      <c r="T55" s="277" t="n">
        <v>0</v>
      </c>
      <c r="U55" s="277" t="n">
        <v>0</v>
      </c>
      <c r="V55" s="277" t="n">
        <v>0</v>
      </c>
      <c r="W55" s="2"/>
      <c r="X55" s="2"/>
      <c r="Y55" s="2"/>
    </row>
    <row r="56" customFormat="false" ht="12.75" hidden="false" customHeight="true" outlineLevel="0" collapsed="false">
      <c r="A56" s="2" t="s">
        <v>165</v>
      </c>
      <c r="B56" s="249" t="n">
        <f aca="false">$B$54*B55</f>
        <v>0</v>
      </c>
      <c r="C56" s="249" t="n">
        <f aca="false">$B$54*C55</f>
        <v>17478.6588439425</v>
      </c>
      <c r="D56" s="249" t="n">
        <f aca="false">$B$54*D55</f>
        <v>33209.4518034908</v>
      </c>
      <c r="E56" s="249" t="n">
        <f aca="false">$B$54*E55</f>
        <v>29888.5066231418</v>
      </c>
      <c r="F56" s="249" t="n">
        <f aca="false">$B$54*F55</f>
        <v>26917.1346196715</v>
      </c>
      <c r="G56" s="249" t="n">
        <f aca="false">$B$54*G55</f>
        <v>24225.4211577044</v>
      </c>
      <c r="H56" s="249" t="n">
        <f aca="false">$B$54*H55</f>
        <v>21778.4089195524</v>
      </c>
      <c r="I56" s="249" t="n">
        <f aca="false">$B$54*I55</f>
        <v>20624.8174358522</v>
      </c>
      <c r="J56" s="249" t="n">
        <f aca="false">$B$54*J55</f>
        <v>20659.7747535401</v>
      </c>
      <c r="K56" s="249" t="n">
        <f aca="false">$B$54*K55</f>
        <v>20624.8174358522</v>
      </c>
      <c r="L56" s="249" t="n">
        <f aca="false">$B$54*L55</f>
        <v>20659.7747535401</v>
      </c>
      <c r="M56" s="249" t="n">
        <f aca="false">$B$54*M55</f>
        <v>20624.8174358522</v>
      </c>
      <c r="N56" s="249" t="n">
        <f aca="false">$B$54*N55</f>
        <v>20659.7747535401</v>
      </c>
      <c r="O56" s="249" t="n">
        <f aca="false">$B$54*O55</f>
        <v>20624.8174358522</v>
      </c>
      <c r="P56" s="249" t="n">
        <f aca="false">$B$54*P55</f>
        <v>20659.7747535401</v>
      </c>
      <c r="Q56" s="249" t="n">
        <f aca="false">$B$54*Q55</f>
        <v>20624.8174358522</v>
      </c>
      <c r="R56" s="249" t="n">
        <f aca="false">$B$54*R55</f>
        <v>20624.8174358522</v>
      </c>
      <c r="S56" s="249" t="n">
        <f aca="false">$B$54*S55</f>
        <v>0</v>
      </c>
      <c r="T56" s="249" t="n">
        <f aca="false">$B$54*T55</f>
        <v>0</v>
      </c>
      <c r="U56" s="249" t="n">
        <f aca="false">$B$54*U55</f>
        <v>0</v>
      </c>
      <c r="V56" s="249" t="n">
        <f aca="false">$B$54*V55</f>
        <v>0</v>
      </c>
      <c r="W56" s="2"/>
      <c r="X56" s="2"/>
      <c r="Y56" s="2"/>
    </row>
    <row r="57" customFormat="false" ht="12.75" hidden="false" customHeight="true" outlineLevel="0" collapsed="false">
      <c r="A57" s="2" t="s">
        <v>172</v>
      </c>
      <c r="B57" s="167" t="n">
        <f aca="false">B54-B56</f>
        <v>349573.176878851</v>
      </c>
      <c r="C57" s="167" t="n">
        <f aca="false">C54-C56</f>
        <v>332094.518034908</v>
      </c>
      <c r="D57" s="167" t="n">
        <f aca="false">D54-D56</f>
        <v>298885.066231417</v>
      </c>
      <c r="E57" s="167" t="n">
        <f aca="false">E54-E56</f>
        <v>268996.559608276</v>
      </c>
      <c r="F57" s="167" t="n">
        <f aca="false">F54-F56</f>
        <v>242079.424988604</v>
      </c>
      <c r="G57" s="167" t="n">
        <f aca="false">G54-G56</f>
        <v>217854.0038309</v>
      </c>
      <c r="H57" s="167" t="n">
        <f aca="false">H54-H56</f>
        <v>196075.594911347</v>
      </c>
      <c r="I57" s="167" t="n">
        <f aca="false">I54-I56</f>
        <v>175450.777475495</v>
      </c>
      <c r="J57" s="167" t="n">
        <f aca="false">J54-J56</f>
        <v>154791.002721955</v>
      </c>
      <c r="K57" s="167" t="n">
        <f aca="false">K54-K56</f>
        <v>134166.185286103</v>
      </c>
      <c r="L57" s="167" t="n">
        <f aca="false">L54-L56</f>
        <v>113506.410532563</v>
      </c>
      <c r="M57" s="167" t="n">
        <f aca="false">M54-M56</f>
        <v>92881.5930967107</v>
      </c>
      <c r="N57" s="167" t="n">
        <f aca="false">N54-N56</f>
        <v>72221.8183431706</v>
      </c>
      <c r="O57" s="167" t="n">
        <f aca="false">O54-O56</f>
        <v>51597.0009073184</v>
      </c>
      <c r="P57" s="167" t="n">
        <f aca="false">P54-P56</f>
        <v>30937.2261537783</v>
      </c>
      <c r="Q57" s="167" t="n">
        <f aca="false">Q54-Q56</f>
        <v>10312.4087179261</v>
      </c>
      <c r="R57" s="167" t="n">
        <f aca="false">R54-R56</f>
        <v>-10312.4087179261</v>
      </c>
      <c r="S57" s="167" t="n">
        <f aca="false">S54-S56</f>
        <v>-10312.4087179261</v>
      </c>
      <c r="T57" s="167" t="n">
        <f aca="false">T54-T56</f>
        <v>-10312.4087179261</v>
      </c>
      <c r="U57" s="167" t="n">
        <f aca="false">U54-U56</f>
        <v>-10312.4087179261</v>
      </c>
      <c r="V57" s="167" t="n">
        <f aca="false">V54-V56</f>
        <v>-10312.4087179261</v>
      </c>
      <c r="W57" s="2"/>
      <c r="X57" s="2"/>
      <c r="Y57" s="2"/>
    </row>
    <row r="58" customFormat="false" ht="12.75" hidden="false" customHeight="true" outlineLevel="0" collapsed="false">
      <c r="A58" s="2"/>
      <c r="B58" s="255"/>
      <c r="C58" s="255"/>
      <c r="D58" s="255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customFormat="false" ht="12.75" hidden="false" customHeight="true" outlineLevel="0" collapsed="false">
      <c r="A59" s="275" t="s">
        <v>168</v>
      </c>
      <c r="B59" s="255"/>
      <c r="C59" s="255"/>
      <c r="D59" s="255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customFormat="false" ht="12.75" hidden="false" customHeight="true" outlineLevel="0" collapsed="false">
      <c r="A60" s="2" t="s">
        <v>171</v>
      </c>
      <c r="B60" s="167" t="n">
        <f aca="false">SUM(B42,B48,B54)</f>
        <v>804062.06698659</v>
      </c>
      <c r="C60" s="167" t="n">
        <f aca="false">B62</f>
        <v>804062.06698659</v>
      </c>
      <c r="D60" s="167" t="n">
        <f aca="false">C62</f>
        <v>763858.963637261</v>
      </c>
      <c r="E60" s="167" t="n">
        <f aca="false">D62</f>
        <v>687473.067273535</v>
      </c>
      <c r="F60" s="167" t="n">
        <f aca="false">E62</f>
        <v>618725.760546181</v>
      </c>
      <c r="G60" s="167" t="n">
        <f aca="false">F62</f>
        <v>556812.981388214</v>
      </c>
      <c r="H60" s="167" t="n">
        <f aca="false">G62</f>
        <v>501091.480146043</v>
      </c>
      <c r="I60" s="167" t="n">
        <f aca="false">H62</f>
        <v>450998.413372778</v>
      </c>
      <c r="J60" s="167" t="n">
        <f aca="false">I62</f>
        <v>403558.75142057</v>
      </c>
      <c r="K60" s="167" t="n">
        <f aca="false">J62</f>
        <v>356038.683261662</v>
      </c>
      <c r="L60" s="167" t="n">
        <f aca="false">K62</f>
        <v>308599.021309453</v>
      </c>
      <c r="M60" s="167" t="n">
        <f aca="false">L62</f>
        <v>261078.953150546</v>
      </c>
      <c r="N60" s="167" t="n">
        <f aca="false">M62</f>
        <v>213639.291198337</v>
      </c>
      <c r="O60" s="167" t="n">
        <f aca="false">N62</f>
        <v>166119.22303943</v>
      </c>
      <c r="P60" s="167" t="n">
        <f aca="false">O62</f>
        <v>118679.561087221</v>
      </c>
      <c r="Q60" s="167" t="n">
        <f aca="false">P62</f>
        <v>71159.4929283132</v>
      </c>
      <c r="R60" s="167" t="n">
        <f aca="false">Q62</f>
        <v>23719.8309761044</v>
      </c>
      <c r="S60" s="167" t="n">
        <f aca="false">R62</f>
        <v>-23719.8309761044</v>
      </c>
      <c r="T60" s="167" t="n">
        <f aca="false">S62</f>
        <v>-23719.8309761044</v>
      </c>
      <c r="U60" s="167" t="n">
        <f aca="false">T62</f>
        <v>-23719.8309761044</v>
      </c>
      <c r="V60" s="167" t="n">
        <f aca="false">U62</f>
        <v>-23719.8309761044</v>
      </c>
      <c r="W60" s="2"/>
      <c r="X60" s="2"/>
      <c r="Y60" s="2"/>
    </row>
    <row r="61" customFormat="false" ht="12.75" hidden="false" customHeight="true" outlineLevel="0" collapsed="false">
      <c r="A61" s="2" t="s">
        <v>165</v>
      </c>
      <c r="B61" s="249" t="n">
        <f aca="false">SUM(B44,B50,B56)</f>
        <v>0</v>
      </c>
      <c r="C61" s="249" t="n">
        <f aca="false">SUM(C44,C50,C56)</f>
        <v>40203.1033493295</v>
      </c>
      <c r="D61" s="249" t="n">
        <f aca="false">SUM(D44,D50,D56)</f>
        <v>76385.8963637261</v>
      </c>
      <c r="E61" s="249" t="n">
        <f aca="false">SUM(E44,E50,E56)</f>
        <v>68747.3067273535</v>
      </c>
      <c r="F61" s="249" t="n">
        <f aca="false">SUM(F44,F50,F56)</f>
        <v>61912.7791579675</v>
      </c>
      <c r="G61" s="249" t="n">
        <f aca="false">SUM(G44,G50,G56)</f>
        <v>55721.5012421707</v>
      </c>
      <c r="H61" s="249" t="n">
        <f aca="false">SUM(H44,H50,H56)</f>
        <v>50093.0667732646</v>
      </c>
      <c r="I61" s="249" t="n">
        <f aca="false">SUM(I44,I50,I56)</f>
        <v>47439.6619522088</v>
      </c>
      <c r="J61" s="249" t="n">
        <f aca="false">SUM(J44,J50,J56)</f>
        <v>47520.0681589075</v>
      </c>
      <c r="K61" s="249" t="n">
        <f aca="false">SUM(K44,K50,K56)</f>
        <v>47439.6619522088</v>
      </c>
      <c r="L61" s="249" t="n">
        <f aca="false">SUM(L44,L50,L56)</f>
        <v>47520.0681589075</v>
      </c>
      <c r="M61" s="249" t="n">
        <f aca="false">SUM(M44,M50,M56)</f>
        <v>47439.6619522088</v>
      </c>
      <c r="N61" s="249" t="n">
        <f aca="false">SUM(N44,N50,N56)</f>
        <v>47520.0681589075</v>
      </c>
      <c r="O61" s="249" t="n">
        <f aca="false">SUM(O44,O50,O56)</f>
        <v>47439.6619522088</v>
      </c>
      <c r="P61" s="249" t="n">
        <f aca="false">SUM(P44,P50,P56)</f>
        <v>47520.0681589075</v>
      </c>
      <c r="Q61" s="249" t="n">
        <f aca="false">SUM(Q44,Q50,Q56)</f>
        <v>47439.6619522088</v>
      </c>
      <c r="R61" s="249" t="n">
        <f aca="false">SUM(R44,R50,R56)</f>
        <v>47439.6619522088</v>
      </c>
      <c r="S61" s="249" t="n">
        <f aca="false">SUM(S44,S50,S56)</f>
        <v>0</v>
      </c>
      <c r="T61" s="249" t="n">
        <f aca="false">SUM(T44,T50,T56)</f>
        <v>0</v>
      </c>
      <c r="U61" s="249" t="n">
        <f aca="false">SUM(U44,U50,U56)</f>
        <v>0</v>
      </c>
      <c r="V61" s="249" t="n">
        <f aca="false">SUM(V44,V50,V56)</f>
        <v>0</v>
      </c>
      <c r="W61" s="2"/>
      <c r="X61" s="2"/>
      <c r="Y61" s="2"/>
    </row>
    <row r="62" customFormat="false" ht="12.75" hidden="false" customHeight="true" outlineLevel="0" collapsed="false">
      <c r="A62" s="2" t="s">
        <v>172</v>
      </c>
      <c r="B62" s="167" t="n">
        <f aca="false">B60-B61</f>
        <v>804062.06698659</v>
      </c>
      <c r="C62" s="167" t="n">
        <f aca="false">C60-C61</f>
        <v>763858.963637261</v>
      </c>
      <c r="D62" s="167" t="n">
        <f aca="false">D60-D61</f>
        <v>687473.067273535</v>
      </c>
      <c r="E62" s="167" t="n">
        <f aca="false">E60-E61</f>
        <v>618725.760546181</v>
      </c>
      <c r="F62" s="167" t="n">
        <f aca="false">F60-F61</f>
        <v>556812.981388214</v>
      </c>
      <c r="G62" s="167" t="n">
        <f aca="false">G60-G61</f>
        <v>501091.480146043</v>
      </c>
      <c r="H62" s="167" t="n">
        <f aca="false">H60-H61</f>
        <v>450998.413372778</v>
      </c>
      <c r="I62" s="167" t="n">
        <f aca="false">I60-I61</f>
        <v>403558.75142057</v>
      </c>
      <c r="J62" s="167" t="n">
        <f aca="false">J60-J61</f>
        <v>356038.683261662</v>
      </c>
      <c r="K62" s="167" t="n">
        <f aca="false">K60-K61</f>
        <v>308599.021309453</v>
      </c>
      <c r="L62" s="167" t="n">
        <f aca="false">L60-L61</f>
        <v>261078.953150546</v>
      </c>
      <c r="M62" s="167" t="n">
        <f aca="false">M60-M61</f>
        <v>213639.291198337</v>
      </c>
      <c r="N62" s="167" t="n">
        <f aca="false">N60-N61</f>
        <v>166119.22303943</v>
      </c>
      <c r="O62" s="167" t="n">
        <f aca="false">O60-O61</f>
        <v>118679.561087221</v>
      </c>
      <c r="P62" s="167" t="n">
        <f aca="false">P60-P61</f>
        <v>71159.4929283132</v>
      </c>
      <c r="Q62" s="167" t="n">
        <f aca="false">Q60-Q61</f>
        <v>23719.8309761044</v>
      </c>
      <c r="R62" s="167" t="n">
        <f aca="false">R60-R61</f>
        <v>-23719.8309761044</v>
      </c>
      <c r="S62" s="167" t="n">
        <f aca="false">S60-S61</f>
        <v>-23719.8309761044</v>
      </c>
      <c r="T62" s="167" t="n">
        <f aca="false">T60-T61</f>
        <v>-23719.8309761044</v>
      </c>
      <c r="U62" s="167" t="n">
        <f aca="false">U60-U61</f>
        <v>-23719.8309761044</v>
      </c>
      <c r="V62" s="167" t="n">
        <f aca="false">V60-V61</f>
        <v>-23719.8309761044</v>
      </c>
      <c r="W62" s="2"/>
      <c r="X62" s="2"/>
      <c r="Y62" s="2"/>
    </row>
    <row r="63" customFormat="false" ht="12.75" hidden="false" customHeight="true" outlineLevel="0" collapsed="false">
      <c r="A63" s="2"/>
      <c r="B63" s="255"/>
      <c r="C63" s="255"/>
      <c r="D63" s="255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customFormat="false" ht="12.75" hidden="false" customHeight="true" outlineLevel="0" collapsed="false">
      <c r="A64" s="2"/>
      <c r="B64" s="255"/>
      <c r="C64" s="255"/>
      <c r="D64" s="255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customFormat="false" ht="12.75" hidden="false" customHeight="true" outlineLevel="0" collapsed="false">
      <c r="A65" s="2"/>
      <c r="B65" s="255"/>
      <c r="C65" s="255"/>
      <c r="D65" s="255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customFormat="false" ht="12.75" hidden="false" customHeight="true" outlineLevel="0" collapsed="false">
      <c r="A66" s="163" t="s">
        <v>173</v>
      </c>
      <c r="B66" s="245"/>
      <c r="C66" s="245" t="n">
        <f aca="false">C61</f>
        <v>40203.1033493295</v>
      </c>
      <c r="D66" s="245" t="n">
        <f aca="false">D61</f>
        <v>76385.8963637261</v>
      </c>
      <c r="E66" s="245" t="n">
        <f aca="false">E61</f>
        <v>68747.3067273535</v>
      </c>
      <c r="F66" s="245" t="n">
        <f aca="false">F61</f>
        <v>61912.7791579675</v>
      </c>
      <c r="G66" s="245" t="n">
        <f aca="false">G61</f>
        <v>55721.5012421707</v>
      </c>
      <c r="H66" s="245" t="n">
        <f aca="false">H61</f>
        <v>50093.0667732646</v>
      </c>
      <c r="I66" s="245" t="n">
        <f aca="false">I61</f>
        <v>47439.6619522088</v>
      </c>
      <c r="J66" s="245" t="n">
        <f aca="false">J61</f>
        <v>47520.0681589075</v>
      </c>
      <c r="K66" s="245" t="n">
        <f aca="false">K61</f>
        <v>47439.6619522088</v>
      </c>
      <c r="L66" s="245" t="n">
        <f aca="false">L61</f>
        <v>47520.0681589075</v>
      </c>
      <c r="M66" s="245" t="n">
        <f aca="false">M61</f>
        <v>47439.6619522088</v>
      </c>
      <c r="N66" s="245" t="n">
        <f aca="false">N61</f>
        <v>47520.0681589075</v>
      </c>
      <c r="O66" s="245" t="n">
        <f aca="false">O61</f>
        <v>47439.6619522088</v>
      </c>
      <c r="P66" s="245" t="n">
        <f aca="false">P61</f>
        <v>47520.0681589075</v>
      </c>
      <c r="Q66" s="245" t="n">
        <f aca="false">Q61</f>
        <v>47439.6619522088</v>
      </c>
      <c r="R66" s="245" t="n">
        <f aca="false">R61</f>
        <v>47439.6619522088</v>
      </c>
      <c r="S66" s="245" t="n">
        <f aca="false">S61</f>
        <v>0</v>
      </c>
      <c r="T66" s="245" t="n">
        <f aca="false">T61</f>
        <v>0</v>
      </c>
      <c r="U66" s="245" t="n">
        <f aca="false">U61</f>
        <v>0</v>
      </c>
      <c r="V66" s="245" t="n">
        <f aca="false">V61</f>
        <v>0</v>
      </c>
      <c r="W66" s="2"/>
      <c r="X66" s="2"/>
      <c r="Y66" s="2"/>
    </row>
    <row r="67" customFormat="false" ht="12.75" hidden="false" customHeight="true" outlineLevel="0" collapsed="false">
      <c r="A67" s="278" t="s">
        <v>174</v>
      </c>
      <c r="B67" s="251"/>
      <c r="C67" s="251" t="n">
        <f aca="false">SUM(Gleason!B73,Wheatland!B75,Wilton!B67)</f>
        <v>-40203.1033493295</v>
      </c>
      <c r="D67" s="251" t="n">
        <f aca="false">SUM(Gleason!C73,Wheatland!C75,Wilton!C67)</f>
        <v>-76385.8963637261</v>
      </c>
      <c r="E67" s="251" t="n">
        <f aca="false">SUM(Gleason!D73,Wheatland!D75,Wilton!D67)</f>
        <v>-68747.3067273535</v>
      </c>
      <c r="F67" s="251" t="n">
        <f aca="false">SUM(Gleason!E73,Wheatland!E75,Wilton!E67)</f>
        <v>-61912.7791579675</v>
      </c>
      <c r="G67" s="251" t="n">
        <f aca="false">SUM(Gleason!F73,Wheatland!F75,Wilton!F67)</f>
        <v>-55721.5012421707</v>
      </c>
      <c r="H67" s="251" t="n">
        <f aca="false">SUM(Gleason!G73,Wheatland!G75,Wilton!G67)</f>
        <v>-50093.0667732646</v>
      </c>
      <c r="I67" s="251" t="n">
        <f aca="false">SUM(Gleason!H73,Wheatland!H75,Wilton!H67)</f>
        <v>-47439.6619522088</v>
      </c>
      <c r="J67" s="251" t="n">
        <f aca="false">SUM(Gleason!I73,Wheatland!I75,Wilton!I67)</f>
        <v>-47520.0681589075</v>
      </c>
      <c r="K67" s="251" t="n">
        <f aca="false">SUM(Gleason!J73,Wheatland!J75,Wilton!J67)</f>
        <v>-47439.6619522088</v>
      </c>
      <c r="L67" s="251" t="n">
        <f aca="false">SUM(Gleason!K73,Wheatland!K75,Wilton!K67)</f>
        <v>-47520.0681589075</v>
      </c>
      <c r="M67" s="251" t="n">
        <f aca="false">SUM(Gleason!L73,Wheatland!L75,Wilton!L67)</f>
        <v>-47439.6619522088</v>
      </c>
      <c r="N67" s="251" t="n">
        <f aca="false">SUM(Gleason!M73,Wheatland!M75,Wilton!M67)</f>
        <v>-47520.0681589075</v>
      </c>
      <c r="O67" s="251" t="n">
        <f aca="false">SUM(Gleason!N73,Wheatland!N75,Wilton!N67)</f>
        <v>-47439.6619522088</v>
      </c>
      <c r="P67" s="251" t="n">
        <f aca="false">SUM(Gleason!O73,Wheatland!O75,Wilton!O67)</f>
        <v>-47520.0681589075</v>
      </c>
      <c r="Q67" s="251" t="n">
        <f aca="false">SUM(Gleason!P73,Wheatland!P75,Wilton!P67)</f>
        <v>-47439.6619522088</v>
      </c>
      <c r="R67" s="251" t="n">
        <f aca="false">SUM(Gleason!Q73,Wheatland!Q75,Wilton!Q67)</f>
        <v>-47439.6619522088</v>
      </c>
      <c r="S67" s="251" t="n">
        <f aca="false">SUM(Gleason!R73,Wheatland!R75,Wilton!R67)</f>
        <v>0</v>
      </c>
      <c r="T67" s="251" t="n">
        <f aca="false">SUM(Gleason!S73,Wheatland!S75,Wilton!S67)</f>
        <v>0</v>
      </c>
      <c r="U67" s="251" t="n">
        <f aca="false">SUM(Gleason!T73,Wheatland!T75,Wilton!T67)</f>
        <v>0</v>
      </c>
      <c r="V67" s="251" t="n">
        <f aca="false">SUM(Gleason!U73,Wheatland!U75,Wilton!U67)</f>
        <v>0</v>
      </c>
      <c r="W67" s="2"/>
      <c r="X67" s="2"/>
      <c r="Y67" s="2"/>
    </row>
    <row r="68" customFormat="false" ht="12.75" hidden="false" customHeight="true" outlineLevel="0" collapsed="false">
      <c r="A68" s="163" t="s">
        <v>175</v>
      </c>
      <c r="B68" s="245"/>
      <c r="C68" s="245" t="n">
        <f aca="false">C66+C67</f>
        <v>0</v>
      </c>
      <c r="D68" s="245" t="n">
        <f aca="false">D66+D67</f>
        <v>0</v>
      </c>
      <c r="E68" s="245" t="n">
        <f aca="false">E66+E67</f>
        <v>0</v>
      </c>
      <c r="F68" s="245" t="n">
        <f aca="false">F66+F67</f>
        <v>0</v>
      </c>
      <c r="G68" s="245" t="n">
        <f aca="false">G66+G67</f>
        <v>0</v>
      </c>
      <c r="H68" s="245" t="n">
        <f aca="false">H66+H67</f>
        <v>0</v>
      </c>
      <c r="I68" s="245" t="n">
        <f aca="false">I66+I67</f>
        <v>0</v>
      </c>
      <c r="J68" s="245" t="n">
        <f aca="false">J66+J67</f>
        <v>0</v>
      </c>
      <c r="K68" s="245" t="n">
        <f aca="false">K66+K67</f>
        <v>0</v>
      </c>
      <c r="L68" s="245" t="n">
        <f aca="false">L66+L67</f>
        <v>0</v>
      </c>
      <c r="M68" s="245" t="n">
        <f aca="false">M66+M67</f>
        <v>0</v>
      </c>
      <c r="N68" s="245" t="n">
        <f aca="false">N66+N67</f>
        <v>0</v>
      </c>
      <c r="O68" s="245" t="n">
        <f aca="false">O66+O67</f>
        <v>0</v>
      </c>
      <c r="P68" s="245" t="n">
        <f aca="false">P66+P67</f>
        <v>0</v>
      </c>
      <c r="Q68" s="245" t="n">
        <f aca="false">Q66+Q67</f>
        <v>0</v>
      </c>
      <c r="R68" s="245" t="n">
        <f aca="false">R66+R67</f>
        <v>0</v>
      </c>
      <c r="S68" s="245" t="n">
        <f aca="false">S66+S67</f>
        <v>0</v>
      </c>
      <c r="T68" s="245" t="n">
        <f aca="false">T66+T67</f>
        <v>0</v>
      </c>
      <c r="U68" s="245" t="n">
        <f aca="false">U66+U67</f>
        <v>0</v>
      </c>
      <c r="V68" s="245" t="n">
        <f aca="false">V66+V67</f>
        <v>0</v>
      </c>
      <c r="W68" s="2"/>
      <c r="X68" s="2"/>
      <c r="Y68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&amp;L&amp;12Enron's Generation&amp;RCONFIDENTIAL</oddHeader>
    <oddFooter>&amp;L&amp;D&amp;C&amp;F&amp;RPage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56"/>
    <col collapsed="false" customWidth="true" hidden="false" outlineLevel="0" max="14" min="2" style="0" width="8.28"/>
    <col collapsed="false" customWidth="true" hidden="false" outlineLevel="0" max="21" min="15" style="0" width="8.7"/>
    <col collapsed="false" customWidth="true" hidden="false" outlineLevel="0" max="24" min="23" style="0" width="10.85"/>
    <col collapsed="false" customWidth="true" hidden="false" outlineLevel="0" max="25" min="25" style="0" width="4.7"/>
  </cols>
  <sheetData>
    <row r="1" customFormat="false" ht="12.75" hidden="false" customHeight="true" outlineLevel="0" collapsed="false"/>
    <row r="2" customFormat="false" ht="18" hidden="false" customHeight="true" outlineLevel="0" collapsed="false">
      <c r="A2" s="279" t="s">
        <v>176</v>
      </c>
      <c r="B2" s="279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80"/>
      <c r="W2" s="280"/>
      <c r="X2" s="4"/>
      <c r="Y2" s="4"/>
    </row>
    <row r="3" customFormat="false" ht="12.75" hidden="false" customHeight="true" outlineLevel="0" collapsed="false">
      <c r="A3" s="281"/>
      <c r="B3" s="282"/>
      <c r="C3" s="282"/>
      <c r="D3" s="282"/>
      <c r="E3" s="282"/>
      <c r="F3" s="282"/>
      <c r="G3" s="283"/>
      <c r="H3" s="282"/>
      <c r="I3" s="282"/>
      <c r="J3" s="282"/>
      <c r="K3" s="282"/>
      <c r="L3" s="282"/>
      <c r="M3" s="283"/>
      <c r="N3" s="282"/>
      <c r="O3" s="282"/>
      <c r="P3" s="282"/>
      <c r="Q3" s="282"/>
      <c r="R3" s="282"/>
      <c r="S3" s="283"/>
      <c r="T3" s="282"/>
      <c r="U3" s="282"/>
      <c r="V3" s="284"/>
      <c r="W3" s="284"/>
      <c r="X3" s="4"/>
      <c r="Y3" s="4"/>
    </row>
    <row r="4" customFormat="false" ht="12.75" hidden="false" customHeight="true" outlineLevel="0" collapsed="false">
      <c r="A4" s="237"/>
      <c r="B4" s="285" t="n">
        <v>3</v>
      </c>
      <c r="C4" s="285" t="n">
        <v>4</v>
      </c>
      <c r="D4" s="285" t="n">
        <v>5</v>
      </c>
      <c r="E4" s="286" t="n">
        <v>6</v>
      </c>
      <c r="F4" s="285" t="n">
        <v>7</v>
      </c>
      <c r="G4" s="285" t="n">
        <v>8</v>
      </c>
      <c r="H4" s="285" t="n">
        <v>9</v>
      </c>
      <c r="I4" s="285" t="n">
        <v>10</v>
      </c>
      <c r="J4" s="285" t="n">
        <v>11</v>
      </c>
      <c r="K4" s="286" t="n">
        <v>12</v>
      </c>
      <c r="L4" s="285" t="n">
        <v>13</v>
      </c>
      <c r="M4" s="285" t="n">
        <v>14</v>
      </c>
      <c r="N4" s="285" t="n">
        <v>15</v>
      </c>
      <c r="O4" s="285" t="n">
        <v>16</v>
      </c>
      <c r="P4" s="285" t="n">
        <v>17</v>
      </c>
      <c r="Q4" s="286" t="n">
        <v>18</v>
      </c>
      <c r="R4" s="285" t="n">
        <v>19</v>
      </c>
      <c r="S4" s="285" t="n">
        <v>20</v>
      </c>
      <c r="T4" s="285" t="n">
        <v>21</v>
      </c>
      <c r="U4" s="285" t="n">
        <v>22</v>
      </c>
      <c r="V4" s="287"/>
      <c r="W4" s="284"/>
      <c r="X4" s="4"/>
      <c r="Y4" s="4"/>
    </row>
    <row r="5" customFormat="false" ht="13.5" hidden="false" customHeight="true" outlineLevel="0" collapsed="false">
      <c r="A5" s="149" t="s">
        <v>100</v>
      </c>
      <c r="B5" s="150" t="n">
        <v>2001</v>
      </c>
      <c r="C5" s="150" t="n">
        <v>2002</v>
      </c>
      <c r="D5" s="150" t="n">
        <v>2003</v>
      </c>
      <c r="E5" s="150" t="n">
        <v>2004</v>
      </c>
      <c r="F5" s="150" t="n">
        <v>2005</v>
      </c>
      <c r="G5" s="150" t="n">
        <v>2006</v>
      </c>
      <c r="H5" s="150" t="n">
        <v>2007</v>
      </c>
      <c r="I5" s="150" t="n">
        <v>2008</v>
      </c>
      <c r="J5" s="150" t="n">
        <v>2009</v>
      </c>
      <c r="K5" s="150" t="n">
        <v>2010</v>
      </c>
      <c r="L5" s="150" t="n">
        <v>2011</v>
      </c>
      <c r="M5" s="150" t="n">
        <v>2012</v>
      </c>
      <c r="N5" s="150" t="n">
        <v>2013</v>
      </c>
      <c r="O5" s="150" t="n">
        <v>2014</v>
      </c>
      <c r="P5" s="150" t="n">
        <v>2015</v>
      </c>
      <c r="Q5" s="150" t="n">
        <v>2016</v>
      </c>
      <c r="R5" s="150" t="n">
        <v>2017</v>
      </c>
      <c r="S5" s="150" t="n">
        <v>2018</v>
      </c>
      <c r="T5" s="150" t="n">
        <v>2019</v>
      </c>
      <c r="U5" s="150" t="n">
        <v>2020</v>
      </c>
      <c r="V5" s="4"/>
      <c r="W5" s="4"/>
      <c r="X5" s="4"/>
      <c r="Y5" s="4"/>
    </row>
    <row r="6" customFormat="false" ht="12.75" hidden="false" customHeight="true" outlineLevel="0" collapsed="false">
      <c r="A6" s="237"/>
      <c r="B6" s="288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4"/>
    </row>
    <row r="7" customFormat="false" ht="12.75" hidden="false" customHeight="true" outlineLevel="0" collapsed="false">
      <c r="A7" s="289" t="s">
        <v>177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290"/>
      <c r="W7" s="290"/>
      <c r="X7" s="4"/>
      <c r="Y7" s="4"/>
    </row>
    <row r="8" customFormat="false" ht="13.5" hidden="false" customHeight="true" outlineLevel="0" collapsed="false">
      <c r="A8" s="40" t="s">
        <v>178</v>
      </c>
      <c r="B8" s="291" t="n">
        <f aca="false">SUM(Wheatland!B89,Wilton!B79,Gleason!B85)</f>
        <v>1897.79508092763</v>
      </c>
      <c r="C8" s="291" t="n">
        <f aca="false">SUM(Wheatland!C89,Wilton!C79,Gleason!C85)</f>
        <v>559.756011991451</v>
      </c>
      <c r="D8" s="291" t="n">
        <f aca="false">SUM(Wheatland!D89,Wilton!D79,Gleason!D85)</f>
        <v>1065.6152125351</v>
      </c>
      <c r="E8" s="291" t="n">
        <f aca="false">SUM(Wheatland!E89,Wilton!E79,Gleason!E85)</f>
        <v>1568.81598873408</v>
      </c>
      <c r="F8" s="291" t="n">
        <f aca="false">SUM(Wheatland!F89,Wilton!F79,Gleason!F85)</f>
        <v>2663.20416453787</v>
      </c>
      <c r="G8" s="291" t="n">
        <f aca="false">SUM(Wheatland!G89,Wilton!G79,Gleason!G85)</f>
        <v>3403.42794127021</v>
      </c>
      <c r="H8" s="291" t="n">
        <f aca="false">SUM(Wheatland!H89,Wilton!H79,Gleason!H85)</f>
        <v>3812.07632879992</v>
      </c>
      <c r="I8" s="291" t="n">
        <f aca="false">SUM(Wheatland!I89,Wilton!I79,Gleason!I85)</f>
        <v>4058.94241225894</v>
      </c>
      <c r="J8" s="291" t="n">
        <f aca="false">SUM(Wheatland!J89,Wilton!J79,Gleason!J85)</f>
        <v>4343.41002940975</v>
      </c>
      <c r="K8" s="291" t="n">
        <f aca="false">SUM(Wheatland!K89,Wilton!K79,Gleason!K85)</f>
        <v>4627.31872952373</v>
      </c>
      <c r="L8" s="291" t="n">
        <f aca="false">SUM(Wheatland!L89,Wilton!L79,Gleason!L85)</f>
        <v>4901.77492647849</v>
      </c>
      <c r="M8" s="291" t="n">
        <f aca="false">SUM(Wheatland!M89,Wilton!M79,Gleason!M85)</f>
        <v>5186.44164407415</v>
      </c>
      <c r="N8" s="291" t="n">
        <f aca="false">SUM(Wheatland!N89,Wilton!N79,Gleason!N85)</f>
        <v>5481.82464258019</v>
      </c>
      <c r="O8" s="291" t="n">
        <f aca="false">SUM(Wheatland!O89,Wilton!O79,Gleason!O85)</f>
        <v>5797.5311718731</v>
      </c>
      <c r="P8" s="291" t="n">
        <f aca="false">SUM(Wheatland!P89,Wilton!P79,Gleason!P85)</f>
        <v>6112.09444316347</v>
      </c>
      <c r="Q8" s="291" t="n">
        <f aca="false">SUM(Wheatland!Q89,Wilton!Q79,Gleason!Q85)</f>
        <v>6471.89198857136</v>
      </c>
      <c r="R8" s="291" t="n">
        <f aca="false">SUM(Wheatland!R89,Wilton!R79,Gleason!R85)</f>
        <v>9719.26869066114</v>
      </c>
      <c r="S8" s="291" t="n">
        <f aca="false">SUM(Wheatland!S89,Wilton!S79,Gleason!S85)</f>
        <v>10086.1995556396</v>
      </c>
      <c r="T8" s="291" t="n">
        <f aca="false">SUM(Wheatland!T89,Wilton!T79,Gleason!T85)</f>
        <v>10475.8177683715</v>
      </c>
      <c r="U8" s="291" t="n">
        <f aca="false">SUM(Wheatland!U89,Wilton!U79,Gleason!U85)</f>
        <v>10890.0370806638</v>
      </c>
      <c r="V8" s="292"/>
      <c r="W8" s="155" t="n">
        <f aca="false">SUM(B8:U8)</f>
        <v>103123.243812065</v>
      </c>
      <c r="X8" s="245" t="n">
        <f aca="false">SUM(Gleason!W85,Wheatland!W89,Wilton!W79)</f>
        <v>103123.243812065</v>
      </c>
      <c r="Y8" s="147" t="n">
        <f aca="false">W8-X8</f>
        <v>0</v>
      </c>
    </row>
    <row r="9" customFormat="false" ht="12.75" hidden="false" customHeight="true" outlineLevel="0" collapsed="false">
      <c r="A9" s="40"/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292"/>
      <c r="W9" s="292"/>
      <c r="X9" s="4"/>
      <c r="Y9" s="4"/>
    </row>
    <row r="10" customFormat="false" ht="12.75" hidden="false" customHeight="true" outlineLevel="0" collapsed="false">
      <c r="A10" s="24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293"/>
      <c r="W10" s="293"/>
      <c r="X10" s="4"/>
      <c r="Y10" s="4"/>
    </row>
    <row r="11" customFormat="false" ht="12.75" hidden="false" customHeight="true" outlineLevel="0" collapsed="false">
      <c r="A11" s="289" t="s">
        <v>179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293"/>
      <c r="W11" s="293"/>
      <c r="X11" s="4"/>
      <c r="Y11" s="4"/>
    </row>
    <row r="12" customFormat="false" ht="12.75" hidden="false" customHeight="true" outlineLevel="0" collapsed="false">
      <c r="A12" s="24" t="s">
        <v>180</v>
      </c>
      <c r="B12" s="167" t="n">
        <f aca="false">IS!B35</f>
        <v>41035.6554378037</v>
      </c>
      <c r="C12" s="167" t="n">
        <f aca="false">IS!C35</f>
        <v>46929.1615841242</v>
      </c>
      <c r="D12" s="167" t="n">
        <f aca="false">IS!D35</f>
        <v>53315.5614278346</v>
      </c>
      <c r="E12" s="167" t="n">
        <f aca="false">IS!E35</f>
        <v>60126.6048048622</v>
      </c>
      <c r="F12" s="167" t="n">
        <f aca="false">IS!F35</f>
        <v>67631.7648457542</v>
      </c>
      <c r="G12" s="167" t="n">
        <f aca="false">IS!G35</f>
        <v>70992.7601107328</v>
      </c>
      <c r="H12" s="167" t="n">
        <f aca="false">IS!H35</f>
        <v>74477.3979929098</v>
      </c>
      <c r="I12" s="167" t="n">
        <f aca="false">IS!I35</f>
        <v>78026.9009765236</v>
      </c>
      <c r="J12" s="167" t="n">
        <f aca="false">IS!J35</f>
        <v>81957.2696160002</v>
      </c>
      <c r="K12" s="167" t="n">
        <f aca="false">IS!K35</f>
        <v>86007.9928327566</v>
      </c>
      <c r="L12" s="167" t="n">
        <f aca="false">IS!L35</f>
        <v>89895.0325866942</v>
      </c>
      <c r="M12" s="167" t="n">
        <f aca="false">IS!M35</f>
        <v>94048.5906382459</v>
      </c>
      <c r="N12" s="167" t="n">
        <f aca="false">IS!N35</f>
        <v>98163.9910426337</v>
      </c>
      <c r="O12" s="167" t="n">
        <f aca="false">IS!O35</f>
        <v>102761.000714474</v>
      </c>
      <c r="P12" s="167" t="n">
        <f aca="false">IS!P35</f>
        <v>107138.322532677</v>
      </c>
      <c r="Q12" s="167" t="n">
        <f aca="false">IS!Q35</f>
        <v>112335.632067635</v>
      </c>
      <c r="R12" s="167" t="n">
        <f aca="false">IS!R35</f>
        <v>117304.117538612</v>
      </c>
      <c r="S12" s="167" t="n">
        <f aca="false">IS!S35</f>
        <v>122516.207035481</v>
      </c>
      <c r="T12" s="167" t="n">
        <f aca="false">IS!T35</f>
        <v>128050.607079741</v>
      </c>
      <c r="U12" s="167" t="n">
        <f aca="false">IS!U35</f>
        <v>133934.518261859</v>
      </c>
      <c r="V12" s="293"/>
      <c r="W12" s="155" t="n">
        <f aca="false">SUM(B12:U12)</f>
        <v>1766649.08912736</v>
      </c>
      <c r="X12" s="245" t="n">
        <f aca="false">SUM(Wheatland!W73,Wilton!W65,Gleason!W71)</f>
        <v>1766649.08912736</v>
      </c>
      <c r="Y12" s="147" t="n">
        <f aca="false">W12-X12</f>
        <v>0</v>
      </c>
    </row>
    <row r="13" customFormat="false" ht="12.75" hidden="false" customHeight="true" outlineLevel="0" collapsed="false">
      <c r="A13" s="24" t="s">
        <v>181</v>
      </c>
      <c r="B13" s="167" t="n">
        <f aca="false">IS!B29</f>
        <v>24121.8620095977</v>
      </c>
      <c r="C13" s="167" t="n">
        <f aca="false">IS!C29</f>
        <v>24121.8620095977</v>
      </c>
      <c r="D13" s="167" t="n">
        <f aca="false">IS!D29</f>
        <v>24121.8620095977</v>
      </c>
      <c r="E13" s="167" t="n">
        <f aca="false">IS!E29</f>
        <v>24121.8620095977</v>
      </c>
      <c r="F13" s="167" t="n">
        <f aca="false">IS!F29</f>
        <v>24121.8620095977</v>
      </c>
      <c r="G13" s="167" t="n">
        <f aca="false">IS!G29</f>
        <v>24121.8620095977</v>
      </c>
      <c r="H13" s="167" t="n">
        <f aca="false">IS!H29</f>
        <v>24121.8620095977</v>
      </c>
      <c r="I13" s="167" t="n">
        <f aca="false">IS!I29</f>
        <v>24121.8620095977</v>
      </c>
      <c r="J13" s="167" t="n">
        <f aca="false">IS!J29</f>
        <v>24121.8620095977</v>
      </c>
      <c r="K13" s="167" t="n">
        <f aca="false">IS!K29</f>
        <v>24121.8620095977</v>
      </c>
      <c r="L13" s="167" t="n">
        <f aca="false">IS!L29</f>
        <v>24121.8620095977</v>
      </c>
      <c r="M13" s="167" t="n">
        <f aca="false">IS!M29</f>
        <v>24121.8620095977</v>
      </c>
      <c r="N13" s="167" t="n">
        <f aca="false">IS!N29</f>
        <v>24121.8620095977</v>
      </c>
      <c r="O13" s="167" t="n">
        <f aca="false">IS!O29</f>
        <v>24121.8620095977</v>
      </c>
      <c r="P13" s="167" t="n">
        <f aca="false">IS!P29</f>
        <v>24121.8620095977</v>
      </c>
      <c r="Q13" s="167" t="n">
        <f aca="false">IS!Q29</f>
        <v>24121.8620095977</v>
      </c>
      <c r="R13" s="167" t="n">
        <f aca="false">IS!R29</f>
        <v>24121.8620095977</v>
      </c>
      <c r="S13" s="167" t="n">
        <f aca="false">IS!S29</f>
        <v>24121.8620095977</v>
      </c>
      <c r="T13" s="167" t="n">
        <f aca="false">IS!T29</f>
        <v>24121.8620095977</v>
      </c>
      <c r="U13" s="167" t="n">
        <f aca="false">IS!U29</f>
        <v>24121.8620095977</v>
      </c>
      <c r="V13" s="293"/>
      <c r="W13" s="155" t="n">
        <f aca="false">SUM(B13:U13)</f>
        <v>482437.240191954</v>
      </c>
      <c r="X13" s="245" t="n">
        <f aca="false">SUM(Wheatland!W74,Wilton!W66,Gleason!W72)</f>
        <v>482437.240191954</v>
      </c>
      <c r="Y13" s="147" t="n">
        <f aca="false">W13-X13</f>
        <v>0</v>
      </c>
    </row>
    <row r="14" customFormat="false" ht="12.75" hidden="false" customHeight="true" outlineLevel="0" collapsed="false">
      <c r="A14" s="24" t="s">
        <v>182</v>
      </c>
      <c r="B14" s="167" t="n">
        <f aca="false">-Depreciation!C61</f>
        <v>-40203.1033493295</v>
      </c>
      <c r="C14" s="167" t="n">
        <f aca="false">-Depreciation!D61</f>
        <v>-76385.8963637261</v>
      </c>
      <c r="D14" s="167" t="n">
        <f aca="false">-Depreciation!E61</f>
        <v>-68747.3067273535</v>
      </c>
      <c r="E14" s="167" t="n">
        <f aca="false">-Depreciation!F61</f>
        <v>-61912.7791579675</v>
      </c>
      <c r="F14" s="167" t="n">
        <f aca="false">-Depreciation!G61</f>
        <v>-55721.5012421707</v>
      </c>
      <c r="G14" s="167" t="n">
        <f aca="false">-Depreciation!H61</f>
        <v>-50093.0667732646</v>
      </c>
      <c r="H14" s="167" t="n">
        <f aca="false">-Depreciation!I61</f>
        <v>-47439.6619522088</v>
      </c>
      <c r="I14" s="167" t="n">
        <f aca="false">-Depreciation!J61</f>
        <v>-47520.0681589075</v>
      </c>
      <c r="J14" s="167" t="n">
        <f aca="false">-Depreciation!K61</f>
        <v>-47439.6619522088</v>
      </c>
      <c r="K14" s="167" t="n">
        <f aca="false">-Depreciation!L61</f>
        <v>-47520.0681589075</v>
      </c>
      <c r="L14" s="167" t="n">
        <f aca="false">-Depreciation!M61</f>
        <v>-47439.6619522088</v>
      </c>
      <c r="M14" s="167" t="n">
        <f aca="false">-Depreciation!N61</f>
        <v>-47520.0681589075</v>
      </c>
      <c r="N14" s="167" t="n">
        <f aca="false">-Depreciation!O61</f>
        <v>-47439.6619522088</v>
      </c>
      <c r="O14" s="167" t="n">
        <f aca="false">-Depreciation!P61</f>
        <v>-47520.0681589075</v>
      </c>
      <c r="P14" s="167" t="n">
        <f aca="false">-Depreciation!Q61</f>
        <v>-47439.6619522088</v>
      </c>
      <c r="Q14" s="167" t="n">
        <f aca="false">-Depreciation!R61</f>
        <v>-47439.6619522088</v>
      </c>
      <c r="R14" s="167" t="n">
        <f aca="false">-Depreciation!S61</f>
        <v>-0</v>
      </c>
      <c r="S14" s="167" t="n">
        <f aca="false">-Depreciation!T61</f>
        <v>-0</v>
      </c>
      <c r="T14" s="167" t="n">
        <f aca="false">-Depreciation!U61</f>
        <v>-0</v>
      </c>
      <c r="U14" s="167" t="n">
        <f aca="false">-Depreciation!V61</f>
        <v>-0</v>
      </c>
      <c r="V14" s="293"/>
      <c r="W14" s="155" t="n">
        <f aca="false">SUM(B14:U14)</f>
        <v>-827781.897962695</v>
      </c>
      <c r="X14" s="245" t="n">
        <f aca="false">SUM(Wheatland!W75,Wilton!W67,Gleason!W73)</f>
        <v>-827781.897962695</v>
      </c>
      <c r="Y14" s="147" t="n">
        <f aca="false">W14-X14</f>
        <v>0</v>
      </c>
    </row>
    <row r="15" customFormat="false" ht="15" hidden="false" customHeight="true" outlineLevel="0" collapsed="false">
      <c r="A15" s="24" t="s">
        <v>183</v>
      </c>
      <c r="B15" s="192" t="n">
        <f aca="false">-B8</f>
        <v>-1897.79508092763</v>
      </c>
      <c r="C15" s="192" t="n">
        <f aca="false">-C8</f>
        <v>-559.756011991451</v>
      </c>
      <c r="D15" s="192" t="n">
        <f aca="false">-D8</f>
        <v>-1065.6152125351</v>
      </c>
      <c r="E15" s="192" t="n">
        <f aca="false">-E8</f>
        <v>-1568.81598873408</v>
      </c>
      <c r="F15" s="192" t="n">
        <f aca="false">-F8</f>
        <v>-2663.20416453787</v>
      </c>
      <c r="G15" s="192" t="n">
        <f aca="false">-G8</f>
        <v>-3403.42794127021</v>
      </c>
      <c r="H15" s="192" t="n">
        <f aca="false">-H8</f>
        <v>-3812.07632879992</v>
      </c>
      <c r="I15" s="192" t="n">
        <f aca="false">-I8</f>
        <v>-4058.94241225894</v>
      </c>
      <c r="J15" s="192" t="n">
        <f aca="false">-J8</f>
        <v>-4343.41002940975</v>
      </c>
      <c r="K15" s="192" t="n">
        <f aca="false">-K8</f>
        <v>-4627.31872952373</v>
      </c>
      <c r="L15" s="192" t="n">
        <f aca="false">-L8</f>
        <v>-4901.77492647849</v>
      </c>
      <c r="M15" s="192" t="n">
        <f aca="false">-M8</f>
        <v>-5186.44164407415</v>
      </c>
      <c r="N15" s="192" t="n">
        <f aca="false">-N8</f>
        <v>-5481.82464258019</v>
      </c>
      <c r="O15" s="192" t="n">
        <f aca="false">-O8</f>
        <v>-5797.5311718731</v>
      </c>
      <c r="P15" s="192" t="n">
        <f aca="false">-P8</f>
        <v>-6112.09444316347</v>
      </c>
      <c r="Q15" s="192" t="n">
        <f aca="false">-Q8</f>
        <v>-6471.89198857136</v>
      </c>
      <c r="R15" s="192" t="n">
        <f aca="false">-R8</f>
        <v>-9719.26869066114</v>
      </c>
      <c r="S15" s="192" t="n">
        <f aca="false">-S8</f>
        <v>-10086.1995556396</v>
      </c>
      <c r="T15" s="192" t="n">
        <f aca="false">-T8</f>
        <v>-10475.8177683715</v>
      </c>
      <c r="U15" s="192" t="n">
        <f aca="false">-U8</f>
        <v>-10890.0370806638</v>
      </c>
      <c r="V15" s="294"/>
      <c r="W15" s="155" t="n">
        <f aca="false">SUM(B15:U15)</f>
        <v>-103123.243812065</v>
      </c>
      <c r="X15" s="245" t="n">
        <f aca="false">SUM(Gleason!W85,Wheatland!W89,Wilton!W79)</f>
        <v>103123.243812065</v>
      </c>
      <c r="Y15" s="147" t="n">
        <f aca="false">X15+W15</f>
        <v>0</v>
      </c>
    </row>
    <row r="16" customFormat="false" ht="12.75" hidden="false" customHeight="true" outlineLevel="0" collapsed="false">
      <c r="A16" s="295" t="s">
        <v>184</v>
      </c>
      <c r="B16" s="155" t="n">
        <f aca="false">SUM(B12:B15)</f>
        <v>23056.6190171443</v>
      </c>
      <c r="C16" s="155" t="n">
        <f aca="false">SUM(C12:C15)</f>
        <v>-5894.62878199567</v>
      </c>
      <c r="D16" s="155" t="n">
        <f aca="false">SUM(D12:D15)</f>
        <v>7624.50149754374</v>
      </c>
      <c r="E16" s="155" t="n">
        <f aca="false">SUM(E12:E15)</f>
        <v>20766.8716677584</v>
      </c>
      <c r="F16" s="155" t="n">
        <f aca="false">SUM(F12:F15)</f>
        <v>33368.9214486433</v>
      </c>
      <c r="G16" s="155" t="n">
        <f aca="false">SUM(G12:G15)</f>
        <v>41618.1274057957</v>
      </c>
      <c r="H16" s="155" t="n">
        <f aca="false">SUM(H12:H15)</f>
        <v>47347.5217214988</v>
      </c>
      <c r="I16" s="155" t="n">
        <f aca="false">SUM(I12:I15)</f>
        <v>50569.7524149548</v>
      </c>
      <c r="J16" s="155" t="n">
        <f aca="false">SUM(J12:J15)</f>
        <v>54296.0596439793</v>
      </c>
      <c r="K16" s="155" t="n">
        <f aca="false">SUM(K12:K15)</f>
        <v>57982.4679539231</v>
      </c>
      <c r="L16" s="155" t="n">
        <f aca="false">SUM(L12:L15)</f>
        <v>61675.4577176046</v>
      </c>
      <c r="M16" s="155" t="n">
        <f aca="false">SUM(M12:M15)</f>
        <v>65463.942844862</v>
      </c>
      <c r="N16" s="155" t="n">
        <f aca="false">SUM(N12:N15)</f>
        <v>69364.3664574425</v>
      </c>
      <c r="O16" s="155" t="n">
        <f aca="false">SUM(O12:O15)</f>
        <v>73565.2633932913</v>
      </c>
      <c r="P16" s="155" t="n">
        <f aca="false">SUM(P12:P15)</f>
        <v>77708.4281469025</v>
      </c>
      <c r="Q16" s="155" t="n">
        <f aca="false">SUM(Q12:Q15)</f>
        <v>82545.9401364523</v>
      </c>
      <c r="R16" s="155" t="n">
        <f aca="false">SUM(R12:R15)</f>
        <v>131706.710857549</v>
      </c>
      <c r="S16" s="155" t="n">
        <f aca="false">SUM(S12:S15)</f>
        <v>136551.869489439</v>
      </c>
      <c r="T16" s="155" t="n">
        <f aca="false">SUM(T12:T15)</f>
        <v>141696.651320968</v>
      </c>
      <c r="U16" s="155" t="n">
        <f aca="false">SUM(U12:U15)</f>
        <v>147166.343190793</v>
      </c>
      <c r="V16" s="292"/>
      <c r="W16" s="155"/>
      <c r="X16" s="245"/>
      <c r="Y16" s="147"/>
    </row>
    <row r="17" customFormat="false" ht="12.75" hidden="false" customHeight="true" outlineLevel="0" collapsed="false">
      <c r="A17" s="295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292"/>
      <c r="W17" s="292"/>
      <c r="X17" s="4"/>
      <c r="Y17" s="4"/>
    </row>
    <row r="18" customFormat="false" ht="12.75" hidden="false" customHeight="true" outlineLevel="0" collapsed="false">
      <c r="A18" s="24" t="s">
        <v>185</v>
      </c>
      <c r="B18" s="296" t="n">
        <f aca="false">Assumptions!$G$36</f>
        <v>0.35</v>
      </c>
      <c r="C18" s="296" t="n">
        <f aca="false">Assumptions!$G$36</f>
        <v>0.35</v>
      </c>
      <c r="D18" s="296" t="n">
        <f aca="false">Assumptions!$G$36</f>
        <v>0.35</v>
      </c>
      <c r="E18" s="296" t="n">
        <f aca="false">Assumptions!$G$36</f>
        <v>0.35</v>
      </c>
      <c r="F18" s="296" t="n">
        <f aca="false">Assumptions!$G$36</f>
        <v>0.35</v>
      </c>
      <c r="G18" s="296" t="n">
        <f aca="false">Assumptions!$G$36</f>
        <v>0.35</v>
      </c>
      <c r="H18" s="296" t="n">
        <f aca="false">Assumptions!$G$36</f>
        <v>0.35</v>
      </c>
      <c r="I18" s="296" t="n">
        <f aca="false">Assumptions!$G$36</f>
        <v>0.35</v>
      </c>
      <c r="J18" s="296" t="n">
        <f aca="false">Assumptions!$G$36</f>
        <v>0.35</v>
      </c>
      <c r="K18" s="296" t="n">
        <f aca="false">Assumptions!$G$36</f>
        <v>0.35</v>
      </c>
      <c r="L18" s="296" t="n">
        <f aca="false">Assumptions!$G$36</f>
        <v>0.35</v>
      </c>
      <c r="M18" s="296" t="n">
        <f aca="false">Assumptions!$G$36</f>
        <v>0.35</v>
      </c>
      <c r="N18" s="296" t="n">
        <f aca="false">Assumptions!$G$36</f>
        <v>0.35</v>
      </c>
      <c r="O18" s="296" t="n">
        <f aca="false">Assumptions!$G$36</f>
        <v>0.35</v>
      </c>
      <c r="P18" s="296" t="n">
        <f aca="false">Assumptions!$G$36</f>
        <v>0.35</v>
      </c>
      <c r="Q18" s="296" t="n">
        <f aca="false">Assumptions!$G$36</f>
        <v>0.35</v>
      </c>
      <c r="R18" s="296" t="n">
        <f aca="false">Assumptions!$G$36</f>
        <v>0.35</v>
      </c>
      <c r="S18" s="296" t="n">
        <f aca="false">Assumptions!$G$36</f>
        <v>0.35</v>
      </c>
      <c r="T18" s="296" t="n">
        <f aca="false">Assumptions!$G$36</f>
        <v>0.35</v>
      </c>
      <c r="U18" s="296" t="n">
        <f aca="false">Assumptions!$G$36</f>
        <v>0.35</v>
      </c>
      <c r="V18" s="297"/>
      <c r="W18" s="297"/>
      <c r="X18" s="4"/>
      <c r="Y18" s="4"/>
    </row>
    <row r="19" customFormat="false" ht="12.75" hidden="false" customHeight="true" outlineLevel="0" collapsed="false">
      <c r="A19" s="295" t="s">
        <v>186</v>
      </c>
      <c r="B19" s="155" t="n">
        <f aca="false">B16*B18</f>
        <v>8069.8166560005</v>
      </c>
      <c r="C19" s="155" t="n">
        <f aca="false">C16*C18</f>
        <v>-2063.12007369848</v>
      </c>
      <c r="D19" s="155" t="n">
        <f aca="false">D16*D18</f>
        <v>2668.57552414031</v>
      </c>
      <c r="E19" s="155" t="n">
        <f aca="false">E16*E18</f>
        <v>7268.40508371544</v>
      </c>
      <c r="F19" s="155" t="n">
        <f aca="false">F16*F18</f>
        <v>11679.1225070252</v>
      </c>
      <c r="G19" s="155" t="n">
        <f aca="false">G16*G18</f>
        <v>14566.3445920285</v>
      </c>
      <c r="H19" s="155" t="n">
        <f aca="false">H16*H18</f>
        <v>16571.6326025246</v>
      </c>
      <c r="I19" s="155" t="n">
        <f aca="false">I16*I18</f>
        <v>17699.4133452342</v>
      </c>
      <c r="J19" s="155" t="n">
        <f aca="false">J16*J18</f>
        <v>19003.6208753928</v>
      </c>
      <c r="K19" s="155" t="n">
        <f aca="false">K16*K18</f>
        <v>20293.8637838731</v>
      </c>
      <c r="L19" s="155" t="n">
        <f aca="false">L16*L18</f>
        <v>21586.4102011616</v>
      </c>
      <c r="M19" s="155" t="n">
        <f aca="false">M16*M18</f>
        <v>22912.3799957017</v>
      </c>
      <c r="N19" s="155" t="n">
        <f aca="false">N16*N18</f>
        <v>24277.5282601049</v>
      </c>
      <c r="O19" s="155" t="n">
        <f aca="false">O16*O18</f>
        <v>25747.842187652</v>
      </c>
      <c r="P19" s="155" t="n">
        <f aca="false">P16*P18</f>
        <v>27197.9498514159</v>
      </c>
      <c r="Q19" s="155" t="n">
        <f aca="false">Q16*Q18</f>
        <v>28891.0790477583</v>
      </c>
      <c r="R19" s="155" t="n">
        <f aca="false">R16*R18</f>
        <v>46097.3488001422</v>
      </c>
      <c r="S19" s="155" t="n">
        <f aca="false">S16*S18</f>
        <v>47793.1543213037</v>
      </c>
      <c r="T19" s="155" t="n">
        <f aca="false">T16*T18</f>
        <v>49593.8279623386</v>
      </c>
      <c r="U19" s="155" t="n">
        <f aca="false">U16*U18</f>
        <v>51508.2201167774</v>
      </c>
      <c r="V19" s="293"/>
      <c r="W19" s="293"/>
      <c r="X19" s="4"/>
      <c r="Y19" s="4"/>
    </row>
    <row r="20" customFormat="false" ht="12.75" hidden="false" customHeight="true" outlineLevel="0" collapsed="false">
      <c r="A20" s="12"/>
      <c r="B20" s="167"/>
      <c r="C20" s="167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293"/>
      <c r="W20" s="293"/>
      <c r="X20" s="4"/>
      <c r="Y20" s="4"/>
    </row>
    <row r="21" customFormat="false" ht="12.75" hidden="false" customHeight="true" outlineLevel="0" collapsed="false">
      <c r="A21" s="12" t="s">
        <v>187</v>
      </c>
      <c r="B21" s="167" t="n">
        <f aca="false">IF(B19&lt;0,-B19,0)</f>
        <v>0</v>
      </c>
      <c r="C21" s="167" t="n">
        <f aca="false">IF(C19&lt;0,-C19+B21-B22,B21-B22)</f>
        <v>2063.12007369848</v>
      </c>
      <c r="D21" s="167" t="n">
        <f aca="false">IF(D19&lt;0,-D19+C21-C22,C21-C22)</f>
        <v>2063.12007369848</v>
      </c>
      <c r="E21" s="167" t="n">
        <f aca="false">IF(E19&lt;0,-E19+D21-D22,D21-D22)</f>
        <v>0</v>
      </c>
      <c r="F21" s="167" t="n">
        <f aca="false">IF(F19&lt;0,-F19+E21-E22,E21-E22)</f>
        <v>0</v>
      </c>
      <c r="G21" s="167" t="n">
        <f aca="false">IF(G19&lt;0,-G19+F21-F22,F21-F22)</f>
        <v>0</v>
      </c>
      <c r="H21" s="167" t="n">
        <f aca="false">IF(H19&lt;0,-H19+G21-G22,G21-G22)</f>
        <v>0</v>
      </c>
      <c r="I21" s="167" t="n">
        <f aca="false">IF(I19&lt;0,-I19+H21-H22,H21-H22)</f>
        <v>0</v>
      </c>
      <c r="J21" s="167" t="n">
        <f aca="false">IF(J19&lt;0,-J19+I21-I22,I21-I22)</f>
        <v>0</v>
      </c>
      <c r="K21" s="167" t="n">
        <f aca="false">IF(K19&lt;0,-K19+J21-J22,J21-J22)</f>
        <v>0</v>
      </c>
      <c r="L21" s="167" t="n">
        <f aca="false">IF(L19&lt;0,-L19+K21-K22,K21-K22)</f>
        <v>0</v>
      </c>
      <c r="M21" s="167" t="n">
        <f aca="false">IF(M19&lt;0,-M19+L21-L22,L21-L22)</f>
        <v>0</v>
      </c>
      <c r="N21" s="167" t="n">
        <f aca="false">IF(N19&lt;0,-N19+M21-M22,M21-M22)</f>
        <v>0</v>
      </c>
      <c r="O21" s="167" t="n">
        <f aca="false">IF(O19&lt;0,-O19+N21-N22,N21-N22)</f>
        <v>0</v>
      </c>
      <c r="P21" s="167" t="n">
        <f aca="false">IF(P19&lt;0,-P19+O21-O22,O21-O22)</f>
        <v>0</v>
      </c>
      <c r="Q21" s="167" t="n">
        <f aca="false">IF(Q19&lt;0,-Q19+P21-P22,P21-P22)</f>
        <v>0</v>
      </c>
      <c r="R21" s="167" t="n">
        <f aca="false">IF(R19&lt;0,-R19+Q21-Q22,Q21-Q22)</f>
        <v>0</v>
      </c>
      <c r="S21" s="167" t="n">
        <f aca="false">IF(S19&lt;0,-S19+R21-R22,R21-R22)</f>
        <v>0</v>
      </c>
      <c r="T21" s="167" t="n">
        <f aca="false">IF(T19&lt;0,-T19+S21-S22,S21-S22)</f>
        <v>0</v>
      </c>
      <c r="U21" s="167" t="n">
        <f aca="false">IF(U19&lt;0,-U19+T21-T22,T21-T22)</f>
        <v>0</v>
      </c>
      <c r="V21" s="293"/>
      <c r="W21" s="293"/>
      <c r="X21" s="4"/>
      <c r="Y21" s="4"/>
    </row>
    <row r="22" customFormat="false" ht="12.75" hidden="false" customHeight="true" outlineLevel="0" collapsed="false">
      <c r="A22" s="12" t="s">
        <v>188</v>
      </c>
      <c r="B22" s="167" t="n">
        <f aca="false">IF(B19&lt;0,0,IF(B21&gt;B19,B19,B21))</f>
        <v>0</v>
      </c>
      <c r="C22" s="167" t="n">
        <f aca="false">IF(C19&lt;0,0,IF(C21&gt;C19,C19,C21))</f>
        <v>0</v>
      </c>
      <c r="D22" s="167" t="n">
        <f aca="false">IF(D19&lt;0,0,IF(D21&gt;D19,D19,D21))</f>
        <v>2063.12007369848</v>
      </c>
      <c r="E22" s="167" t="n">
        <f aca="false">IF(E19&lt;0,0,IF(E21&gt;E19,E19,E21))</f>
        <v>0</v>
      </c>
      <c r="F22" s="167" t="n">
        <f aca="false">IF(F19&lt;0,0,IF(F21&gt;F19,F19,F21))</f>
        <v>0</v>
      </c>
      <c r="G22" s="167" t="n">
        <f aca="false">IF(G19&lt;0,0,IF(G21&gt;G19,G19,G21))</f>
        <v>0</v>
      </c>
      <c r="H22" s="167" t="n">
        <f aca="false">IF(H19&lt;0,0,IF(H21&gt;H19,H19,H21))</f>
        <v>0</v>
      </c>
      <c r="I22" s="167" t="n">
        <f aca="false">IF(I19&lt;0,0,IF(I21&gt;I19,I19,I21))</f>
        <v>0</v>
      </c>
      <c r="J22" s="167" t="n">
        <f aca="false">IF(J19&lt;0,0,IF(J21&gt;J19,J19,J21))</f>
        <v>0</v>
      </c>
      <c r="K22" s="167" t="n">
        <f aca="false">IF(K19&lt;0,0,IF(K21&gt;K19,K19,K21))</f>
        <v>0</v>
      </c>
      <c r="L22" s="167" t="n">
        <f aca="false">IF(L19&lt;0,0,IF(L21&gt;L19,L19,L21))</f>
        <v>0</v>
      </c>
      <c r="M22" s="167" t="n">
        <f aca="false">IF(M19&lt;0,0,IF(M21&gt;M19,M19,M21))</f>
        <v>0</v>
      </c>
      <c r="N22" s="167" t="n">
        <f aca="false">IF(N19&lt;0,0,IF(N21&gt;N19,N19,N21))</f>
        <v>0</v>
      </c>
      <c r="O22" s="167" t="n">
        <f aca="false">IF(O19&lt;0,0,IF(O21&gt;O19,O19,O21))</f>
        <v>0</v>
      </c>
      <c r="P22" s="167" t="n">
        <f aca="false">IF(P19&lt;0,0,IF(P21&gt;P19,P19,P21))</f>
        <v>0</v>
      </c>
      <c r="Q22" s="167" t="n">
        <f aca="false">IF(Q19&lt;0,0,IF(Q21&gt;Q19,Q19,Q21))</f>
        <v>0</v>
      </c>
      <c r="R22" s="167" t="n">
        <f aca="false">IF(R19&lt;0,0,IF(R21&gt;R19,R19,R21))</f>
        <v>0</v>
      </c>
      <c r="S22" s="167" t="n">
        <f aca="false">IF(S19&lt;0,0,IF(S21&gt;S19,S19,S21))</f>
        <v>0</v>
      </c>
      <c r="T22" s="167" t="n">
        <f aca="false">IF(T19&lt;0,0,IF(T21&gt;T19,T19,T21))</f>
        <v>0</v>
      </c>
      <c r="U22" s="167" t="n">
        <f aca="false">IF(U19&lt;0,0,IF(U21&gt;U19,U19,U21))</f>
        <v>0</v>
      </c>
      <c r="V22" s="298"/>
      <c r="W22" s="298"/>
      <c r="X22" s="4"/>
      <c r="Y22" s="4"/>
    </row>
    <row r="23" customFormat="false" ht="12.75" hidden="false" customHeight="true" outlineLevel="0" collapsed="false">
      <c r="A23" s="12"/>
      <c r="B23" s="167"/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293"/>
      <c r="W23" s="293"/>
      <c r="X23" s="4"/>
      <c r="Y23" s="4"/>
    </row>
    <row r="24" customFormat="false" ht="13.5" hidden="false" customHeight="true" outlineLevel="0" collapsed="false">
      <c r="A24" s="40" t="s">
        <v>189</v>
      </c>
      <c r="B24" s="299" t="n">
        <f aca="false">IF(B19&lt;0,0,(B19-B22))</f>
        <v>8069.8166560005</v>
      </c>
      <c r="C24" s="299" t="n">
        <f aca="false">IF(C19&lt;0,0,(C19-C22))</f>
        <v>0</v>
      </c>
      <c r="D24" s="299" t="n">
        <f aca="false">IF(D19&lt;0,0,(D19-D22))</f>
        <v>605.455450441827</v>
      </c>
      <c r="E24" s="299" t="n">
        <f aca="false">IF(E19&lt;0,0,(E19-E22))</f>
        <v>7268.40508371544</v>
      </c>
      <c r="F24" s="299" t="n">
        <f aca="false">IF(F19&lt;0,0,(F19-F22))</f>
        <v>11679.1225070252</v>
      </c>
      <c r="G24" s="299" t="n">
        <f aca="false">IF(G19&lt;0,0,(G19-G22))</f>
        <v>14566.3445920285</v>
      </c>
      <c r="H24" s="299" t="n">
        <f aca="false">IF(H19&lt;0,0,(H19-H22))</f>
        <v>16571.6326025246</v>
      </c>
      <c r="I24" s="299" t="n">
        <f aca="false">IF(I19&lt;0,0,(I19-I22))</f>
        <v>17699.4133452342</v>
      </c>
      <c r="J24" s="299" t="n">
        <f aca="false">IF(J19&lt;0,0,(J19-J22))</f>
        <v>19003.6208753928</v>
      </c>
      <c r="K24" s="299" t="n">
        <f aca="false">IF(K19&lt;0,0,(K19-K22))</f>
        <v>20293.8637838731</v>
      </c>
      <c r="L24" s="299" t="n">
        <f aca="false">IF(L19&lt;0,0,(L19-L22))</f>
        <v>21586.4102011616</v>
      </c>
      <c r="M24" s="299" t="n">
        <f aca="false">IF(M19&lt;0,0,(M19-M22))</f>
        <v>22912.3799957017</v>
      </c>
      <c r="N24" s="299" t="n">
        <f aca="false">IF(N19&lt;0,0,(N19-N22))</f>
        <v>24277.5282601049</v>
      </c>
      <c r="O24" s="299" t="n">
        <f aca="false">IF(O19&lt;0,0,(O19-O22))</f>
        <v>25747.842187652</v>
      </c>
      <c r="P24" s="299" t="n">
        <f aca="false">IF(P19&lt;0,0,(P19-P22))</f>
        <v>27197.9498514159</v>
      </c>
      <c r="Q24" s="299" t="n">
        <f aca="false">IF(Q19&lt;0,0,(Q19-Q22))</f>
        <v>28891.0790477583</v>
      </c>
      <c r="R24" s="299" t="n">
        <f aca="false">IF(R19&lt;0,0,(R19-R22))</f>
        <v>46097.3488001422</v>
      </c>
      <c r="S24" s="299" t="n">
        <f aca="false">IF(S19&lt;0,0,(S19-S22))</f>
        <v>47793.1543213037</v>
      </c>
      <c r="T24" s="299" t="n">
        <f aca="false">IF(T19&lt;0,0,(T19-T22))</f>
        <v>49593.8279623386</v>
      </c>
      <c r="U24" s="299" t="n">
        <f aca="false">IF(U19&lt;0,0,(U19-U22))</f>
        <v>51508.2201167774</v>
      </c>
      <c r="V24" s="292"/>
      <c r="W24" s="155" t="n">
        <f aca="false">SUM(B24:U24)</f>
        <v>461363.415640592</v>
      </c>
      <c r="X24" s="245" t="n">
        <f aca="false">SUM(Gleason!W49,Wheatland!W49,Wilton!W49)</f>
        <v>-461363.415640592</v>
      </c>
      <c r="Y24" s="147" t="n">
        <f aca="false">X24+W24</f>
        <v>0</v>
      </c>
    </row>
    <row r="25" customFormat="false" ht="13.5" hidden="false" customHeight="tru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4"/>
      <c r="W25" s="4"/>
      <c r="X25" s="4"/>
      <c r="Y25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&amp;L&amp;12Enron's Generation&amp;RCONFIDENTIAL</oddHeader>
    <oddFooter>&amp;L&amp;D&amp;C&amp;F&amp;RPage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5"/>
  <sheetViews>
    <sheetView showFormulas="false" showGridLines="true" showRowColHeaders="true" showZeros="true" rightToLeft="false" tabSelected="false" showOutlineSymbols="true" defaultGridColor="true" view="normal" topLeftCell="A62" colorId="64" zoomScale="100" zoomScaleNormal="100" zoomScalePageLayoutView="100" workbookViewId="0">
      <selection pane="topLeft" activeCell="A68" activeCellId="0" sqref="A6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8.41"/>
    <col collapsed="false" customWidth="true" hidden="false" outlineLevel="0" max="21" min="2" style="0" width="10.71"/>
    <col collapsed="false" customWidth="true" hidden="false" outlineLevel="0" max="23" min="23" style="0" width="12.28"/>
  </cols>
  <sheetData>
    <row r="1" customFormat="false" ht="12.75" hidden="false" customHeight="true" outlineLevel="0" collapsed="false">
      <c r="A1" s="4"/>
      <c r="B1" s="4"/>
      <c r="C1" s="4"/>
      <c r="D1" s="4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</row>
    <row r="2" customFormat="false" ht="18" hidden="false" customHeight="true" outlineLevel="0" collapsed="false">
      <c r="A2" s="144" t="s">
        <v>190</v>
      </c>
      <c r="B2" s="300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</row>
    <row r="3" customFormat="false" ht="12.75" hidden="false" customHeight="tru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</row>
    <row r="4" customFormat="false" ht="12.75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</row>
    <row r="5" customFormat="false" ht="13.5" hidden="false" customHeight="true" outlineLevel="0" collapsed="false">
      <c r="A5" s="149" t="s">
        <v>100</v>
      </c>
      <c r="B5" s="150" t="n">
        <v>2001</v>
      </c>
      <c r="C5" s="150" t="n">
        <v>2002</v>
      </c>
      <c r="D5" s="150" t="n">
        <v>2003</v>
      </c>
      <c r="E5" s="150" t="n">
        <v>2004</v>
      </c>
      <c r="F5" s="150" t="n">
        <v>2005</v>
      </c>
      <c r="G5" s="150" t="n">
        <v>2006</v>
      </c>
      <c r="H5" s="150" t="n">
        <v>2007</v>
      </c>
      <c r="I5" s="150" t="n">
        <v>2008</v>
      </c>
      <c r="J5" s="150" t="n">
        <v>2009</v>
      </c>
      <c r="K5" s="150" t="n">
        <v>2010</v>
      </c>
      <c r="L5" s="150" t="n">
        <v>2011</v>
      </c>
      <c r="M5" s="150" t="n">
        <v>2012</v>
      </c>
      <c r="N5" s="150" t="n">
        <v>2013</v>
      </c>
      <c r="O5" s="150" t="n">
        <v>2014</v>
      </c>
      <c r="P5" s="150" t="n">
        <v>2015</v>
      </c>
      <c r="Q5" s="150" t="n">
        <v>2016</v>
      </c>
      <c r="R5" s="150" t="n">
        <v>2017</v>
      </c>
      <c r="S5" s="150" t="n">
        <v>2018</v>
      </c>
      <c r="T5" s="150" t="n">
        <v>2019</v>
      </c>
      <c r="U5" s="150" t="n">
        <v>2020</v>
      </c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</row>
    <row r="6" customFormat="false" ht="12.75" hidden="false" customHeight="true" outlineLevel="0" collapsed="false">
      <c r="A6" s="154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92"/>
      <c r="W6" s="92"/>
      <c r="X6" s="92"/>
      <c r="Y6" s="152" t="n">
        <f aca="false">SUM(Z6:AS6)-SUM(Z7:AS7)</f>
        <v>0</v>
      </c>
      <c r="Z6" s="153" t="n">
        <f aca="false">B9</f>
        <v>1055.22205256874</v>
      </c>
      <c r="AA6" s="153" t="n">
        <f aca="false">C9</f>
        <v>1086.8787141458</v>
      </c>
      <c r="AB6" s="153" t="n">
        <f aca="false">D9</f>
        <v>1119.48507557017</v>
      </c>
      <c r="AC6" s="153" t="n">
        <f aca="false">E9</f>
        <v>1153.06962783728</v>
      </c>
      <c r="AD6" s="153" t="n">
        <f aca="false">F9</f>
        <v>1187.6617166724</v>
      </c>
      <c r="AE6" s="153" t="n">
        <f aca="false">G9</f>
        <v>1223.29156817257</v>
      </c>
      <c r="AF6" s="153" t="n">
        <f aca="false">H9</f>
        <v>1259.99031521774</v>
      </c>
      <c r="AG6" s="153" t="n">
        <f aca="false">I9</f>
        <v>1297.79002467428</v>
      </c>
      <c r="AH6" s="153" t="n">
        <f aca="false">J9</f>
        <v>1336.72372541451</v>
      </c>
      <c r="AI6" s="153" t="n">
        <f aca="false">K9</f>
        <v>1376.82543717694</v>
      </c>
      <c r="AJ6" s="153" t="n">
        <f aca="false">L9</f>
        <v>1418.13020029225</v>
      </c>
      <c r="AK6" s="153" t="n">
        <f aca="false">M9</f>
        <v>1460.67410630102</v>
      </c>
      <c r="AL6" s="153" t="n">
        <f aca="false">N9</f>
        <v>1504.49432949005</v>
      </c>
      <c r="AM6" s="153" t="n">
        <f aca="false">O9</f>
        <v>1549.62915937475</v>
      </c>
      <c r="AN6" s="153" t="n">
        <f aca="false">P9</f>
        <v>1596.11803415599</v>
      </c>
      <c r="AO6" s="153" t="n">
        <f aca="false">Q9</f>
        <v>1644.00157518067</v>
      </c>
      <c r="AP6" s="153" t="n">
        <f aca="false">R9</f>
        <v>1693.32162243609</v>
      </c>
      <c r="AQ6" s="153" t="n">
        <f aca="false">S9</f>
        <v>1744.12127110917</v>
      </c>
      <c r="AR6" s="153" t="n">
        <f aca="false">T9</f>
        <v>1796.44490924245</v>
      </c>
      <c r="AS6" s="153" t="n">
        <f aca="false">U9</f>
        <v>1850.33825651972</v>
      </c>
    </row>
    <row r="7" customFormat="false" ht="12.75" hidden="false" customHeight="true" outlineLevel="0" collapsed="false">
      <c r="A7" s="158" t="s">
        <v>101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301"/>
      <c r="W7" s="301"/>
      <c r="X7" s="301"/>
      <c r="Y7" s="302" t="n">
        <v>0</v>
      </c>
      <c r="Z7" s="303" t="n">
        <f aca="false">B15+1/3*B16</f>
        <v>1055.22205256874</v>
      </c>
      <c r="AA7" s="303" t="n">
        <f aca="false">C15+1/3*C16</f>
        <v>1086.8787141458</v>
      </c>
      <c r="AB7" s="303" t="n">
        <f aca="false">D15+1/3*D16</f>
        <v>1119.48507557017</v>
      </c>
      <c r="AC7" s="303" t="n">
        <f aca="false">E15+1/3*E16</f>
        <v>1153.06962783728</v>
      </c>
      <c r="AD7" s="303" t="n">
        <f aca="false">F15+1/3*F16</f>
        <v>1187.6617166724</v>
      </c>
      <c r="AE7" s="303" t="n">
        <f aca="false">G15+1/3*G16</f>
        <v>1223.29156817257</v>
      </c>
      <c r="AF7" s="303" t="n">
        <f aca="false">H15+1/3*H16</f>
        <v>1259.99031521774</v>
      </c>
      <c r="AG7" s="303" t="n">
        <f aca="false">I15+1/3*I16</f>
        <v>1297.79002467428</v>
      </c>
      <c r="AH7" s="303" t="n">
        <f aca="false">J15+1/3*J16</f>
        <v>1336.72372541451</v>
      </c>
      <c r="AI7" s="303" t="n">
        <f aca="false">K15+1/3*K16</f>
        <v>1376.82543717694</v>
      </c>
      <c r="AJ7" s="303" t="n">
        <f aca="false">L15+1/3*L16</f>
        <v>1418.13020029225</v>
      </c>
      <c r="AK7" s="303" t="n">
        <f aca="false">M15+1/3*M16</f>
        <v>1460.67410630102</v>
      </c>
      <c r="AL7" s="303" t="n">
        <f aca="false">N15+1/3*N16</f>
        <v>1504.49432949005</v>
      </c>
      <c r="AM7" s="303" t="n">
        <f aca="false">O15+1/3*O16</f>
        <v>1549.62915937475</v>
      </c>
      <c r="AN7" s="303" t="n">
        <f aca="false">P15+1/3*P16</f>
        <v>1596.11803415599</v>
      </c>
      <c r="AO7" s="303" t="n">
        <f aca="false">Q15+1/3*Q16</f>
        <v>1644.00157518067</v>
      </c>
      <c r="AP7" s="303" t="n">
        <f aca="false">R15+1/3*R16</f>
        <v>1693.32162243609</v>
      </c>
      <c r="AQ7" s="303" t="n">
        <f aca="false">S15+1/3*S16</f>
        <v>1744.12127110917</v>
      </c>
      <c r="AR7" s="303" t="n">
        <f aca="false">T15+1/3*T16</f>
        <v>1796.44490924245</v>
      </c>
      <c r="AS7" s="303" t="n">
        <f aca="false">U15+1/3*U16</f>
        <v>1850.33825651972</v>
      </c>
    </row>
    <row r="8" customFormat="false" ht="12.75" hidden="false" customHeight="true" outlineLevel="0" collapsed="false">
      <c r="A8" s="164" t="s">
        <v>103</v>
      </c>
      <c r="B8" s="167" t="n">
        <f aca="false">'Power Curves'!C20*Assumptions!$C$9*12</f>
        <v>35311.8211036288</v>
      </c>
      <c r="C8" s="167" t="n">
        <f aca="false">'Power Curves'!D20*Assumptions!$C$9*12</f>
        <v>37062.8064389066</v>
      </c>
      <c r="D8" s="167" t="n">
        <f aca="false">'Power Curves'!E20*Assumptions!$C$9*12</f>
        <v>38900.6167961894</v>
      </c>
      <c r="E8" s="167" t="n">
        <f aca="false">'Power Curves'!F20*Assumptions!$C$9*12</f>
        <v>40829.5575139025</v>
      </c>
      <c r="F8" s="167" t="n">
        <f aca="false">'Power Curves'!G20*Assumptions!$C$9*12</f>
        <v>42854.147416613</v>
      </c>
      <c r="G8" s="167" t="n">
        <f aca="false">'Power Curves'!H20*Assumptions!$C$9*12</f>
        <v>43403.696415574</v>
      </c>
      <c r="H8" s="167" t="n">
        <f aca="false">'Power Curves'!I20*Assumptions!$C$9*12</f>
        <v>43960.2926694792</v>
      </c>
      <c r="I8" s="167" t="n">
        <f aca="false">'Power Curves'!J20*Assumptions!$C$9*12</f>
        <v>44524.026550256</v>
      </c>
      <c r="J8" s="167" t="n">
        <f aca="false">'Power Curves'!K20*Assumptions!$C$9*12</f>
        <v>45094.9895887348</v>
      </c>
      <c r="K8" s="167" t="n">
        <f aca="false">'Power Curves'!L20*Assumptions!$C$9*12</f>
        <v>45673.2744895106</v>
      </c>
      <c r="L8" s="167" t="n">
        <f aca="false">'Power Curves'!M20*Assumptions!$C$9*12</f>
        <v>46537.5112775122</v>
      </c>
      <c r="M8" s="167" t="n">
        <f aca="false">'Power Curves'!N20*Assumptions!$C$9*12</f>
        <v>47418.1012881388</v>
      </c>
      <c r="N8" s="167" t="n">
        <f aca="false">'Power Curves'!O20*Assumptions!$C$9*12</f>
        <v>48315.3539596066</v>
      </c>
      <c r="O8" s="167" t="n">
        <f aca="false">'Power Curves'!P20*Assumptions!$C$9*12</f>
        <v>49229.5845853701</v>
      </c>
      <c r="P8" s="167" t="n">
        <f aca="false">'Power Curves'!Q20*Assumptions!$C$9*12</f>
        <v>50161.1144249152</v>
      </c>
      <c r="Q8" s="167" t="n">
        <f aca="false">'Power Curves'!R20*Assumptions!$C$9*12</f>
        <v>50876.7838986423</v>
      </c>
      <c r="R8" s="167" t="n">
        <f aca="false">'Power Curves'!S20*Assumptions!$C$9*12</f>
        <v>51602.664126287</v>
      </c>
      <c r="S8" s="167" t="n">
        <f aca="false">'Power Curves'!T20*Assumptions!$C$9*12</f>
        <v>52338.9007889205</v>
      </c>
      <c r="T8" s="167" t="n">
        <f aca="false">'Power Curves'!U20*Assumptions!$C$9*12</f>
        <v>53085.6416461064</v>
      </c>
      <c r="U8" s="167" t="n">
        <f aca="false">'Power Curves'!V20*Assumptions!$C$9*12</f>
        <v>53843.0365655555</v>
      </c>
      <c r="V8" s="304"/>
      <c r="W8" s="159" t="n">
        <f aca="false">SUM(B8:U8)</f>
        <v>921023.921543849</v>
      </c>
      <c r="X8" s="2"/>
      <c r="Y8" s="152"/>
      <c r="Z8" s="305" t="n">
        <f aca="false">Z6-Z7</f>
        <v>0</v>
      </c>
      <c r="AA8" s="305" t="n">
        <f aca="false">AA6-AA7</f>
        <v>0</v>
      </c>
      <c r="AB8" s="305" t="n">
        <f aca="false">AB6-AB7</f>
        <v>0</v>
      </c>
      <c r="AC8" s="305" t="n">
        <f aca="false">AC6-AC7</f>
        <v>0</v>
      </c>
      <c r="AD8" s="305" t="n">
        <f aca="false">AD6-AD7</f>
        <v>0</v>
      </c>
      <c r="AE8" s="305" t="n">
        <f aca="false">AE6-AE7</f>
        <v>0</v>
      </c>
      <c r="AF8" s="305" t="n">
        <f aca="false">AF6-AF7</f>
        <v>0</v>
      </c>
      <c r="AG8" s="305" t="n">
        <f aca="false">AG6-AG7</f>
        <v>0</v>
      </c>
      <c r="AH8" s="305" t="n">
        <f aca="false">AH6-AH7</f>
        <v>0</v>
      </c>
      <c r="AI8" s="305" t="n">
        <f aca="false">AI6-AI7</f>
        <v>0</v>
      </c>
      <c r="AJ8" s="305" t="n">
        <f aca="false">AJ6-AJ7</f>
        <v>0</v>
      </c>
      <c r="AK8" s="305" t="n">
        <f aca="false">AK6-AK7</f>
        <v>0</v>
      </c>
      <c r="AL8" s="305" t="n">
        <f aca="false">AL6-AL7</f>
        <v>0</v>
      </c>
      <c r="AM8" s="305" t="n">
        <f aca="false">AM6-AM7</f>
        <v>0</v>
      </c>
      <c r="AN8" s="305" t="n">
        <f aca="false">AN6-AN7</f>
        <v>0</v>
      </c>
      <c r="AO8" s="305" t="n">
        <f aca="false">AO6-AO7</f>
        <v>0</v>
      </c>
      <c r="AP8" s="305" t="n">
        <f aca="false">AP6-AP7</f>
        <v>0</v>
      </c>
      <c r="AQ8" s="305" t="n">
        <f aca="false">AQ6-AQ7</f>
        <v>0</v>
      </c>
      <c r="AR8" s="305" t="n">
        <f aca="false">AR6-AR7</f>
        <v>0</v>
      </c>
      <c r="AS8" s="305" t="n">
        <f aca="false">AS6-AS7</f>
        <v>0</v>
      </c>
    </row>
    <row r="9" customFormat="false" ht="12.75" hidden="false" customHeight="true" outlineLevel="0" collapsed="false">
      <c r="A9" s="164" t="s">
        <v>104</v>
      </c>
      <c r="B9" s="148" t="n">
        <f aca="false">1/3*Assumptions!$C$17*Assumptions!$C$11*Assumptions!$C$8/1000*(1+Assumptions!$C$24)^(B5-2000)+Assumptions!$C$18*Assumptions!$C$16*(1+Assumptions!$C$24)^(B5-2000)/1000</f>
        <v>1055.22205256874</v>
      </c>
      <c r="C9" s="148" t="n">
        <f aca="false">1/3*Assumptions!$C$17*Assumptions!$C$11*Assumptions!$C$8/1000*(1+Assumptions!$C$24)^(C5-2000)+Assumptions!$C$18*Assumptions!$C$16*(1+Assumptions!$C$24)^(C5-2000)/1000</f>
        <v>1086.8787141458</v>
      </c>
      <c r="D9" s="148" t="n">
        <f aca="false">1/3*Assumptions!$C$17*Assumptions!$C$11*Assumptions!$C$8/1000*(1+Assumptions!$C$24)^(D5-2000)+Assumptions!$C$18*Assumptions!$C$16*(1+Assumptions!$C$24)^(D5-2000)/1000</f>
        <v>1119.48507557017</v>
      </c>
      <c r="E9" s="148" t="n">
        <f aca="false">1/3*Assumptions!$C$17*Assumptions!$C$11*Assumptions!$C$8/1000*(1+Assumptions!$C$24)^(E5-2000)+Assumptions!$C$18*Assumptions!$C$16*(1+Assumptions!$C$24)^(E5-2000)/1000</f>
        <v>1153.06962783728</v>
      </c>
      <c r="F9" s="148" t="n">
        <f aca="false">1/3*Assumptions!$C$17*Assumptions!$C$11*Assumptions!$C$8/1000*(1+Assumptions!$C$24)^(F5-2000)+Assumptions!$C$18*Assumptions!$C$16*(1+Assumptions!$C$24)^(F5-2000)/1000</f>
        <v>1187.6617166724</v>
      </c>
      <c r="G9" s="148" t="n">
        <f aca="false">1/3*Assumptions!$C$17*Assumptions!$C$11*Assumptions!$C$8/1000*(1+Assumptions!$C$24)^(G5-2000)+Assumptions!$C$18*Assumptions!$C$16*(1+Assumptions!$C$24)^(G5-2000)/1000</f>
        <v>1223.29156817257</v>
      </c>
      <c r="H9" s="148" t="n">
        <f aca="false">1/3*Assumptions!$C$17*Assumptions!$C$11*Assumptions!$C$8/1000*(1+Assumptions!$C$24)^(H5-2000)+Assumptions!$C$18*Assumptions!$C$16*(1+Assumptions!$C$24)^(H5-2000)/1000</f>
        <v>1259.99031521774</v>
      </c>
      <c r="I9" s="148" t="n">
        <f aca="false">1/3*Assumptions!$C$17*Assumptions!$C$11*Assumptions!$C$8/1000*(1+Assumptions!$C$24)^(I5-2000)+Assumptions!$C$18*Assumptions!$C$16*(1+Assumptions!$C$24)^(I5-2000)/1000</f>
        <v>1297.79002467428</v>
      </c>
      <c r="J9" s="148" t="n">
        <f aca="false">1/3*Assumptions!$C$17*Assumptions!$C$11*Assumptions!$C$8/1000*(1+Assumptions!$C$24)^(J5-2000)+Assumptions!$C$18*Assumptions!$C$16*(1+Assumptions!$C$24)^(J5-2000)/1000</f>
        <v>1336.72372541451</v>
      </c>
      <c r="K9" s="148" t="n">
        <f aca="false">1/3*Assumptions!$C$17*Assumptions!$C$11*Assumptions!$C$8/1000*(1+Assumptions!$C$24)^(K5-2000)+Assumptions!$C$18*Assumptions!$C$16*(1+Assumptions!$C$24)^(K5-2000)/1000</f>
        <v>1376.82543717694</v>
      </c>
      <c r="L9" s="148" t="n">
        <f aca="false">1/3*Assumptions!$C$17*Assumptions!$C$11*Assumptions!$C$8/1000*(1+Assumptions!$C$24)^(L5-2000)+Assumptions!$C$18*Assumptions!$C$16*(1+Assumptions!$C$24)^(L5-2000)/1000</f>
        <v>1418.13020029225</v>
      </c>
      <c r="M9" s="148" t="n">
        <f aca="false">1/3*Assumptions!$C$17*Assumptions!$C$11*Assumptions!$C$8/1000*(1+Assumptions!$C$24)^(M5-2000)+Assumptions!$C$18*Assumptions!$C$16*(1+Assumptions!$C$24)^(M5-2000)/1000</f>
        <v>1460.67410630102</v>
      </c>
      <c r="N9" s="148" t="n">
        <f aca="false">1/3*Assumptions!$C$17*Assumptions!$C$11*Assumptions!$C$8/1000*(1+Assumptions!$C$24)^(N5-2000)+Assumptions!$C$18*Assumptions!$C$16*(1+Assumptions!$C$24)^(N5-2000)/1000</f>
        <v>1504.49432949005</v>
      </c>
      <c r="O9" s="148" t="n">
        <f aca="false">1/3*Assumptions!$C$17*Assumptions!$C$11*Assumptions!$C$8/1000*(1+Assumptions!$C$24)^(O5-2000)+Assumptions!$C$18*Assumptions!$C$16*(1+Assumptions!$C$24)^(O5-2000)/1000</f>
        <v>1549.62915937475</v>
      </c>
      <c r="P9" s="148" t="n">
        <f aca="false">1/3*Assumptions!$C$17*Assumptions!$C$11*Assumptions!$C$8/1000*(1+Assumptions!$C$24)^(P5-2000)+Assumptions!$C$18*Assumptions!$C$16*(1+Assumptions!$C$24)^(P5-2000)/1000</f>
        <v>1596.11803415599</v>
      </c>
      <c r="Q9" s="148" t="n">
        <f aca="false">1/3*Assumptions!$C$17*Assumptions!$C$11*Assumptions!$C$8/1000*(1+Assumptions!$C$24)^(Q5-2000)+Assumptions!$C$18*Assumptions!$C$16*(1+Assumptions!$C$24)^(Q5-2000)/1000</f>
        <v>1644.00157518067</v>
      </c>
      <c r="R9" s="148" t="n">
        <f aca="false">1/3*Assumptions!$C$17*Assumptions!$C$11*Assumptions!$C$8/1000*(1+Assumptions!$C$24)^(R5-2000)+Assumptions!$C$18*Assumptions!$C$16*(1+Assumptions!$C$24)^(R5-2000)/1000</f>
        <v>1693.32162243609</v>
      </c>
      <c r="S9" s="148" t="n">
        <f aca="false">1/3*Assumptions!$C$17*Assumptions!$C$11*Assumptions!$C$8/1000*(1+Assumptions!$C$24)^(S5-2000)+Assumptions!$C$18*Assumptions!$C$16*(1+Assumptions!$C$24)^(S5-2000)/1000</f>
        <v>1744.12127110917</v>
      </c>
      <c r="T9" s="148" t="n">
        <f aca="false">1/3*Assumptions!$C$17*Assumptions!$C$11*Assumptions!$C$8/1000*(1+Assumptions!$C$24)^(T5-2000)+Assumptions!$C$18*Assumptions!$C$16*(1+Assumptions!$C$24)^(T5-2000)/1000</f>
        <v>1796.44490924245</v>
      </c>
      <c r="U9" s="148" t="n">
        <f aca="false">1/3*Assumptions!$C$17*Assumptions!$C$11*Assumptions!$C$8/1000*(1+Assumptions!$C$24)^(U5-2000)+Assumptions!$C$18*Assumptions!$C$16*(1+Assumptions!$C$24)^(U5-2000)/1000</f>
        <v>1850.33825651972</v>
      </c>
      <c r="V9" s="304"/>
      <c r="W9" s="159" t="n">
        <f aca="false">SUM(B9:U9)</f>
        <v>28354.2117215526</v>
      </c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</row>
    <row r="10" customFormat="false" ht="12.75" hidden="false" customHeight="true" outlineLevel="0" collapsed="false">
      <c r="A10" s="164" t="s">
        <v>105</v>
      </c>
      <c r="B10" s="249" t="n">
        <f aca="false">(SUM(B8:B9)-SUM(B14:B19))*'Summary Output'!$B$24/4</f>
        <v>406.02512559692</v>
      </c>
      <c r="C10" s="249" t="n">
        <f aca="false">(SUM(C8:C9)-SUM(C14:C19))*'Summary Output'!$B$24/4</f>
        <v>425.233177054764</v>
      </c>
      <c r="D10" s="249" t="n">
        <f aca="false">(SUM(D8:D9)-SUM(D14:D19))*'Summary Output'!$B$24/4</f>
        <v>446.536422705716</v>
      </c>
      <c r="E10" s="249" t="n">
        <f aca="false">(SUM(E8:E9)-SUM(E14:E19))*'Summary Output'!$B$24/4</f>
        <v>470.045126773556</v>
      </c>
      <c r="F10" s="249" t="n">
        <f aca="false">(SUM(F8:F9)-SUM(F14:F19))*'Summary Output'!$B$24/4</f>
        <v>494.724678182718</v>
      </c>
      <c r="G10" s="249" t="n">
        <f aca="false">(SUM(G8:G9)-SUM(G14:G19))*'Summary Output'!$B$24/4</f>
        <v>499.85033279973</v>
      </c>
      <c r="H10" s="249" t="n">
        <f aca="false">(SUM(H8:H9)-SUM(H14:H19))*'Summary Output'!$B$24/4</f>
        <v>506.128177293406</v>
      </c>
      <c r="I10" s="249" t="n">
        <f aca="false">(SUM(I8:I9)-SUM(I14:I19))*'Summary Output'!$B$24/4</f>
        <v>512.468178038532</v>
      </c>
      <c r="J10" s="249" t="n">
        <f aca="false">(SUM(J8:J9)-SUM(J14:J19))*'Summary Output'!$B$24/4</f>
        <v>518.870667247958</v>
      </c>
      <c r="K10" s="249" t="n">
        <f aca="false">(SUM(K8:K9)-SUM(K14:K19))*'Summary Output'!$B$24/4</f>
        <v>525.33596744891</v>
      </c>
      <c r="L10" s="249" t="n">
        <f aca="false">(SUM(L8:L9)-SUM(L14:L19))*'Summary Output'!$B$24/4</f>
        <v>535.346092584383</v>
      </c>
      <c r="M10" s="249" t="n">
        <f aca="false">(SUM(M8:M9)-SUM(M14:M19))*'Summary Output'!$B$24/4</f>
        <v>545.530172137192</v>
      </c>
      <c r="N10" s="249" t="n">
        <f aca="false">(SUM(N8:N9)-SUM(N14:N19))*'Summary Output'!$B$24/4</f>
        <v>551.529660259078</v>
      </c>
      <c r="O10" s="249" t="n">
        <f aca="false">(SUM(O8:O9)-SUM(O14:O19))*'Summary Output'!$B$24/4</f>
        <v>562.070556877476</v>
      </c>
      <c r="P10" s="249" t="n">
        <f aca="false">(SUM(P8:P9)-SUM(P14:P19))*'Summary Output'!$B$24/4</f>
        <v>567.342533257996</v>
      </c>
      <c r="Q10" s="249" t="n">
        <f aca="false">(SUM(Q8:Q9)-SUM(Q14:Q19))*'Summary Output'!$B$24/4</f>
        <v>582.390333030838</v>
      </c>
      <c r="R10" s="249" t="n">
        <f aca="false">(SUM(R8:R9)-SUM(R14:R19))*'Summary Output'!$B$24/4</f>
        <v>590.287985037273</v>
      </c>
      <c r="S10" s="249" t="n">
        <f aca="false">(SUM(S8:S9)-SUM(S14:S19))*'Summary Output'!$B$24/4</f>
        <v>598.275000959468</v>
      </c>
      <c r="T10" s="249" t="n">
        <f aca="false">(SUM(T8:T9)-SUM(T14:T19))*'Summary Output'!$B$24/4</f>
        <v>606.352062242872</v>
      </c>
      <c r="U10" s="249" t="n">
        <f aca="false">(SUM(U8:U9)-SUM(U14:U19))*'Summary Output'!$B$24/4</f>
        <v>614.519842462232</v>
      </c>
      <c r="V10" s="304"/>
      <c r="W10" s="159" t="n">
        <f aca="false">SUM(B10:U10)</f>
        <v>10558.862091991</v>
      </c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</row>
    <row r="11" customFormat="false" ht="12.75" hidden="false" customHeight="true" outlineLevel="0" collapsed="false">
      <c r="A11" s="164" t="s">
        <v>106</v>
      </c>
      <c r="B11" s="167" t="n">
        <f aca="false">SUM(B8:B10)</f>
        <v>36773.0682817945</v>
      </c>
      <c r="C11" s="167" t="n">
        <f aca="false">SUM(C8:C10)</f>
        <v>38574.9183301072</v>
      </c>
      <c r="D11" s="167" t="n">
        <f aca="false">SUM(D8:D10)</f>
        <v>40466.6382944653</v>
      </c>
      <c r="E11" s="167" t="n">
        <f aca="false">SUM(E8:E10)</f>
        <v>42452.6722685133</v>
      </c>
      <c r="F11" s="167" t="n">
        <f aca="false">SUM(F8:F10)</f>
        <v>44536.5338114681</v>
      </c>
      <c r="G11" s="167" t="n">
        <f aca="false">SUM(G8:G10)</f>
        <v>45126.8383165463</v>
      </c>
      <c r="H11" s="167" t="n">
        <f aca="false">SUM(H8:H10)</f>
        <v>45726.4111619903</v>
      </c>
      <c r="I11" s="167" t="n">
        <f aca="false">SUM(I8:I10)</f>
        <v>46334.2847529688</v>
      </c>
      <c r="J11" s="167" t="n">
        <f aca="false">SUM(J8:J10)</f>
        <v>46950.5839813972</v>
      </c>
      <c r="K11" s="167" t="n">
        <f aca="false">SUM(K8:K10)</f>
        <v>47575.4358941364</v>
      </c>
      <c r="L11" s="167" t="n">
        <f aca="false">SUM(L8:L10)</f>
        <v>48490.9875703888</v>
      </c>
      <c r="M11" s="167" t="n">
        <f aca="false">SUM(M8:M10)</f>
        <v>49424.305566577</v>
      </c>
      <c r="N11" s="167" t="n">
        <f aca="false">SUM(N8:N10)</f>
        <v>50371.3779493557</v>
      </c>
      <c r="O11" s="167" t="n">
        <f aca="false">SUM(O8:O10)</f>
        <v>51341.2843016223</v>
      </c>
      <c r="P11" s="167" t="n">
        <f aca="false">SUM(P8:P10)</f>
        <v>52324.5749923292</v>
      </c>
      <c r="Q11" s="167" t="n">
        <f aca="false">SUM(Q8:Q10)</f>
        <v>53103.1758068538</v>
      </c>
      <c r="R11" s="167" t="n">
        <f aca="false">SUM(R8:R10)</f>
        <v>53886.2737337604</v>
      </c>
      <c r="S11" s="167" t="n">
        <f aca="false">SUM(S8:S10)</f>
        <v>54681.2970609892</v>
      </c>
      <c r="T11" s="167" t="n">
        <f aca="false">SUM(T8:T10)</f>
        <v>55488.4386175918</v>
      </c>
      <c r="U11" s="167" t="n">
        <f aca="false">SUM(U8:U10)</f>
        <v>56307.8946645375</v>
      </c>
      <c r="V11" s="304"/>
      <c r="W11" s="159" t="n">
        <f aca="false">SUM(B11:U11)</f>
        <v>959936.995357393</v>
      </c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</row>
    <row r="12" customFormat="false" ht="12.75" hidden="false" customHeight="true" outlineLevel="0" collapsed="false">
      <c r="A12" s="306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304"/>
      <c r="W12" s="159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</row>
    <row r="13" customFormat="false" ht="12.75" hidden="false" customHeight="true" outlineLevel="0" collapsed="false">
      <c r="A13" s="158" t="s">
        <v>107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92"/>
      <c r="W13" s="159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</row>
    <row r="14" customFormat="false" ht="12.75" hidden="false" customHeight="true" outlineLevel="0" collapsed="false">
      <c r="A14" s="164" t="s">
        <v>70</v>
      </c>
      <c r="B14" s="148" t="n">
        <f aca="false">Assumptions!C27*(1+Assumptions!$C$24)</f>
        <v>1279.75616571429</v>
      </c>
      <c r="C14" s="159" t="n">
        <f aca="false">B14*(1+Assumptions!$C$24)</f>
        <v>1318.14885068571</v>
      </c>
      <c r="D14" s="159" t="n">
        <f aca="false">C14*(1+Assumptions!$C$24)</f>
        <v>1357.69331620629</v>
      </c>
      <c r="E14" s="159" t="n">
        <f aca="false">D14*(1+Assumptions!$C$24)</f>
        <v>1398.42411569247</v>
      </c>
      <c r="F14" s="159" t="n">
        <f aca="false">E14*(1+Assumptions!$C$24)</f>
        <v>1440.37683916325</v>
      </c>
      <c r="G14" s="159" t="n">
        <f aca="false">F14*(1+Assumptions!$C$24)</f>
        <v>1483.58814433815</v>
      </c>
      <c r="H14" s="159" t="n">
        <f aca="false">G14*(1+Assumptions!$C$24)</f>
        <v>1528.09578866829</v>
      </c>
      <c r="I14" s="159" t="n">
        <f aca="false">H14*(1+Assumptions!$C$24)</f>
        <v>1573.93866232834</v>
      </c>
      <c r="J14" s="159" t="n">
        <f aca="false">I14*(1+Assumptions!$C$24)</f>
        <v>1621.15682219819</v>
      </c>
      <c r="K14" s="159" t="n">
        <f aca="false">J14*(1+Assumptions!$C$24)</f>
        <v>1669.79152686414</v>
      </c>
      <c r="L14" s="159" t="n">
        <f aca="false">K14*(1+Assumptions!$C$24)</f>
        <v>1719.88527267006</v>
      </c>
      <c r="M14" s="159" t="n">
        <f aca="false">L14*(1+Assumptions!$C$24)</f>
        <v>1771.48183085016</v>
      </c>
      <c r="N14" s="159" t="n">
        <f aca="false">M14*(1+Assumptions!$C$24)</f>
        <v>1824.62628577567</v>
      </c>
      <c r="O14" s="159" t="n">
        <f aca="false">N14*(1+Assumptions!$C$24)</f>
        <v>1879.36507434894</v>
      </c>
      <c r="P14" s="159" t="n">
        <f aca="false">O14*(1+Assumptions!$C$24)</f>
        <v>1935.7460265794</v>
      </c>
      <c r="Q14" s="159" t="n">
        <f aca="false">P14*(1+Assumptions!$C$24)</f>
        <v>1993.81840737679</v>
      </c>
      <c r="R14" s="159" t="n">
        <f aca="false">Q14*(1+Assumptions!$C$24)</f>
        <v>2053.63295959809</v>
      </c>
      <c r="S14" s="159" t="n">
        <f aca="false">R14*(1+Assumptions!$C$24)</f>
        <v>2115.24194838603</v>
      </c>
      <c r="T14" s="159" t="n">
        <f aca="false">S14*(1+Assumptions!$C$24)</f>
        <v>2178.69920683761</v>
      </c>
      <c r="U14" s="159" t="n">
        <f aca="false">T14*(1+Assumptions!$C$24)</f>
        <v>2244.06018304274</v>
      </c>
      <c r="V14" s="92"/>
      <c r="W14" s="159" t="n">
        <f aca="false">SUM(B14:U14)</f>
        <v>34387.5274273246</v>
      </c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</row>
    <row r="15" customFormat="false" ht="12.75" hidden="false" customHeight="true" outlineLevel="0" collapsed="false">
      <c r="A15" s="164" t="s">
        <v>71</v>
      </c>
      <c r="B15" s="148" t="n">
        <f aca="false">Assumptions!$C$28*(1+Assumptions!$C$24)</f>
        <v>823.472052568736</v>
      </c>
      <c r="C15" s="167" t="n">
        <f aca="false">B15*(1+Assumptions!$C$24)</f>
        <v>848.176214145798</v>
      </c>
      <c r="D15" s="167" t="n">
        <f aca="false">C15*(1+Assumptions!$C$24)</f>
        <v>873.621500570172</v>
      </c>
      <c r="E15" s="148" t="n">
        <f aca="false">Assumptions!$C$18*Assumptions!$C$22*(1+Assumptions!$C$24)^(E5-2000)/1000</f>
        <v>899.830145587277</v>
      </c>
      <c r="F15" s="148" t="n">
        <f aca="false">Assumptions!$C$18*Assumptions!$C$22*(1+Assumptions!$C$24)^(F5-2000)/1000</f>
        <v>926.825049954896</v>
      </c>
      <c r="G15" s="148" t="n">
        <f aca="false">Assumptions!$C$18*Assumptions!$C$22*(1+Assumptions!$C$24)^(G5-2000)/1000</f>
        <v>954.629801453542</v>
      </c>
      <c r="H15" s="148" t="n">
        <f aca="false">Assumptions!$C$18*Assumptions!$C$22*(1+Assumptions!$C$24)^(H5-2000)/1000</f>
        <v>983.268695497149</v>
      </c>
      <c r="I15" s="148" t="n">
        <f aca="false">Assumptions!$C$18*Assumptions!$C$22*(1+Assumptions!$C$24)^(I5-2000)/1000</f>
        <v>1012.76675636206</v>
      </c>
      <c r="J15" s="148" t="n">
        <f aca="false">Assumptions!$C$18*Assumptions!$C$22*(1+Assumptions!$C$24)^(J5-2000)/1000</f>
        <v>1043.14975905293</v>
      </c>
      <c r="K15" s="148" t="n">
        <f aca="false">Assumptions!$C$18*Assumptions!$C$22*(1+Assumptions!$C$24)^(K5-2000)/1000</f>
        <v>1074.44425182451</v>
      </c>
      <c r="L15" s="148" t="n">
        <f aca="false">Assumptions!$C$18*Assumptions!$C$22*(1+Assumptions!$C$24)^(L5-2000)/1000</f>
        <v>1106.67757937925</v>
      </c>
      <c r="M15" s="148" t="n">
        <f aca="false">Assumptions!$C$18*Assumptions!$C$22*(1+Assumptions!$C$24)^(M5-2000)/1000</f>
        <v>1139.87790676063</v>
      </c>
      <c r="N15" s="148" t="n">
        <f aca="false">Assumptions!$C$18*Assumptions!$C$22*(1+Assumptions!$C$24)^(N5-2000)/1000</f>
        <v>1174.07424396344</v>
      </c>
      <c r="O15" s="148" t="n">
        <f aca="false">Assumptions!$C$18*Assumptions!$C$22*(1+Assumptions!$C$24)^(O5-2000)/1000</f>
        <v>1209.29647128235</v>
      </c>
      <c r="P15" s="148" t="n">
        <f aca="false">Assumptions!$C$18*Assumptions!$C$22*(1+Assumptions!$C$24)^(P5-2000)/1000</f>
        <v>1245.57536542082</v>
      </c>
      <c r="Q15" s="148" t="n">
        <f aca="false">Assumptions!$C$18*Assumptions!$C$22*(1+Assumptions!$C$24)^(Q5-2000)/1000</f>
        <v>1282.94262638344</v>
      </c>
      <c r="R15" s="148" t="n">
        <f aca="false">Assumptions!$C$18*Assumptions!$C$22*(1+Assumptions!$C$24)^(R5-2000)/1000</f>
        <v>1321.43090517495</v>
      </c>
      <c r="S15" s="148" t="n">
        <f aca="false">Assumptions!$C$18*Assumptions!$C$22*(1+Assumptions!$C$24)^(S5-2000)/1000</f>
        <v>1361.0738323302</v>
      </c>
      <c r="T15" s="148" t="n">
        <f aca="false">Assumptions!$C$18*Assumptions!$C$22*(1+Assumptions!$C$24)^(T5-2000)/1000</f>
        <v>1401.9060473001</v>
      </c>
      <c r="U15" s="148" t="n">
        <f aca="false">Assumptions!$C$18*Assumptions!$C$22*(1+Assumptions!$C$24)^(U5-2000)/1000</f>
        <v>1443.9632287191</v>
      </c>
      <c r="V15" s="92"/>
      <c r="W15" s="159" t="n">
        <f aca="false">SUM(B15:U15)</f>
        <v>22127.0024337313</v>
      </c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</row>
    <row r="16" customFormat="false" ht="12.75" hidden="false" customHeight="true" outlineLevel="0" collapsed="false">
      <c r="A16" s="164" t="s">
        <v>108</v>
      </c>
      <c r="B16" s="148" t="n">
        <f aca="false">Assumptions!$C$23*Assumptions!$C$11*Assumptions!$C$8/1000*(1+Assumptions!$C$24)</f>
        <v>695.25</v>
      </c>
      <c r="C16" s="159" t="n">
        <f aca="false">B16*(1+Assumptions!$C$24)</f>
        <v>716.1075</v>
      </c>
      <c r="D16" s="159" t="n">
        <f aca="false">C16*(1+Assumptions!$C$24)</f>
        <v>737.590725</v>
      </c>
      <c r="E16" s="159" t="n">
        <f aca="false">D16*(1+Assumptions!$C$24)</f>
        <v>759.71844675</v>
      </c>
      <c r="F16" s="159" t="n">
        <f aca="false">E16*(1+Assumptions!$C$24)</f>
        <v>782.5100001525</v>
      </c>
      <c r="G16" s="159" t="n">
        <f aca="false">F16*(1+Assumptions!$C$24)</f>
        <v>805.985300157075</v>
      </c>
      <c r="H16" s="159" t="n">
        <f aca="false">G16*(1+Assumptions!$C$24)</f>
        <v>830.164859161787</v>
      </c>
      <c r="I16" s="159" t="n">
        <f aca="false">H16*(1+Assumptions!$C$24)</f>
        <v>855.069804936641</v>
      </c>
      <c r="J16" s="159" t="n">
        <f aca="false">I16*(1+Assumptions!$C$24)</f>
        <v>880.72189908474</v>
      </c>
      <c r="K16" s="159" t="n">
        <f aca="false">J16*(1+Assumptions!$C$24)</f>
        <v>907.143556057283</v>
      </c>
      <c r="L16" s="159" t="n">
        <f aca="false">K16*(1+Assumptions!$C$24)</f>
        <v>934.357862739001</v>
      </c>
      <c r="M16" s="159" t="n">
        <f aca="false">L16*(1+Assumptions!$C$24)</f>
        <v>962.388598621171</v>
      </c>
      <c r="N16" s="159" t="n">
        <f aca="false">M16*(1+Assumptions!$C$24)</f>
        <v>991.260256579806</v>
      </c>
      <c r="O16" s="159" t="n">
        <f aca="false">N16*(1+Assumptions!$C$24)</f>
        <v>1020.9980642772</v>
      </c>
      <c r="P16" s="159" t="n">
        <f aca="false">O16*(1+Assumptions!$C$24)</f>
        <v>1051.62800620552</v>
      </c>
      <c r="Q16" s="159" t="n">
        <f aca="false">P16*(1+Assumptions!$C$24)</f>
        <v>1083.17684639168</v>
      </c>
      <c r="R16" s="159" t="n">
        <f aca="false">Q16*(1+Assumptions!$C$24)</f>
        <v>1115.67215178343</v>
      </c>
      <c r="S16" s="159" t="n">
        <f aca="false">R16*(1+Assumptions!$C$24)</f>
        <v>1149.14231633694</v>
      </c>
      <c r="T16" s="159" t="n">
        <f aca="false">S16*(1+Assumptions!$C$24)</f>
        <v>1183.61658582704</v>
      </c>
      <c r="U16" s="159" t="n">
        <f aca="false">T16*(1+Assumptions!$C$24)</f>
        <v>1219.12508340186</v>
      </c>
      <c r="V16" s="92"/>
      <c r="W16" s="159" t="n">
        <f aca="false">SUM(B16:U16)</f>
        <v>18681.6278634637</v>
      </c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</row>
    <row r="17" customFormat="false" ht="12.75" hidden="false" customHeight="true" outlineLevel="0" collapsed="false">
      <c r="A17" s="164" t="s">
        <v>73</v>
      </c>
      <c r="B17" s="148" t="n">
        <f aca="false">Assumptions!C30*(1+Assumptions!$C$24)</f>
        <v>331.918677142857</v>
      </c>
      <c r="C17" s="159" t="n">
        <f aca="false">B17*(1+Assumptions!$C$24)</f>
        <v>341.876237457143</v>
      </c>
      <c r="D17" s="159" t="n">
        <f aca="false">C17*(1+Assumptions!$C$24)</f>
        <v>352.132524580857</v>
      </c>
      <c r="E17" s="159" t="n">
        <f aca="false">D17*(1+Assumptions!$C$24)</f>
        <v>362.696500318283</v>
      </c>
      <c r="F17" s="159" t="n">
        <f aca="false">E17*(1+Assumptions!$C$24)</f>
        <v>373.577395327831</v>
      </c>
      <c r="G17" s="159" t="n">
        <f aca="false">F17*(1+Assumptions!$C$24)</f>
        <v>384.784717187666</v>
      </c>
      <c r="H17" s="159" t="n">
        <f aca="false">G17*(1+Assumptions!$C$24)</f>
        <v>396.328258703296</v>
      </c>
      <c r="I17" s="159" t="n">
        <f aca="false">H17*(1+Assumptions!$C$24)</f>
        <v>408.218106464395</v>
      </c>
      <c r="J17" s="159" t="n">
        <f aca="false">I17*(1+Assumptions!$C$24)</f>
        <v>420.464649658327</v>
      </c>
      <c r="K17" s="159" t="n">
        <f aca="false">J17*(1+Assumptions!$C$24)</f>
        <v>433.078589148077</v>
      </c>
      <c r="L17" s="159" t="n">
        <f aca="false">K17*(1+Assumptions!$C$24)</f>
        <v>446.070946822519</v>
      </c>
      <c r="M17" s="159" t="n">
        <f aca="false">L17*(1+Assumptions!$C$24)</f>
        <v>459.453075227195</v>
      </c>
      <c r="N17" s="159" t="n">
        <f aca="false">M17*(1+Assumptions!$C$24)</f>
        <v>473.236667484011</v>
      </c>
      <c r="O17" s="159" t="n">
        <f aca="false">N17*(1+Assumptions!$C$24)</f>
        <v>487.433767508531</v>
      </c>
      <c r="P17" s="159" t="n">
        <f aca="false">O17*(1+Assumptions!$C$24)</f>
        <v>502.056780533787</v>
      </c>
      <c r="Q17" s="159" t="n">
        <f aca="false">P17*(1+Assumptions!$C$24)</f>
        <v>517.118483949801</v>
      </c>
      <c r="R17" s="159" t="n">
        <f aca="false">Q17*(1+Assumptions!$C$24)</f>
        <v>532.632038468295</v>
      </c>
      <c r="S17" s="159" t="n">
        <f aca="false">R17*(1+Assumptions!$C$24)</f>
        <v>548.610999622344</v>
      </c>
      <c r="T17" s="159" t="n">
        <f aca="false">S17*(1+Assumptions!$C$24)</f>
        <v>565.069329611014</v>
      </c>
      <c r="U17" s="159" t="n">
        <f aca="false">T17*(1+Assumptions!$C$24)</f>
        <v>582.021409499344</v>
      </c>
      <c r="V17" s="92"/>
      <c r="W17" s="159" t="n">
        <f aca="false">SUM(B17:U17)</f>
        <v>8918.77915471557</v>
      </c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</row>
    <row r="18" customFormat="false" ht="12.75" hidden="false" customHeight="true" outlineLevel="0" collapsed="false">
      <c r="A18" s="164" t="s">
        <v>191</v>
      </c>
      <c r="B18" s="307" t="n">
        <v>174.46</v>
      </c>
      <c r="C18" s="307" t="n">
        <v>348.92</v>
      </c>
      <c r="D18" s="307" t="n">
        <v>436.15</v>
      </c>
      <c r="E18" s="307" t="n">
        <v>436.15</v>
      </c>
      <c r="F18" s="307" t="n">
        <v>436.15</v>
      </c>
      <c r="G18" s="307" t="n">
        <v>523.38</v>
      </c>
      <c r="H18" s="307" t="n">
        <v>523.38</v>
      </c>
      <c r="I18" s="307" t="n">
        <v>523.38</v>
      </c>
      <c r="J18" s="307" t="n">
        <v>523.38</v>
      </c>
      <c r="K18" s="307" t="n">
        <v>523.38</v>
      </c>
      <c r="L18" s="307" t="n">
        <v>523.38</v>
      </c>
      <c r="M18" s="307" t="n">
        <v>523.38</v>
      </c>
      <c r="N18" s="307" t="n">
        <v>872.3</v>
      </c>
      <c r="O18" s="307" t="n">
        <v>872.3</v>
      </c>
      <c r="P18" s="307" t="n">
        <v>1308.45</v>
      </c>
      <c r="Q18" s="307" t="n">
        <v>743.931045</v>
      </c>
      <c r="R18" s="307" t="n">
        <v>758.8096659</v>
      </c>
      <c r="S18" s="307" t="n">
        <v>773.985859218</v>
      </c>
      <c r="T18" s="307" t="n">
        <v>789.46557640236</v>
      </c>
      <c r="U18" s="307" t="n">
        <v>805.254887930407</v>
      </c>
      <c r="V18" s="92"/>
      <c r="W18" s="159" t="n">
        <f aca="false">SUM(B18:U18)</f>
        <v>12419.9870344508</v>
      </c>
      <c r="X18" s="304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  <c r="AJ18" s="304"/>
      <c r="AK18" s="304"/>
      <c r="AL18" s="304"/>
      <c r="AM18" s="304"/>
      <c r="AN18" s="304"/>
      <c r="AO18" s="304"/>
      <c r="AP18" s="304"/>
      <c r="AQ18" s="304"/>
      <c r="AR18" s="304"/>
      <c r="AS18" s="304"/>
    </row>
    <row r="19" customFormat="false" ht="12.75" hidden="false" customHeight="true" outlineLevel="0" collapsed="false">
      <c r="A19" s="164" t="s">
        <v>192</v>
      </c>
      <c r="B19" s="166" t="n">
        <f aca="false">B67</f>
        <v>580.176213018036</v>
      </c>
      <c r="C19" s="166" t="n">
        <f aca="false">C67</f>
        <v>557.802186382691</v>
      </c>
      <c r="D19" s="166" t="n">
        <f aca="false">D67</f>
        <v>539.999988944946</v>
      </c>
      <c r="E19" s="166" t="n">
        <f aca="false">E67</f>
        <v>522.1977915072</v>
      </c>
      <c r="F19" s="166" t="n">
        <f aca="false">F67</f>
        <v>504.395594069455</v>
      </c>
      <c r="G19" s="166" t="n">
        <f aca="false">G67</f>
        <v>486.593396631709</v>
      </c>
      <c r="H19" s="166" t="n">
        <f aca="false">H67</f>
        <v>468.791199193964</v>
      </c>
      <c r="I19" s="166" t="n">
        <f aca="false">I67</f>
        <v>450.989001756218</v>
      </c>
      <c r="J19" s="166" t="n">
        <f aca="false">J67</f>
        <v>433.186804318473</v>
      </c>
      <c r="K19" s="166" t="n">
        <f aca="false">K67</f>
        <v>415.384606880727</v>
      </c>
      <c r="L19" s="166" t="n">
        <f aca="false">L67</f>
        <v>397.582409442982</v>
      </c>
      <c r="M19" s="166" t="n">
        <f aca="false">M67</f>
        <v>379.780212005237</v>
      </c>
      <c r="N19" s="166" t="n">
        <f aca="false">N67</f>
        <v>361.978014567491</v>
      </c>
      <c r="O19" s="166" t="n">
        <f aca="false">O67</f>
        <v>344.175817129746</v>
      </c>
      <c r="P19" s="166" t="n">
        <f aca="false">P67</f>
        <v>326.373619692</v>
      </c>
      <c r="Q19" s="166" t="n">
        <f aca="false">Q67</f>
        <v>308.571422254255</v>
      </c>
      <c r="R19" s="166" t="n">
        <f aca="false">R67</f>
        <v>290.769224816509</v>
      </c>
      <c r="S19" s="166" t="n">
        <f aca="false">S67</f>
        <v>272.967027378764</v>
      </c>
      <c r="T19" s="166" t="n">
        <f aca="false">T67</f>
        <v>255.164829941018</v>
      </c>
      <c r="U19" s="166" t="n">
        <f aca="false">U67</f>
        <v>237.362632503273</v>
      </c>
      <c r="V19" s="159"/>
      <c r="W19" s="159" t="n">
        <f aca="false">SUM(B19:U19)</f>
        <v>8134.24199243469</v>
      </c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</row>
    <row r="20" customFormat="false" ht="12.75" hidden="false" customHeight="true" outlineLevel="0" collapsed="false">
      <c r="A20" s="164" t="s">
        <v>111</v>
      </c>
      <c r="B20" s="148" t="n">
        <f aca="false">SUM(B14:B19)</f>
        <v>3885.03310844392</v>
      </c>
      <c r="C20" s="148" t="n">
        <f aca="false">SUM(C14:C19)</f>
        <v>4131.03098867135</v>
      </c>
      <c r="D20" s="148" t="n">
        <f aca="false">SUM(D14:D19)</f>
        <v>4297.18805530226</v>
      </c>
      <c r="E20" s="148" t="n">
        <f aca="false">SUM(E14:E19)</f>
        <v>4379.01699985524</v>
      </c>
      <c r="F20" s="148" t="n">
        <f aca="false">SUM(F14:F19)</f>
        <v>4463.83487866793</v>
      </c>
      <c r="G20" s="148" t="n">
        <f aca="false">SUM(G14:G19)</f>
        <v>4638.96135976814</v>
      </c>
      <c r="H20" s="148" t="n">
        <f aca="false">SUM(H14:H19)</f>
        <v>4730.02880122449</v>
      </c>
      <c r="I20" s="148" t="n">
        <f aca="false">SUM(I14:I19)</f>
        <v>4824.36233184766</v>
      </c>
      <c r="J20" s="148" t="n">
        <f aca="false">SUM(J14:J19)</f>
        <v>4922.05993431266</v>
      </c>
      <c r="K20" s="148" t="n">
        <f aca="false">SUM(K14:K19)</f>
        <v>5023.22253077474</v>
      </c>
      <c r="L20" s="148" t="n">
        <f aca="false">SUM(L14:L19)</f>
        <v>5127.95407105381</v>
      </c>
      <c r="M20" s="148" t="n">
        <f aca="false">SUM(M14:M19)</f>
        <v>5236.36162346439</v>
      </c>
      <c r="N20" s="148" t="n">
        <f aca="false">SUM(N14:N19)</f>
        <v>5697.47546837042</v>
      </c>
      <c r="O20" s="148" t="n">
        <f aca="false">SUM(O14:O19)</f>
        <v>5813.56919454676</v>
      </c>
      <c r="P20" s="148" t="n">
        <f aca="false">SUM(P14:P19)</f>
        <v>6369.82979843153</v>
      </c>
      <c r="Q20" s="148" t="n">
        <f aca="false">SUM(Q14:Q19)</f>
        <v>5929.55883135597</v>
      </c>
      <c r="R20" s="148" t="n">
        <f aca="false">SUM(R14:R19)</f>
        <v>6072.94694574127</v>
      </c>
      <c r="S20" s="148" t="n">
        <f aca="false">SUM(S14:S19)</f>
        <v>6221.02198327227</v>
      </c>
      <c r="T20" s="148" t="n">
        <f aca="false">SUM(T14:T19)</f>
        <v>6373.92157591915</v>
      </c>
      <c r="U20" s="148" t="n">
        <f aca="false">SUM(U14:U19)</f>
        <v>6531.78742509673</v>
      </c>
      <c r="V20" s="92"/>
      <c r="W20" s="159" t="n">
        <f aca="false">SUM(B20:U20)</f>
        <v>104669.165906121</v>
      </c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</row>
    <row r="21" customFormat="false" ht="12.75" hidden="false" customHeight="true" outlineLevel="0" collapsed="false">
      <c r="A21" s="170"/>
      <c r="B21" s="308"/>
      <c r="C21" s="308"/>
      <c r="D21" s="308"/>
      <c r="E21" s="308"/>
      <c r="F21" s="308"/>
      <c r="G21" s="308"/>
      <c r="H21" s="308"/>
      <c r="I21" s="308"/>
      <c r="J21" s="308"/>
      <c r="K21" s="308"/>
      <c r="L21" s="308"/>
      <c r="M21" s="308"/>
      <c r="N21" s="308"/>
      <c r="O21" s="308"/>
      <c r="P21" s="308"/>
      <c r="Q21" s="308"/>
      <c r="R21" s="308"/>
      <c r="S21" s="308"/>
      <c r="T21" s="308"/>
      <c r="U21" s="308"/>
      <c r="V21" s="304"/>
      <c r="W21" s="159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</row>
    <row r="22" customFormat="false" ht="12.75" hidden="false" customHeight="true" outlineLevel="0" collapsed="false">
      <c r="A22" s="158" t="s">
        <v>112</v>
      </c>
      <c r="B22" s="155" t="n">
        <f aca="false">B11-B20</f>
        <v>32888.0351733505</v>
      </c>
      <c r="C22" s="155" t="n">
        <f aca="false">C11-C20</f>
        <v>34443.8873414358</v>
      </c>
      <c r="D22" s="155" t="n">
        <f aca="false">D11-D20</f>
        <v>36169.450239163</v>
      </c>
      <c r="E22" s="155" t="n">
        <f aca="false">E11-E20</f>
        <v>38073.6552686581</v>
      </c>
      <c r="F22" s="155" t="n">
        <f aca="false">F11-F20</f>
        <v>40072.6989328002</v>
      </c>
      <c r="G22" s="155" t="n">
        <f aca="false">G11-G20</f>
        <v>40487.8769567782</v>
      </c>
      <c r="H22" s="155" t="n">
        <f aca="false">H11-H20</f>
        <v>40996.3823607659</v>
      </c>
      <c r="I22" s="155" t="n">
        <f aca="false">I11-I20</f>
        <v>41509.9224211211</v>
      </c>
      <c r="J22" s="155" t="n">
        <f aca="false">J11-J20</f>
        <v>42028.5240470846</v>
      </c>
      <c r="K22" s="155" t="n">
        <f aca="false">K11-K20</f>
        <v>42552.2133633617</v>
      </c>
      <c r="L22" s="155" t="n">
        <f aca="false">L11-L20</f>
        <v>43363.033499335</v>
      </c>
      <c r="M22" s="155" t="n">
        <f aca="false">M11-M20</f>
        <v>44187.9439431126</v>
      </c>
      <c r="N22" s="155" t="n">
        <f aca="false">N11-N20</f>
        <v>44673.9024809853</v>
      </c>
      <c r="O22" s="155" t="n">
        <f aca="false">O11-O20</f>
        <v>45527.7151070755</v>
      </c>
      <c r="P22" s="155" t="n">
        <f aca="false">P11-P20</f>
        <v>45954.7451938977</v>
      </c>
      <c r="Q22" s="155" t="n">
        <f aca="false">Q11-Q20</f>
        <v>47173.6169754979</v>
      </c>
      <c r="R22" s="155" t="n">
        <f aca="false">R11-R20</f>
        <v>47813.3267880191</v>
      </c>
      <c r="S22" s="155" t="n">
        <f aca="false">S11-S20</f>
        <v>48460.2750777169</v>
      </c>
      <c r="T22" s="155" t="n">
        <f aca="false">T11-T20</f>
        <v>49114.5170416726</v>
      </c>
      <c r="U22" s="155" t="n">
        <f aca="false">U11-U20</f>
        <v>49776.1072394408</v>
      </c>
      <c r="V22" s="281"/>
      <c r="W22" s="159" t="n">
        <f aca="false">SUM(B22:U22)</f>
        <v>855267.829451272</v>
      </c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</row>
    <row r="23" customFormat="false" ht="12.75" hidden="false" customHeight="true" outlineLevel="0" collapsed="false">
      <c r="A23" s="158"/>
      <c r="B23" s="309"/>
      <c r="C23" s="310"/>
      <c r="D23" s="309"/>
      <c r="E23" s="309"/>
      <c r="F23" s="309"/>
      <c r="G23" s="309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281"/>
      <c r="W23" s="159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</row>
    <row r="24" customFormat="false" ht="12.75" hidden="false" customHeight="true" outlineLevel="0" collapsed="false">
      <c r="A24" s="164" t="s">
        <v>113</v>
      </c>
      <c r="B24" s="148" t="n">
        <f aca="false">Depreciation!C13</f>
        <v>7120.89267548481</v>
      </c>
      <c r="C24" s="148" t="n">
        <f aca="false">Depreciation!D13</f>
        <v>7120.89267548481</v>
      </c>
      <c r="D24" s="148" t="n">
        <f aca="false">Depreciation!E13</f>
        <v>7120.89267548481</v>
      </c>
      <c r="E24" s="148" t="n">
        <f aca="false">Depreciation!F13</f>
        <v>7120.89267548481</v>
      </c>
      <c r="F24" s="148" t="n">
        <f aca="false">Depreciation!G13</f>
        <v>7120.89267548481</v>
      </c>
      <c r="G24" s="148" t="n">
        <f aca="false">Depreciation!H13</f>
        <v>7120.89267548481</v>
      </c>
      <c r="H24" s="148" t="n">
        <f aca="false">Depreciation!I13</f>
        <v>7120.89267548481</v>
      </c>
      <c r="I24" s="148" t="n">
        <f aca="false">Depreciation!J13</f>
        <v>7120.89267548481</v>
      </c>
      <c r="J24" s="148" t="n">
        <f aca="false">Depreciation!K13</f>
        <v>7120.89267548481</v>
      </c>
      <c r="K24" s="148" t="n">
        <f aca="false">Depreciation!L13</f>
        <v>7120.89267548481</v>
      </c>
      <c r="L24" s="148" t="n">
        <f aca="false">Depreciation!M13</f>
        <v>7120.89267548481</v>
      </c>
      <c r="M24" s="148" t="n">
        <f aca="false">Depreciation!N13</f>
        <v>7120.89267548481</v>
      </c>
      <c r="N24" s="148" t="n">
        <f aca="false">Depreciation!O13</f>
        <v>7120.89267548481</v>
      </c>
      <c r="O24" s="148" t="n">
        <f aca="false">Depreciation!P13</f>
        <v>7120.89267548481</v>
      </c>
      <c r="P24" s="148" t="n">
        <f aca="false">Depreciation!Q13</f>
        <v>7120.89267548481</v>
      </c>
      <c r="Q24" s="148" t="n">
        <f aca="false">Depreciation!R13</f>
        <v>7120.89267548481</v>
      </c>
      <c r="R24" s="148" t="n">
        <f aca="false">Depreciation!S13</f>
        <v>7120.89267548481</v>
      </c>
      <c r="S24" s="148" t="n">
        <f aca="false">Depreciation!T13</f>
        <v>7120.89267548481</v>
      </c>
      <c r="T24" s="148" t="n">
        <f aca="false">Depreciation!U13</f>
        <v>7120.89267548481</v>
      </c>
      <c r="U24" s="148" t="n">
        <f aca="false">Depreciation!V13</f>
        <v>7120.89267548481</v>
      </c>
      <c r="V24" s="92"/>
      <c r="W24" s="159" t="n">
        <f aca="false">SUM(B24:U24)</f>
        <v>142417.853509696</v>
      </c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</row>
    <row r="25" customFormat="false" ht="12.75" hidden="false" customHeight="true" outlineLevel="0" collapsed="false">
      <c r="A25" s="164"/>
      <c r="B25" s="148"/>
      <c r="C25" s="159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92"/>
      <c r="W25" s="159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</row>
    <row r="26" customFormat="false" ht="12.75" hidden="false" customHeight="true" outlineLevel="0" collapsed="false">
      <c r="A26" s="158" t="s">
        <v>114</v>
      </c>
      <c r="B26" s="309" t="n">
        <f aca="false">B22-B24</f>
        <v>25767.1424978657</v>
      </c>
      <c r="C26" s="309" t="n">
        <f aca="false">C22-C24</f>
        <v>27322.994665951</v>
      </c>
      <c r="D26" s="309" t="n">
        <f aca="false">D22-D24</f>
        <v>29048.5575636782</v>
      </c>
      <c r="E26" s="309" t="n">
        <f aca="false">E22-E24</f>
        <v>30952.7625931733</v>
      </c>
      <c r="F26" s="309" t="n">
        <f aca="false">F22-F24</f>
        <v>32951.8062573153</v>
      </c>
      <c r="G26" s="309" t="n">
        <f aca="false">G22-G24</f>
        <v>33366.9842812934</v>
      </c>
      <c r="H26" s="309" t="n">
        <f aca="false">H22-H24</f>
        <v>33875.4896852811</v>
      </c>
      <c r="I26" s="309" t="n">
        <f aca="false">I22-I24</f>
        <v>34389.0297456363</v>
      </c>
      <c r="J26" s="309" t="n">
        <f aca="false">J22-J24</f>
        <v>34907.6313715998</v>
      </c>
      <c r="K26" s="309" t="n">
        <f aca="false">K22-K24</f>
        <v>35431.3206878769</v>
      </c>
      <c r="L26" s="309" t="n">
        <f aca="false">L22-L24</f>
        <v>36242.1408238502</v>
      </c>
      <c r="M26" s="309" t="n">
        <f aca="false">M22-M24</f>
        <v>37067.0512676278</v>
      </c>
      <c r="N26" s="309" t="n">
        <f aca="false">N22-N24</f>
        <v>37553.0098055005</v>
      </c>
      <c r="O26" s="309" t="n">
        <f aca="false">O22-O24</f>
        <v>38406.8224315907</v>
      </c>
      <c r="P26" s="309" t="n">
        <f aca="false">P22-P24</f>
        <v>38833.8525184129</v>
      </c>
      <c r="Q26" s="309" t="n">
        <f aca="false">Q22-Q24</f>
        <v>40052.7243000131</v>
      </c>
      <c r="R26" s="309" t="n">
        <f aca="false">R22-R24</f>
        <v>40692.4341125343</v>
      </c>
      <c r="S26" s="309" t="n">
        <f aca="false">S22-S24</f>
        <v>41339.3824022321</v>
      </c>
      <c r="T26" s="309" t="n">
        <f aca="false">T22-T24</f>
        <v>41993.6243661878</v>
      </c>
      <c r="U26" s="309" t="n">
        <f aca="false">U22-U24</f>
        <v>42655.214563956</v>
      </c>
      <c r="V26" s="281"/>
      <c r="W26" s="159" t="n">
        <f aca="false">SUM(B26:U26)</f>
        <v>712849.975941576</v>
      </c>
      <c r="X26" s="304"/>
      <c r="Y26" s="304"/>
      <c r="Z26" s="304"/>
      <c r="AA26" s="304"/>
      <c r="AB26" s="304"/>
      <c r="AC26" s="304"/>
      <c r="AD26" s="304"/>
      <c r="AE26" s="304"/>
      <c r="AF26" s="304"/>
      <c r="AG26" s="304"/>
      <c r="AH26" s="304"/>
      <c r="AI26" s="304"/>
      <c r="AJ26" s="304"/>
      <c r="AK26" s="304"/>
      <c r="AL26" s="304"/>
      <c r="AM26" s="304"/>
      <c r="AN26" s="304"/>
      <c r="AO26" s="304"/>
      <c r="AP26" s="304"/>
      <c r="AQ26" s="304"/>
      <c r="AR26" s="304"/>
      <c r="AS26" s="304"/>
    </row>
    <row r="27" customFormat="false" ht="12.75" hidden="false" customHeight="true" outlineLevel="0" collapsed="false">
      <c r="A27" s="158"/>
      <c r="B27" s="309"/>
      <c r="C27" s="309"/>
      <c r="D27" s="309"/>
      <c r="E27" s="309"/>
      <c r="F27" s="309"/>
      <c r="G27" s="309"/>
      <c r="H27" s="309"/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09"/>
      <c r="T27" s="309"/>
      <c r="U27" s="309"/>
      <c r="V27" s="281"/>
      <c r="W27" s="159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4"/>
      <c r="AP27" s="304"/>
      <c r="AQ27" s="304"/>
      <c r="AR27" s="304"/>
      <c r="AS27" s="304"/>
    </row>
    <row r="28" customFormat="false" ht="12.75" hidden="false" customHeight="true" outlineLevel="0" collapsed="false">
      <c r="A28" s="4" t="s">
        <v>115</v>
      </c>
      <c r="B28" s="148" t="n">
        <f aca="false">IS!B33*Allocation!$E$6</f>
        <v>12050.9732941131</v>
      </c>
      <c r="C28" s="148" t="n">
        <f aca="false">IS!C33*Allocation!$E$6</f>
        <v>11838.6487897394</v>
      </c>
      <c r="D28" s="148" t="n">
        <f aca="false">IS!D33*Allocation!$E$6</f>
        <v>11559.6555361601</v>
      </c>
      <c r="E28" s="148" t="n">
        <f aca="false">IS!E33*Allocation!$E$6</f>
        <v>11271.1158852206</v>
      </c>
      <c r="F28" s="148" t="n">
        <f aca="false">IS!F33*Allocation!$E$6</f>
        <v>10870.4031105267</v>
      </c>
      <c r="G28" s="148" t="n">
        <f aca="false">IS!G33*Allocation!$E$6</f>
        <v>10456.5725831914</v>
      </c>
      <c r="H28" s="148" t="n">
        <f aca="false">IS!H33*Allocation!$E$6</f>
        <v>10032.0556419591</v>
      </c>
      <c r="I28" s="148" t="n">
        <f aca="false">IS!I33*Allocation!$E$6</f>
        <v>9618.40156716885</v>
      </c>
      <c r="J28" s="148" t="n">
        <f aca="false">IS!J33*Allocation!$E$6</f>
        <v>9131.16797804867</v>
      </c>
      <c r="K28" s="148" t="n">
        <f aca="false">IS!K33*Allocation!$E$6</f>
        <v>8643.73222250985</v>
      </c>
      <c r="L28" s="148" t="n">
        <f aca="false">IS!L33*Allocation!$E$6</f>
        <v>8122.68868615945</v>
      </c>
      <c r="M28" s="148" t="n">
        <f aca="false">IS!M33*Allocation!$E$6</f>
        <v>7579.82698869466</v>
      </c>
      <c r="N28" s="148" t="n">
        <f aca="false">IS!N33*Allocation!$E$6</f>
        <v>6952.16550426286</v>
      </c>
      <c r="O28" s="148" t="n">
        <f aca="false">IS!O33*Allocation!$E$6</f>
        <v>6297.27265372107</v>
      </c>
      <c r="P28" s="148" t="n">
        <f aca="false">IS!P33*Allocation!$E$6</f>
        <v>5586.59964327214</v>
      </c>
      <c r="Q28" s="148" t="n">
        <f aca="false">IS!Q33*Allocation!$E$6</f>
        <v>4826.8649013961</v>
      </c>
      <c r="R28" s="148" t="n">
        <f aca="false">IS!R33*Allocation!$E$6</f>
        <v>3965.65653691163</v>
      </c>
      <c r="S28" s="148" t="n">
        <f aca="false">IS!S33*Allocation!$E$6</f>
        <v>3038.04257340779</v>
      </c>
      <c r="T28" s="148" t="n">
        <f aca="false">IS!T33*Allocation!$E$6</f>
        <v>2019.93355135484</v>
      </c>
      <c r="U28" s="148" t="n">
        <f aca="false">IS!U33*Allocation!$E$6</f>
        <v>903.058197954275</v>
      </c>
      <c r="V28" s="92"/>
      <c r="W28" s="159" t="n">
        <f aca="false">SUM(B28:U28)</f>
        <v>154764.835845773</v>
      </c>
      <c r="X28" s="281"/>
      <c r="Y28" s="281"/>
      <c r="Z28" s="281"/>
      <c r="AA28" s="281"/>
      <c r="AB28" s="281"/>
      <c r="AC28" s="281"/>
      <c r="AD28" s="281"/>
      <c r="AE28" s="281"/>
      <c r="AF28" s="281"/>
      <c r="AG28" s="281"/>
      <c r="AH28" s="281"/>
      <c r="AI28" s="281"/>
      <c r="AJ28" s="281"/>
      <c r="AK28" s="281"/>
      <c r="AL28" s="281"/>
      <c r="AM28" s="281"/>
      <c r="AN28" s="281"/>
      <c r="AO28" s="281"/>
      <c r="AP28" s="281"/>
      <c r="AQ28" s="281"/>
      <c r="AR28" s="281"/>
      <c r="AS28" s="281"/>
    </row>
    <row r="29" customFormat="false" ht="12.75" hidden="false" customHeight="true" outlineLevel="0" collapsed="false">
      <c r="A29" s="4"/>
      <c r="B29" s="248"/>
      <c r="C29" s="248"/>
      <c r="D29" s="248"/>
      <c r="E29" s="248"/>
      <c r="F29" s="248"/>
      <c r="G29" s="248"/>
      <c r="H29" s="248"/>
      <c r="I29" s="248"/>
      <c r="J29" s="248"/>
      <c r="K29" s="248"/>
      <c r="L29" s="248"/>
      <c r="M29" s="248"/>
      <c r="N29" s="248"/>
      <c r="O29" s="248"/>
      <c r="P29" s="248"/>
      <c r="Q29" s="248"/>
      <c r="R29" s="248"/>
      <c r="S29" s="248"/>
      <c r="T29" s="248"/>
      <c r="U29" s="248"/>
      <c r="V29" s="92"/>
      <c r="W29" s="159"/>
      <c r="X29" s="281"/>
      <c r="Y29" s="281"/>
      <c r="Z29" s="281"/>
      <c r="AA29" s="281"/>
      <c r="AB29" s="281"/>
      <c r="AC29" s="281"/>
      <c r="AD29" s="281"/>
      <c r="AE29" s="281"/>
      <c r="AF29" s="281"/>
      <c r="AG29" s="281"/>
      <c r="AH29" s="281"/>
      <c r="AI29" s="281"/>
      <c r="AJ29" s="281"/>
      <c r="AK29" s="281"/>
      <c r="AL29" s="281"/>
      <c r="AM29" s="281"/>
      <c r="AN29" s="281"/>
      <c r="AO29" s="281"/>
      <c r="AP29" s="281"/>
      <c r="AQ29" s="281"/>
      <c r="AR29" s="281"/>
      <c r="AS29" s="281"/>
    </row>
    <row r="30" customFormat="false" ht="12.75" hidden="false" customHeight="true" outlineLevel="0" collapsed="false">
      <c r="A30" s="158" t="s">
        <v>116</v>
      </c>
      <c r="B30" s="309" t="n">
        <f aca="false">B26-B28</f>
        <v>13716.1692037526</v>
      </c>
      <c r="C30" s="309" t="n">
        <f aca="false">C26-C28</f>
        <v>15484.3458762116</v>
      </c>
      <c r="D30" s="309" t="n">
        <f aca="false">D26-D28</f>
        <v>17488.9020275182</v>
      </c>
      <c r="E30" s="309" t="n">
        <f aca="false">E26-E28</f>
        <v>19681.6467079526</v>
      </c>
      <c r="F30" s="309" t="n">
        <f aca="false">F26-F28</f>
        <v>22081.4031467886</v>
      </c>
      <c r="G30" s="309" t="n">
        <f aca="false">G26-G28</f>
        <v>22910.4116981019</v>
      </c>
      <c r="H30" s="309" t="n">
        <f aca="false">H26-H28</f>
        <v>23843.434043322</v>
      </c>
      <c r="I30" s="309" t="n">
        <f aca="false">I26-I28</f>
        <v>24770.6281784674</v>
      </c>
      <c r="J30" s="309" t="n">
        <f aca="false">J26-J28</f>
        <v>25776.4633935511</v>
      </c>
      <c r="K30" s="309" t="n">
        <f aca="false">K26-K28</f>
        <v>26787.588465367</v>
      </c>
      <c r="L30" s="309" t="n">
        <f aca="false">L26-L28</f>
        <v>28119.4521376908</v>
      </c>
      <c r="M30" s="309" t="n">
        <f aca="false">M26-M28</f>
        <v>29487.2242789331</v>
      </c>
      <c r="N30" s="309" t="n">
        <f aca="false">N26-N28</f>
        <v>30600.8443012376</v>
      </c>
      <c r="O30" s="309" t="n">
        <f aca="false">O26-O28</f>
        <v>32109.5497778696</v>
      </c>
      <c r="P30" s="309" t="n">
        <f aca="false">P26-P28</f>
        <v>33247.2528751407</v>
      </c>
      <c r="Q30" s="309" t="n">
        <f aca="false">Q26-Q28</f>
        <v>35225.859398617</v>
      </c>
      <c r="R30" s="309" t="n">
        <f aca="false">R26-R28</f>
        <v>36726.7775756227</v>
      </c>
      <c r="S30" s="309" t="n">
        <f aca="false">S26-S28</f>
        <v>38301.3398288243</v>
      </c>
      <c r="T30" s="309" t="n">
        <f aca="false">T26-T28</f>
        <v>39973.690814833</v>
      </c>
      <c r="U30" s="309" t="n">
        <f aca="false">U26-U28</f>
        <v>41752.1563660017</v>
      </c>
      <c r="V30" s="281"/>
      <c r="W30" s="159" t="n">
        <f aca="false">SUM(B30:U30)</f>
        <v>558085.140095804</v>
      </c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</row>
    <row r="31" customFormat="false" ht="12.75" hidden="false" customHeight="true" outlineLevel="0" collapsed="false">
      <c r="A31" s="158"/>
      <c r="B31" s="309"/>
      <c r="C31" s="309"/>
      <c r="D31" s="309"/>
      <c r="E31" s="309"/>
      <c r="F31" s="309"/>
      <c r="G31" s="309"/>
      <c r="H31" s="309"/>
      <c r="I31" s="309"/>
      <c r="J31" s="309"/>
      <c r="K31" s="309"/>
      <c r="L31" s="309"/>
      <c r="M31" s="309"/>
      <c r="N31" s="309"/>
      <c r="O31" s="309"/>
      <c r="P31" s="309"/>
      <c r="Q31" s="309"/>
      <c r="R31" s="309"/>
      <c r="S31" s="309"/>
      <c r="T31" s="309"/>
      <c r="U31" s="309"/>
      <c r="V31" s="281"/>
      <c r="W31" s="159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</row>
    <row r="32" customFormat="false" ht="12.75" hidden="false" customHeight="true" outlineLevel="0" collapsed="false">
      <c r="A32" s="164" t="s">
        <v>193</v>
      </c>
      <c r="B32" s="148" t="n">
        <f aca="false">B30*-Assumptions!$C$37</f>
        <v>-822.970152225156</v>
      </c>
      <c r="C32" s="148" t="n">
        <f aca="false">C30*-Assumptions!$C$37</f>
        <v>-929.060752572697</v>
      </c>
      <c r="D32" s="148" t="n">
        <f aca="false">D30*-Assumptions!$C$37</f>
        <v>-1049.33412165109</v>
      </c>
      <c r="E32" s="148" t="n">
        <f aca="false">E30*-Assumptions!$C$37</f>
        <v>-1180.89880247716</v>
      </c>
      <c r="F32" s="148" t="n">
        <f aca="false">F30*-Assumptions!$C$37</f>
        <v>-1324.88418880732</v>
      </c>
      <c r="G32" s="148" t="n">
        <f aca="false">G30*-Assumptions!$C$37</f>
        <v>-1374.62470188612</v>
      </c>
      <c r="H32" s="148" t="n">
        <f aca="false">H30*-Assumptions!$C$37</f>
        <v>-1430.60604259932</v>
      </c>
      <c r="I32" s="148" t="n">
        <f aca="false">I30*-Assumptions!$C$37</f>
        <v>-1486.23769070805</v>
      </c>
      <c r="J32" s="148" t="n">
        <f aca="false">J30*-Assumptions!$C$37</f>
        <v>-1546.58780361307</v>
      </c>
      <c r="K32" s="148" t="n">
        <f aca="false">K30*-Assumptions!$C$37</f>
        <v>-1607.25530792202</v>
      </c>
      <c r="L32" s="148" t="n">
        <f aca="false">L30*-Assumptions!$C$37</f>
        <v>-1687.16712826145</v>
      </c>
      <c r="M32" s="148" t="n">
        <f aca="false">M30*-Assumptions!$C$37</f>
        <v>-1769.23345673599</v>
      </c>
      <c r="N32" s="148" t="n">
        <f aca="false">N30*-Assumptions!$C$37</f>
        <v>-1836.05065807426</v>
      </c>
      <c r="O32" s="148" t="n">
        <f aca="false">O30*-Assumptions!$C$37</f>
        <v>-1926.57298667218</v>
      </c>
      <c r="P32" s="148" t="n">
        <f aca="false">P30*-Assumptions!$C$37</f>
        <v>-1994.83517250844</v>
      </c>
      <c r="Q32" s="148" t="n">
        <f aca="false">Q30*-Assumptions!$C$37</f>
        <v>-2113.55156391702</v>
      </c>
      <c r="R32" s="148" t="n">
        <f aca="false">R30*-Assumptions!$C$37</f>
        <v>-2203.60665453736</v>
      </c>
      <c r="S32" s="148" t="n">
        <f aca="false">S30*-Assumptions!$C$37</f>
        <v>-2298.08038972946</v>
      </c>
      <c r="T32" s="148" t="n">
        <f aca="false">T30*-Assumptions!$C$37</f>
        <v>-2398.42144888998</v>
      </c>
      <c r="U32" s="148" t="n">
        <f aca="false">U30*-Assumptions!$C$37</f>
        <v>-2505.1293819601</v>
      </c>
      <c r="V32" s="92"/>
      <c r="W32" s="159" t="n">
        <f aca="false">SUM(B32:U32)</f>
        <v>-33485.1084057482</v>
      </c>
      <c r="X32" s="281"/>
      <c r="Y32" s="281"/>
      <c r="Z32" s="281"/>
      <c r="AA32" s="281"/>
      <c r="AB32" s="281"/>
      <c r="AC32" s="281"/>
      <c r="AD32" s="281"/>
      <c r="AE32" s="281"/>
      <c r="AF32" s="281"/>
      <c r="AG32" s="281"/>
      <c r="AH32" s="281"/>
      <c r="AI32" s="281"/>
      <c r="AJ32" s="281"/>
      <c r="AK32" s="281"/>
      <c r="AL32" s="281"/>
      <c r="AM32" s="281"/>
      <c r="AN32" s="281"/>
      <c r="AO32" s="281"/>
      <c r="AP32" s="281"/>
      <c r="AQ32" s="281"/>
      <c r="AR32" s="281"/>
      <c r="AS32" s="281"/>
    </row>
    <row r="33" customFormat="false" ht="12.75" hidden="false" customHeight="true" outlineLevel="0" collapsed="false">
      <c r="A33" s="164" t="s">
        <v>194</v>
      </c>
      <c r="B33" s="311" t="n">
        <f aca="false">(B30+B32)*-Assumptions!$C$36</f>
        <v>-4512.61966803461</v>
      </c>
      <c r="C33" s="311" t="n">
        <f aca="false">(C30+C32)*-Assumptions!$C$36</f>
        <v>-5094.34979327362</v>
      </c>
      <c r="D33" s="311" t="n">
        <f aca="false">(D30+D32)*-Assumptions!$C$36</f>
        <v>-5753.84876705347</v>
      </c>
      <c r="E33" s="311" t="n">
        <f aca="false">(E30+E32)*-Assumptions!$C$36</f>
        <v>-6475.26176691642</v>
      </c>
      <c r="F33" s="311" t="n">
        <f aca="false">(F30+F32)*-Assumptions!$C$36</f>
        <v>-7264.78163529346</v>
      </c>
      <c r="G33" s="311" t="n">
        <f aca="false">(G30+G32)*-Assumptions!$C$36</f>
        <v>-7537.52544867553</v>
      </c>
      <c r="H33" s="311" t="n">
        <f aca="false">(H30+H32)*-Assumptions!$C$36</f>
        <v>-7844.48980025293</v>
      </c>
      <c r="I33" s="311" t="n">
        <f aca="false">(I30+I32)*-Assumptions!$C$36</f>
        <v>-8149.53667071579</v>
      </c>
      <c r="J33" s="311" t="n">
        <f aca="false">(J30+J32)*-Assumptions!$C$36</f>
        <v>-8480.45645647831</v>
      </c>
      <c r="K33" s="311" t="n">
        <f aca="false">(K30+K32)*-Assumptions!$C$36</f>
        <v>-8813.11660510575</v>
      </c>
      <c r="L33" s="311" t="n">
        <f aca="false">(L30+L32)*-Assumptions!$C$36</f>
        <v>-9251.29975330026</v>
      </c>
      <c r="M33" s="311" t="n">
        <f aca="false">(M30+M32)*-Assumptions!$C$36</f>
        <v>-9701.29678776899</v>
      </c>
      <c r="N33" s="311" t="n">
        <f aca="false">(N30+N32)*-Assumptions!$C$36</f>
        <v>-10067.6777751072</v>
      </c>
      <c r="O33" s="311" t="n">
        <f aca="false">(O30+O32)*-Assumptions!$C$36</f>
        <v>-10564.0418769191</v>
      </c>
      <c r="P33" s="311" t="n">
        <f aca="false">(P30+P32)*-Assumptions!$C$36</f>
        <v>-10938.3461959213</v>
      </c>
      <c r="Q33" s="311" t="n">
        <f aca="false">(Q30+Q32)*-Assumptions!$C$36</f>
        <v>-11589.307742145</v>
      </c>
      <c r="R33" s="311" t="n">
        <f aca="false">(R30+R32)*-Assumptions!$C$36</f>
        <v>-12083.1098223799</v>
      </c>
      <c r="S33" s="311" t="n">
        <f aca="false">(S30+S32)*-Assumptions!$C$36</f>
        <v>-12601.1408036832</v>
      </c>
      <c r="T33" s="311" t="n">
        <f aca="false">(T30+T32)*-Assumptions!$C$36</f>
        <v>-13151.34427808</v>
      </c>
      <c r="U33" s="311" t="n">
        <f aca="false">(U30+U32)*-Assumptions!$C$36</f>
        <v>-13736.4594444146</v>
      </c>
      <c r="V33" s="92"/>
      <c r="W33" s="159" t="n">
        <f aca="false">SUM(B33:U33)</f>
        <v>-183610.011091519</v>
      </c>
      <c r="X33" s="281"/>
      <c r="Y33" s="281"/>
      <c r="Z33" s="281"/>
      <c r="AA33" s="281"/>
      <c r="AB33" s="281"/>
      <c r="AC33" s="281"/>
      <c r="AD33" s="281"/>
      <c r="AE33" s="281"/>
      <c r="AF33" s="281"/>
      <c r="AG33" s="281"/>
      <c r="AH33" s="281"/>
      <c r="AI33" s="281"/>
      <c r="AJ33" s="281"/>
      <c r="AK33" s="281"/>
      <c r="AL33" s="281"/>
      <c r="AM33" s="281"/>
      <c r="AN33" s="281"/>
      <c r="AO33" s="281"/>
      <c r="AP33" s="281"/>
      <c r="AQ33" s="281"/>
      <c r="AR33" s="281"/>
      <c r="AS33" s="281"/>
    </row>
    <row r="34" customFormat="false" ht="12.75" hidden="false" customHeight="true" outlineLevel="0" collapsed="false">
      <c r="A34" s="4"/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92"/>
      <c r="W34" s="159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</row>
    <row r="35" customFormat="false" ht="15.75" hidden="false" customHeight="true" outlineLevel="0" collapsed="false">
      <c r="A35" s="173" t="s">
        <v>195</v>
      </c>
      <c r="B35" s="312" t="n">
        <f aca="false">SUM(B30:B33)</f>
        <v>8380.57938349284</v>
      </c>
      <c r="C35" s="312" t="n">
        <f aca="false">SUM(C30:C33)</f>
        <v>9460.9353303653</v>
      </c>
      <c r="D35" s="312" t="n">
        <f aca="false">SUM(D30:D33)</f>
        <v>10685.7191388136</v>
      </c>
      <c r="E35" s="312" t="n">
        <f aca="false">SUM(E30:E33)</f>
        <v>12025.4861385591</v>
      </c>
      <c r="F35" s="312" t="n">
        <f aca="false">SUM(F30:F33)</f>
        <v>13491.7373226879</v>
      </c>
      <c r="G35" s="312" t="n">
        <f aca="false">SUM(G30:G33)</f>
        <v>13998.2615475403</v>
      </c>
      <c r="H35" s="312" t="n">
        <f aca="false">SUM(H30:H33)</f>
        <v>14568.3382004697</v>
      </c>
      <c r="I35" s="312" t="n">
        <f aca="false">SUM(I30:I33)</f>
        <v>15134.8538170436</v>
      </c>
      <c r="J35" s="312" t="n">
        <f aca="false">SUM(J30:J33)</f>
        <v>15749.4191334597</v>
      </c>
      <c r="K35" s="312" t="n">
        <f aca="false">SUM(K30:K33)</f>
        <v>16367.2165523393</v>
      </c>
      <c r="L35" s="312" t="n">
        <f aca="false">SUM(L30:L33)</f>
        <v>17180.9852561291</v>
      </c>
      <c r="M35" s="312" t="n">
        <f aca="false">SUM(M30:M33)</f>
        <v>18016.6940344281</v>
      </c>
      <c r="N35" s="312" t="n">
        <f aca="false">SUM(N30:N33)</f>
        <v>18697.1158680562</v>
      </c>
      <c r="O35" s="312" t="n">
        <f aca="false">SUM(O30:O33)</f>
        <v>19618.9349142783</v>
      </c>
      <c r="P35" s="312" t="n">
        <f aca="false">SUM(P30:P33)</f>
        <v>20314.071506711</v>
      </c>
      <c r="Q35" s="312" t="n">
        <f aca="false">SUM(Q30:Q33)</f>
        <v>21523.000092555</v>
      </c>
      <c r="R35" s="312" t="n">
        <f aca="false">SUM(R30:R33)</f>
        <v>22440.0610987054</v>
      </c>
      <c r="S35" s="312" t="n">
        <f aca="false">SUM(S30:S33)</f>
        <v>23402.1186354116</v>
      </c>
      <c r="T35" s="312" t="n">
        <f aca="false">SUM(T30:T33)</f>
        <v>24423.9250878629</v>
      </c>
      <c r="U35" s="312" t="n">
        <f aca="false">SUM(U30:U33)</f>
        <v>25510.567539627</v>
      </c>
      <c r="V35" s="313"/>
      <c r="W35" s="159" t="n">
        <f aca="false">SUM(B35:U35)</f>
        <v>340990.020598536</v>
      </c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</row>
    <row r="36" customFormat="false" ht="12.75" hidden="false" customHeight="true" outlineLevel="0" collapsed="false">
      <c r="A36" s="247"/>
      <c r="B36" s="167"/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</row>
    <row r="37" customFormat="false" ht="18" hidden="false" customHeight="true" outlineLevel="0" collapsed="false">
      <c r="A37" s="314" t="s">
        <v>196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</row>
    <row r="38" customFormat="false" ht="12.75" hidden="false" customHeight="true" outlineLevel="0" collapsed="false">
      <c r="A38" s="158"/>
      <c r="B38" s="167"/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</row>
    <row r="39" customFormat="false" ht="13.5" hidden="false" customHeight="true" outlineLevel="0" collapsed="false">
      <c r="A39" s="149" t="s">
        <v>100</v>
      </c>
      <c r="B39" s="150" t="n">
        <v>2001</v>
      </c>
      <c r="C39" s="150" t="n">
        <f aca="false">B39+1</f>
        <v>2002</v>
      </c>
      <c r="D39" s="150" t="n">
        <f aca="false">C39+1</f>
        <v>2003</v>
      </c>
      <c r="E39" s="150" t="n">
        <f aca="false">D39+1</f>
        <v>2004</v>
      </c>
      <c r="F39" s="150" t="n">
        <f aca="false">E39+1</f>
        <v>2005</v>
      </c>
      <c r="G39" s="150" t="n">
        <f aca="false">F39+1</f>
        <v>2006</v>
      </c>
      <c r="H39" s="150" t="n">
        <f aca="false">G39+1</f>
        <v>2007</v>
      </c>
      <c r="I39" s="150" t="n">
        <f aca="false">H39+1</f>
        <v>2008</v>
      </c>
      <c r="J39" s="150" t="n">
        <f aca="false">I39+1</f>
        <v>2009</v>
      </c>
      <c r="K39" s="150" t="n">
        <f aca="false">J39+1</f>
        <v>2010</v>
      </c>
      <c r="L39" s="150" t="n">
        <f aca="false">K39+1</f>
        <v>2011</v>
      </c>
      <c r="M39" s="150" t="n">
        <f aca="false">L39+1</f>
        <v>2012</v>
      </c>
      <c r="N39" s="150" t="n">
        <f aca="false">M39+1</f>
        <v>2013</v>
      </c>
      <c r="O39" s="150" t="n">
        <f aca="false">N39+1</f>
        <v>2014</v>
      </c>
      <c r="P39" s="150" t="n">
        <f aca="false">O39+1</f>
        <v>2015</v>
      </c>
      <c r="Q39" s="150" t="n">
        <f aca="false">P39+1</f>
        <v>2016</v>
      </c>
      <c r="R39" s="150" t="n">
        <f aca="false">Q39+1</f>
        <v>2017</v>
      </c>
      <c r="S39" s="150" t="n">
        <f aca="false">R39+1</f>
        <v>2018</v>
      </c>
      <c r="T39" s="150" t="n">
        <f aca="false">S39+1</f>
        <v>2019</v>
      </c>
      <c r="U39" s="150" t="n">
        <f aca="false">T39+1</f>
        <v>2020</v>
      </c>
      <c r="V39" s="92"/>
      <c r="W39" s="278" t="s">
        <v>122</v>
      </c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</row>
    <row r="40" customFormat="false" ht="12.75" hidden="false" customHeight="true" outlineLevel="0" collapsed="false">
      <c r="A40" s="243"/>
      <c r="B40" s="167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92"/>
      <c r="W40" s="163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</row>
    <row r="41" customFormat="false" ht="12.75" hidden="false" customHeight="true" outlineLevel="0" collapsed="false">
      <c r="A41" s="247" t="s">
        <v>112</v>
      </c>
      <c r="B41" s="248" t="n">
        <f aca="false">B22</f>
        <v>32888.0351733505</v>
      </c>
      <c r="C41" s="248" t="n">
        <f aca="false">C22</f>
        <v>34443.8873414358</v>
      </c>
      <c r="D41" s="248" t="n">
        <f aca="false">D22</f>
        <v>36169.450239163</v>
      </c>
      <c r="E41" s="167" t="n">
        <f aca="false">E22</f>
        <v>38073.6552686581</v>
      </c>
      <c r="F41" s="167" t="n">
        <f aca="false">F22</f>
        <v>40072.6989328002</v>
      </c>
      <c r="G41" s="167" t="n">
        <f aca="false">G22</f>
        <v>40487.8769567782</v>
      </c>
      <c r="H41" s="167" t="n">
        <f aca="false">H22</f>
        <v>40996.3823607659</v>
      </c>
      <c r="I41" s="167" t="n">
        <f aca="false">I22</f>
        <v>41509.9224211211</v>
      </c>
      <c r="J41" s="167" t="n">
        <f aca="false">J22</f>
        <v>42028.5240470846</v>
      </c>
      <c r="K41" s="167" t="n">
        <f aca="false">K22</f>
        <v>42552.2133633617</v>
      </c>
      <c r="L41" s="167" t="n">
        <f aca="false">L22</f>
        <v>43363.033499335</v>
      </c>
      <c r="M41" s="167" t="n">
        <f aca="false">M22</f>
        <v>44187.9439431126</v>
      </c>
      <c r="N41" s="167" t="n">
        <f aca="false">N22</f>
        <v>44673.9024809853</v>
      </c>
      <c r="O41" s="167" t="n">
        <f aca="false">O22</f>
        <v>45527.7151070755</v>
      </c>
      <c r="P41" s="167" t="n">
        <f aca="false">P22</f>
        <v>45954.7451938977</v>
      </c>
      <c r="Q41" s="167" t="n">
        <f aca="false">Q22</f>
        <v>47173.6169754979</v>
      </c>
      <c r="R41" s="167" t="n">
        <f aca="false">R22</f>
        <v>47813.3267880191</v>
      </c>
      <c r="S41" s="167" t="n">
        <f aca="false">S22</f>
        <v>48460.2750777169</v>
      </c>
      <c r="T41" s="167" t="n">
        <f aca="false">T22</f>
        <v>49114.5170416726</v>
      </c>
      <c r="U41" s="167" t="n">
        <f aca="false">U22</f>
        <v>49776.1072394408</v>
      </c>
      <c r="V41" s="92"/>
      <c r="W41" s="165" t="n">
        <f aca="false">SUM(B41:U41)</f>
        <v>855267.829451272</v>
      </c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</row>
    <row r="42" customFormat="false" ht="12.75" hidden="false" customHeight="true" outlineLevel="0" collapsed="false">
      <c r="A42" s="247" t="s">
        <v>145</v>
      </c>
      <c r="B42" s="248" t="n">
        <f aca="false">B18</f>
        <v>174.46</v>
      </c>
      <c r="C42" s="248" t="n">
        <f aca="false">C18</f>
        <v>348.92</v>
      </c>
      <c r="D42" s="248" t="n">
        <f aca="false">D18</f>
        <v>436.15</v>
      </c>
      <c r="E42" s="248" t="n">
        <f aca="false">E18</f>
        <v>436.15</v>
      </c>
      <c r="F42" s="248" t="n">
        <f aca="false">F18</f>
        <v>436.15</v>
      </c>
      <c r="G42" s="248" t="n">
        <f aca="false">G18</f>
        <v>523.38</v>
      </c>
      <c r="H42" s="248" t="n">
        <f aca="false">H18</f>
        <v>523.38</v>
      </c>
      <c r="I42" s="248" t="n">
        <f aca="false">I18</f>
        <v>523.38</v>
      </c>
      <c r="J42" s="248" t="n">
        <f aca="false">J18</f>
        <v>523.38</v>
      </c>
      <c r="K42" s="248" t="n">
        <f aca="false">K18</f>
        <v>523.38</v>
      </c>
      <c r="L42" s="248" t="n">
        <f aca="false">L18</f>
        <v>523.38</v>
      </c>
      <c r="M42" s="248" t="n">
        <f aca="false">M18</f>
        <v>523.38</v>
      </c>
      <c r="N42" s="248" t="n">
        <f aca="false">N18</f>
        <v>872.3</v>
      </c>
      <c r="O42" s="248" t="n">
        <f aca="false">O18</f>
        <v>872.3</v>
      </c>
      <c r="P42" s="248" t="n">
        <f aca="false">P18</f>
        <v>1308.45</v>
      </c>
      <c r="Q42" s="248" t="n">
        <f aca="false">Q18</f>
        <v>743.931045</v>
      </c>
      <c r="R42" s="248" t="n">
        <f aca="false">R18</f>
        <v>758.8096659</v>
      </c>
      <c r="S42" s="248" t="n">
        <f aca="false">S18</f>
        <v>773.985859218</v>
      </c>
      <c r="T42" s="248" t="n">
        <f aca="false">T18</f>
        <v>789.46557640236</v>
      </c>
      <c r="U42" s="248" t="n">
        <f aca="false">U18</f>
        <v>805.254887930407</v>
      </c>
      <c r="V42" s="92"/>
      <c r="W42" s="165" t="n">
        <f aca="false">SUM(B42:U42)</f>
        <v>12419.9870344508</v>
      </c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</row>
    <row r="43" customFormat="false" ht="12.75" hidden="false" customHeight="true" outlineLevel="0" collapsed="false">
      <c r="A43" s="247" t="s">
        <v>146</v>
      </c>
      <c r="B43" s="315" t="n">
        <v>-92.2251014</v>
      </c>
      <c r="C43" s="248" t="n">
        <f aca="false">-B42</f>
        <v>-174.46</v>
      </c>
      <c r="D43" s="248" t="n">
        <f aca="false">-C42</f>
        <v>-348.92</v>
      </c>
      <c r="E43" s="248" t="n">
        <f aca="false">-D42</f>
        <v>-436.15</v>
      </c>
      <c r="F43" s="248" t="n">
        <f aca="false">-E42</f>
        <v>-436.15</v>
      </c>
      <c r="G43" s="248" t="n">
        <f aca="false">-F42</f>
        <v>-436.15</v>
      </c>
      <c r="H43" s="248" t="n">
        <f aca="false">-G42</f>
        <v>-523.38</v>
      </c>
      <c r="I43" s="248" t="n">
        <f aca="false">-H42</f>
        <v>-523.38</v>
      </c>
      <c r="J43" s="248" t="n">
        <f aca="false">-I42</f>
        <v>-523.38</v>
      </c>
      <c r="K43" s="248" t="n">
        <f aca="false">-J42</f>
        <v>-523.38</v>
      </c>
      <c r="L43" s="248" t="n">
        <f aca="false">-K42</f>
        <v>-523.38</v>
      </c>
      <c r="M43" s="248" t="n">
        <f aca="false">-L42</f>
        <v>-523.38</v>
      </c>
      <c r="N43" s="248" t="n">
        <f aca="false">-M42</f>
        <v>-523.38</v>
      </c>
      <c r="O43" s="248" t="n">
        <f aca="false">-N42</f>
        <v>-872.3</v>
      </c>
      <c r="P43" s="248" t="n">
        <f aca="false">-O42</f>
        <v>-872.3</v>
      </c>
      <c r="Q43" s="248" t="n">
        <f aca="false">-P42</f>
        <v>-1308.45</v>
      </c>
      <c r="R43" s="248" t="n">
        <f aca="false">-Q42</f>
        <v>-743.931045</v>
      </c>
      <c r="S43" s="248" t="n">
        <f aca="false">-R42</f>
        <v>-758.8096659</v>
      </c>
      <c r="T43" s="248" t="n">
        <f aca="false">-S42</f>
        <v>-773.985859218</v>
      </c>
      <c r="U43" s="248" t="n">
        <f aca="false">-T42</f>
        <v>-789.46557640236</v>
      </c>
      <c r="V43" s="92"/>
      <c r="W43" s="165" t="n">
        <f aca="false">SUM(B43:U43)</f>
        <v>-11706.9572479204</v>
      </c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</row>
    <row r="44" customFormat="false" ht="12.75" hidden="false" customHeight="true" outlineLevel="0" collapsed="false">
      <c r="A44" s="247" t="s">
        <v>197</v>
      </c>
      <c r="B44" s="316" t="n">
        <f aca="false">-Debt!B77*Allocation!$E$6</f>
        <v>-14212.2049798905</v>
      </c>
      <c r="C44" s="316" t="n">
        <f aca="false">-Debt!C77*Allocation!$E$6</f>
        <v>-14289.4572700163</v>
      </c>
      <c r="D44" s="316" t="n">
        <f aca="false">-Debt!D77*Allocation!$E$6</f>
        <v>-14356.5436001072</v>
      </c>
      <c r="E44" s="316" t="n">
        <f aca="false">-Debt!E77*Allocation!$E$6</f>
        <v>-14505.9005652403</v>
      </c>
      <c r="F44" s="316" t="n">
        <f aca="false">-Debt!F77*Allocation!$E$6</f>
        <v>-14613.7128930822</v>
      </c>
      <c r="G44" s="316" t="n">
        <f aca="false">-Debt!G77*Allocation!$E$6</f>
        <v>-14284.6365495029</v>
      </c>
      <c r="H44" s="316" t="n">
        <f aca="false">-Debt!H77*Allocation!$E$6</f>
        <v>-13994.3137325508</v>
      </c>
      <c r="I44" s="316" t="n">
        <f aca="false">-Debt!I77*Allocation!$E$6</f>
        <v>-13750.1680252726</v>
      </c>
      <c r="J44" s="316" t="n">
        <f aca="false">-Debt!J77*Allocation!$E$6</f>
        <v>-13496.0084414813</v>
      </c>
      <c r="K44" s="316" t="n">
        <f aca="false">-Debt!K77*Allocation!$E$6</f>
        <v>-13284.0237831494</v>
      </c>
      <c r="L44" s="316" t="n">
        <f aca="false">-Debt!L77*Allocation!$E$6</f>
        <v>-13068.6510392241</v>
      </c>
      <c r="M44" s="316" t="n">
        <f aca="false">-Debt!M77*Allocation!$E$6</f>
        <v>-12894.8910098985</v>
      </c>
      <c r="N44" s="316" t="n">
        <f aca="false">-Debt!N77*Allocation!$E$6</f>
        <v>-12680.6233937825</v>
      </c>
      <c r="O44" s="316" t="n">
        <f aca="false">-Debt!O77*Allocation!$E$6</f>
        <v>-12512.9447451844</v>
      </c>
      <c r="P44" s="316" t="n">
        <f aca="false">-Debt!P77*Allocation!$E$6</f>
        <v>-12333.7781368559</v>
      </c>
      <c r="Q44" s="316" t="n">
        <f aca="false">-Debt!Q77*Allocation!$E$6</f>
        <v>-12223.6623309047</v>
      </c>
      <c r="R44" s="316" t="n">
        <f aca="false">-Debt!R77*Allocation!$E$6</f>
        <v>-12056.3651025219</v>
      </c>
      <c r="S44" s="316" t="n">
        <f aca="false">-Debt!S77*Allocation!$E$6</f>
        <v>-11911.246675473</v>
      </c>
      <c r="T44" s="316" t="n">
        <f aca="false">-Debt!T77*Allocation!$E$6</f>
        <v>-11778.981656954</v>
      </c>
      <c r="U44" s="316" t="n">
        <f aca="false">-Debt!U77*Allocation!$E$6</f>
        <v>-11651.2987741664</v>
      </c>
      <c r="V44" s="92"/>
      <c r="W44" s="165" t="n">
        <f aca="false">SUM(B44:U44)</f>
        <v>-263899.412705259</v>
      </c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</row>
    <row r="45" customFormat="false" ht="12.75" hidden="false" customHeight="true" outlineLevel="0" collapsed="false">
      <c r="A45" s="247"/>
      <c r="B45" s="317"/>
      <c r="C45" s="317"/>
      <c r="D45" s="317"/>
      <c r="E45" s="317"/>
      <c r="F45" s="317"/>
      <c r="G45" s="317"/>
      <c r="H45" s="317"/>
      <c r="I45" s="317"/>
      <c r="J45" s="317"/>
      <c r="K45" s="317"/>
      <c r="L45" s="317"/>
      <c r="M45" s="317"/>
      <c r="N45" s="317"/>
      <c r="O45" s="317"/>
      <c r="P45" s="317"/>
      <c r="Q45" s="317"/>
      <c r="R45" s="317"/>
      <c r="S45" s="317"/>
      <c r="T45" s="317"/>
      <c r="U45" s="317"/>
      <c r="V45" s="92"/>
      <c r="W45" s="240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</row>
    <row r="46" customFormat="false" ht="12.75" hidden="false" customHeight="true" outlineLevel="0" collapsed="false">
      <c r="A46" s="243" t="s">
        <v>198</v>
      </c>
      <c r="B46" s="318" t="n">
        <f aca="false">SUM(B41:B44)</f>
        <v>18758.0650920601</v>
      </c>
      <c r="C46" s="318" t="n">
        <f aca="false">SUM(C41:C44)</f>
        <v>20328.8900714195</v>
      </c>
      <c r="D46" s="318" t="n">
        <f aca="false">SUM(D41:D44)</f>
        <v>21900.1366390558</v>
      </c>
      <c r="E46" s="318" t="n">
        <f aca="false">SUM(E41:E44)</f>
        <v>23567.7547034178</v>
      </c>
      <c r="F46" s="318" t="n">
        <f aca="false">SUM(F41:F44)</f>
        <v>25458.9860397179</v>
      </c>
      <c r="G46" s="318" t="n">
        <f aca="false">SUM(G41:G44)</f>
        <v>26290.4704072753</v>
      </c>
      <c r="H46" s="318" t="n">
        <f aca="false">SUM(H41:H44)</f>
        <v>27002.068628215</v>
      </c>
      <c r="I46" s="318" t="n">
        <f aca="false">SUM(I41:I44)</f>
        <v>27759.7543958485</v>
      </c>
      <c r="J46" s="318" t="n">
        <f aca="false">SUM(J41:J44)</f>
        <v>28532.5156056033</v>
      </c>
      <c r="K46" s="318" t="n">
        <f aca="false">SUM(K41:K44)</f>
        <v>29268.1895802123</v>
      </c>
      <c r="L46" s="318" t="n">
        <f aca="false">SUM(L41:L44)</f>
        <v>30294.3824601109</v>
      </c>
      <c r="M46" s="318" t="n">
        <f aca="false">SUM(M41:M44)</f>
        <v>31293.0529332141</v>
      </c>
      <c r="N46" s="318" t="n">
        <f aca="false">SUM(N41:N44)</f>
        <v>32342.1990872028</v>
      </c>
      <c r="O46" s="318" t="n">
        <f aca="false">SUM(O41:O44)</f>
        <v>33014.7703618911</v>
      </c>
      <c r="P46" s="318" t="n">
        <f aca="false">SUM(P41:P44)</f>
        <v>34057.1170570418</v>
      </c>
      <c r="Q46" s="318" t="n">
        <f aca="false">SUM(Q41:Q44)</f>
        <v>34385.4356895932</v>
      </c>
      <c r="R46" s="318" t="n">
        <f aca="false">SUM(R41:R44)</f>
        <v>35771.8403063972</v>
      </c>
      <c r="S46" s="318" t="n">
        <f aca="false">SUM(S41:S44)</f>
        <v>36564.2045955619</v>
      </c>
      <c r="T46" s="318" t="n">
        <f aca="false">SUM(T41:T44)</f>
        <v>37351.0151019029</v>
      </c>
      <c r="U46" s="318" t="n">
        <f aca="false">SUM(U41:U44)</f>
        <v>38140.5977768024</v>
      </c>
      <c r="V46" s="281"/>
      <c r="W46" s="165" t="n">
        <f aca="false">SUM(B46:U46)</f>
        <v>592081.446532544</v>
      </c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</row>
    <row r="47" customFormat="false" ht="12.75" hidden="false" customHeight="true" outlineLevel="0" collapsed="false">
      <c r="A47" s="243"/>
      <c r="B47" s="248"/>
      <c r="C47" s="248"/>
      <c r="D47" s="248"/>
      <c r="E47" s="248"/>
      <c r="F47" s="248"/>
      <c r="G47" s="248"/>
      <c r="H47" s="248"/>
      <c r="I47" s="248"/>
      <c r="J47" s="248"/>
      <c r="K47" s="248"/>
      <c r="L47" s="248"/>
      <c r="M47" s="248"/>
      <c r="N47" s="248"/>
      <c r="O47" s="248"/>
      <c r="P47" s="248"/>
      <c r="Q47" s="248"/>
      <c r="R47" s="248"/>
      <c r="S47" s="248"/>
      <c r="T47" s="248"/>
      <c r="U47" s="248"/>
      <c r="V47" s="92"/>
      <c r="W47" s="240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</row>
    <row r="48" customFormat="false" ht="15" hidden="false" customHeight="true" outlineLevel="0" collapsed="false">
      <c r="A48" s="247" t="s">
        <v>199</v>
      </c>
      <c r="B48" s="317" t="n">
        <f aca="false">-B85</f>
        <v>-538.134445205764</v>
      </c>
      <c r="C48" s="317" t="n">
        <f aca="false">-C85</f>
        <v>-3.34470475967195</v>
      </c>
      <c r="D48" s="317" t="n">
        <f aca="false">-D85</f>
        <v>-258.915034672276</v>
      </c>
      <c r="E48" s="317" t="n">
        <f aca="false">-E85</f>
        <v>-511.534890981586</v>
      </c>
      <c r="F48" s="317" t="n">
        <f aca="false">-F85</f>
        <v>-765.182024514212</v>
      </c>
      <c r="G48" s="317" t="n">
        <f aca="false">-G85</f>
        <v>-914.615035049797</v>
      </c>
      <c r="H48" s="317" t="n">
        <f aca="false">-H85</f>
        <v>-1017.5942674212</v>
      </c>
      <c r="I48" s="317" t="n">
        <f aca="false">-I85</f>
        <v>-1071.80173699483</v>
      </c>
      <c r="J48" s="317" t="n">
        <f aca="false">-J85</f>
        <v>-1133.57602843495</v>
      </c>
      <c r="K48" s="317" t="n">
        <f aca="false">-K85</f>
        <v>-1192.81935420881</v>
      </c>
      <c r="L48" s="317" t="n">
        <f aca="false">-L85</f>
        <v>-1274.15535308333</v>
      </c>
      <c r="M48" s="317" t="n">
        <f aca="false">-M85</f>
        <v>-1354.79750302277</v>
      </c>
      <c r="N48" s="317" t="n">
        <f aca="false">-N85</f>
        <v>-1423.03888289614</v>
      </c>
      <c r="O48" s="317" t="n">
        <f aca="false">-O85</f>
        <v>-1512.13703295896</v>
      </c>
      <c r="P48" s="317" t="n">
        <f aca="false">-P85</f>
        <v>-1581.82339733032</v>
      </c>
      <c r="Q48" s="317" t="n">
        <f aca="false">-Q85</f>
        <v>-1700.5397887389</v>
      </c>
      <c r="R48" s="317" t="n">
        <f aca="false">-R85</f>
        <v>-2630.86021506645</v>
      </c>
      <c r="S48" s="317" t="n">
        <f aca="false">-S85</f>
        <v>-2725.33395025855</v>
      </c>
      <c r="T48" s="317" t="n">
        <f aca="false">-T85</f>
        <v>-2825.67500941907</v>
      </c>
      <c r="U48" s="317" t="n">
        <f aca="false">-U85</f>
        <v>-2932.38294248919</v>
      </c>
      <c r="V48" s="92"/>
      <c r="W48" s="165" t="n">
        <f aca="false">SUM(B48:U48)</f>
        <v>-27368.2615975068</v>
      </c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</row>
    <row r="49" customFormat="false" ht="12.75" hidden="false" customHeight="true" outlineLevel="0" collapsed="false">
      <c r="A49" s="247" t="s">
        <v>200</v>
      </c>
      <c r="B49" s="319" t="n">
        <f aca="false">-Allocation!$E$6*Tax!B24</f>
        <v>-2478.36249510699</v>
      </c>
      <c r="C49" s="319" t="n">
        <f aca="false">-Allocation!$E$6*Tax!C24</f>
        <v>-0</v>
      </c>
      <c r="D49" s="319" t="n">
        <f aca="false">-Allocation!$E$6*Tax!D24</f>
        <v>-185.944507142845</v>
      </c>
      <c r="E49" s="319" t="n">
        <f aca="false">-Allocation!$E$6*Tax!E24</f>
        <v>-2232.23690532433</v>
      </c>
      <c r="F49" s="319" t="n">
        <f aca="false">-Allocation!$E$6*Tax!F24</f>
        <v>-3586.83479824145</v>
      </c>
      <c r="G49" s="319" t="n">
        <f aca="false">-Allocation!$E$6*Tax!G24</f>
        <v>-4473.54427821411</v>
      </c>
      <c r="H49" s="319" t="n">
        <f aca="false">-Allocation!$E$6*Tax!H24</f>
        <v>-5089.39849262253</v>
      </c>
      <c r="I49" s="319" t="n">
        <f aca="false">-Allocation!$E$6*Tax!I24</f>
        <v>-5435.75698062573</v>
      </c>
      <c r="J49" s="319" t="n">
        <f aca="false">-Allocation!$E$6*Tax!J24</f>
        <v>-5836.29879791444</v>
      </c>
      <c r="K49" s="319" t="n">
        <f aca="false">-Allocation!$E$6*Tax!K24</f>
        <v>-6232.55186911373</v>
      </c>
      <c r="L49" s="319" t="n">
        <f aca="false">-Allocation!$E$6*Tax!L24</f>
        <v>-6629.51238263553</v>
      </c>
      <c r="M49" s="319" t="n">
        <f aca="false">-Allocation!$E$6*Tax!M24</f>
        <v>-7036.73771977989</v>
      </c>
      <c r="N49" s="319" t="n">
        <f aca="false">-Allocation!$E$6*Tax!N24</f>
        <v>-7455.99535635102</v>
      </c>
      <c r="O49" s="319" t="n">
        <f aca="false">-Allocation!$E$6*Tax!O24</f>
        <v>-7907.55095536908</v>
      </c>
      <c r="P49" s="319" t="n">
        <f aca="false">-Allocation!$E$6*Tax!P24</f>
        <v>-8352.9009058004</v>
      </c>
      <c r="Q49" s="319" t="n">
        <f aca="false">-Allocation!$E$6*Tax!Q24</f>
        <v>-8872.88643688004</v>
      </c>
      <c r="R49" s="319" t="n">
        <f aca="false">-Allocation!$E$6*Tax!R24</f>
        <v>-14157.1915769842</v>
      </c>
      <c r="S49" s="319" t="n">
        <f aca="false">-Allocation!$E$6*Tax!S24</f>
        <v>-14677.9990478104</v>
      </c>
      <c r="T49" s="319" t="n">
        <f aca="false">-Allocation!$E$6*Tax!T24</f>
        <v>-15231.0131010541</v>
      </c>
      <c r="U49" s="319" t="n">
        <f aca="false">-Allocation!$E$6*Tax!U24</f>
        <v>-15818.9518261502</v>
      </c>
      <c r="V49" s="92"/>
      <c r="W49" s="165" t="n">
        <f aca="false">SUM(B49:U49)</f>
        <v>-141691.668433121</v>
      </c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</row>
    <row r="50" customFormat="false" ht="12.75" hidden="false" customHeight="true" outlineLevel="0" collapsed="false">
      <c r="A50" s="247"/>
      <c r="B50" s="311"/>
      <c r="C50" s="311"/>
      <c r="D50" s="311"/>
      <c r="E50" s="311"/>
      <c r="F50" s="311"/>
      <c r="G50" s="311"/>
      <c r="H50" s="311"/>
      <c r="I50" s="311"/>
      <c r="J50" s="311"/>
      <c r="K50" s="311"/>
      <c r="L50" s="311"/>
      <c r="M50" s="311"/>
      <c r="N50" s="311"/>
      <c r="O50" s="311"/>
      <c r="P50" s="311"/>
      <c r="Q50" s="311"/>
      <c r="R50" s="311"/>
      <c r="S50" s="311"/>
      <c r="T50" s="311"/>
      <c r="U50" s="311"/>
      <c r="V50" s="92"/>
      <c r="W50" s="240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</row>
    <row r="51" customFormat="false" ht="15.75" hidden="false" customHeight="true" outlineLevel="0" collapsed="false">
      <c r="A51" s="320" t="s">
        <v>201</v>
      </c>
      <c r="B51" s="321" t="n">
        <f aca="false">B46+B49+B48</f>
        <v>15741.5681517473</v>
      </c>
      <c r="C51" s="321" t="n">
        <f aca="false">C46+C49+C48</f>
        <v>20325.5453666598</v>
      </c>
      <c r="D51" s="321" t="n">
        <f aca="false">D46+D49+D48</f>
        <v>21455.2770972407</v>
      </c>
      <c r="E51" s="321" t="n">
        <f aca="false">E46+E49+E48</f>
        <v>20823.9829071119</v>
      </c>
      <c r="F51" s="321" t="n">
        <f aca="false">F46+F49+F48</f>
        <v>21106.9692169623</v>
      </c>
      <c r="G51" s="321" t="n">
        <f aca="false">G46+G49+G48</f>
        <v>20902.3110940114</v>
      </c>
      <c r="H51" s="321" t="n">
        <f aca="false">H46+H49+H48</f>
        <v>20895.0758681713</v>
      </c>
      <c r="I51" s="321" t="n">
        <f aca="false">I46+I49+I48</f>
        <v>21252.195678228</v>
      </c>
      <c r="J51" s="321" t="n">
        <f aca="false">J46+J49+J48</f>
        <v>21562.6407792539</v>
      </c>
      <c r="K51" s="321" t="n">
        <f aca="false">K46+K49+K48</f>
        <v>21842.8183568898</v>
      </c>
      <c r="L51" s="321" t="n">
        <f aca="false">L46+L49+L48</f>
        <v>22390.7147243921</v>
      </c>
      <c r="M51" s="321" t="n">
        <f aca="false">M46+M49+M48</f>
        <v>22901.5177104115</v>
      </c>
      <c r="N51" s="321" t="n">
        <f aca="false">N46+N49+N48</f>
        <v>23463.1648479556</v>
      </c>
      <c r="O51" s="321" t="n">
        <f aca="false">O46+O49+O48</f>
        <v>23595.0823735631</v>
      </c>
      <c r="P51" s="321" t="n">
        <f aca="false">P46+P49+P48</f>
        <v>24122.3927539111</v>
      </c>
      <c r="Q51" s="321" t="n">
        <f aca="false">Q46+Q49+Q48</f>
        <v>23812.0094639742</v>
      </c>
      <c r="R51" s="321" t="n">
        <f aca="false">R46+R49+R48</f>
        <v>18983.7885143466</v>
      </c>
      <c r="S51" s="321" t="n">
        <f aca="false">S46+S49+S48</f>
        <v>19160.8715974929</v>
      </c>
      <c r="T51" s="321" t="n">
        <f aca="false">T46+T49+T48</f>
        <v>19294.3269914297</v>
      </c>
      <c r="U51" s="321" t="n">
        <f aca="false">U46+U49+U48</f>
        <v>19389.263008163</v>
      </c>
      <c r="V51" s="313"/>
      <c r="W51" s="165" t="n">
        <f aca="false">SUM(B51:U51)</f>
        <v>423021.516501916</v>
      </c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2"/>
    </row>
    <row r="52" customFormat="false" ht="12.75" hidden="false" customHeight="true" outlineLevel="0" collapsed="false">
      <c r="A52" s="230"/>
      <c r="B52" s="167"/>
      <c r="C52" s="167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</row>
    <row r="53" customFormat="false" ht="18" hidden="false" customHeight="true" outlineLevel="0" collapsed="false">
      <c r="A53" s="314" t="s">
        <v>202</v>
      </c>
      <c r="B53" s="261"/>
      <c r="C53" s="261"/>
      <c r="D53" s="261"/>
      <c r="E53" s="261"/>
      <c r="F53" s="261"/>
      <c r="G53" s="261"/>
      <c r="H53" s="261"/>
      <c r="I53" s="261"/>
      <c r="J53" s="261"/>
      <c r="K53" s="261"/>
      <c r="L53" s="261"/>
      <c r="M53" s="261"/>
      <c r="N53" s="261"/>
      <c r="O53" s="261"/>
      <c r="P53" s="261"/>
      <c r="Q53" s="261"/>
      <c r="R53" s="261"/>
      <c r="S53" s="261"/>
      <c r="T53" s="261"/>
      <c r="U53" s="261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</row>
    <row r="54" customFormat="false" ht="12.75" hidden="false" customHeight="true" outlineLevel="0" collapsed="false">
      <c r="A54" s="281"/>
      <c r="B54" s="282"/>
      <c r="C54" s="282"/>
      <c r="D54" s="282"/>
      <c r="E54" s="282"/>
      <c r="F54" s="282"/>
      <c r="G54" s="283"/>
      <c r="H54" s="282"/>
      <c r="I54" s="282"/>
      <c r="J54" s="282"/>
      <c r="K54" s="282"/>
      <c r="L54" s="282"/>
      <c r="M54" s="283"/>
      <c r="N54" s="282"/>
      <c r="O54" s="282"/>
      <c r="P54" s="282"/>
      <c r="Q54" s="282"/>
      <c r="R54" s="282"/>
      <c r="S54" s="283"/>
      <c r="T54" s="282"/>
      <c r="U54" s="28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92"/>
      <c r="AR54" s="92"/>
      <c r="AS54" s="92"/>
    </row>
    <row r="55" customFormat="false" ht="13.5" hidden="false" customHeight="true" outlineLevel="0" collapsed="false">
      <c r="A55" s="149" t="s">
        <v>100</v>
      </c>
      <c r="B55" s="150" t="n">
        <v>2001</v>
      </c>
      <c r="C55" s="150" t="n">
        <v>2002</v>
      </c>
      <c r="D55" s="150" t="n">
        <v>2003</v>
      </c>
      <c r="E55" s="150" t="n">
        <v>2004</v>
      </c>
      <c r="F55" s="150" t="n">
        <v>2005</v>
      </c>
      <c r="G55" s="150" t="n">
        <v>2006</v>
      </c>
      <c r="H55" s="150" t="n">
        <v>2007</v>
      </c>
      <c r="I55" s="150" t="n">
        <v>2008</v>
      </c>
      <c r="J55" s="150" t="n">
        <v>2009</v>
      </c>
      <c r="K55" s="150" t="n">
        <v>2010</v>
      </c>
      <c r="L55" s="150" t="n">
        <v>2011</v>
      </c>
      <c r="M55" s="150" t="n">
        <v>2012</v>
      </c>
      <c r="N55" s="150" t="n">
        <v>2013</v>
      </c>
      <c r="O55" s="150" t="n">
        <v>2014</v>
      </c>
      <c r="P55" s="150" t="n">
        <v>2015</v>
      </c>
      <c r="Q55" s="150" t="n">
        <v>2016</v>
      </c>
      <c r="R55" s="150" t="n">
        <v>2017</v>
      </c>
      <c r="S55" s="150" t="n">
        <v>2018</v>
      </c>
      <c r="T55" s="150" t="n">
        <v>2019</v>
      </c>
      <c r="U55" s="150" t="n">
        <v>2020</v>
      </c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  <c r="AS55" s="92"/>
    </row>
    <row r="56" customFormat="false" ht="12.75" hidden="false" customHeight="true" outlineLevel="0" collapsed="false">
      <c r="A56" s="237"/>
      <c r="B56" s="288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1"/>
      <c r="U56" s="151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92"/>
      <c r="AN56" s="92"/>
      <c r="AO56" s="92"/>
      <c r="AP56" s="92"/>
      <c r="AQ56" s="92"/>
      <c r="AR56" s="92"/>
      <c r="AS56" s="92"/>
    </row>
    <row r="57" customFormat="false" ht="12.75" hidden="false" customHeight="true" outlineLevel="0" collapsed="false">
      <c r="A57" s="289" t="s">
        <v>203</v>
      </c>
      <c r="B57" s="288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92"/>
      <c r="AM57" s="92"/>
      <c r="AN57" s="92"/>
      <c r="AO57" s="92"/>
      <c r="AP57" s="92"/>
      <c r="AQ57" s="92"/>
      <c r="AR57" s="92"/>
      <c r="AS57" s="92"/>
    </row>
    <row r="58" customFormat="false" ht="12.75" hidden="false" customHeight="true" outlineLevel="0" collapsed="false">
      <c r="A58" s="237"/>
      <c r="B58" s="288"/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  <c r="R58" s="151"/>
      <c r="S58" s="151"/>
      <c r="T58" s="151"/>
      <c r="U58" s="151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/>
      <c r="AS58" s="92"/>
    </row>
    <row r="59" customFormat="false" ht="12.75" hidden="false" customHeight="true" outlineLevel="0" collapsed="false">
      <c r="A59" s="281" t="s">
        <v>204</v>
      </c>
      <c r="B59" s="259" t="n">
        <f aca="false">Depreciation!C14</f>
        <v>230242.196507342</v>
      </c>
      <c r="C59" s="259" t="n">
        <f aca="false">Depreciation!D14</f>
        <v>223121.303831857</v>
      </c>
      <c r="D59" s="259" t="n">
        <f aca="false">Depreciation!E14</f>
        <v>216000.411156372</v>
      </c>
      <c r="E59" s="259" t="n">
        <f aca="false">Depreciation!F14</f>
        <v>208879.518480888</v>
      </c>
      <c r="F59" s="259" t="n">
        <f aca="false">Depreciation!G14</f>
        <v>201758.625805403</v>
      </c>
      <c r="G59" s="259" t="n">
        <f aca="false">Depreciation!H14</f>
        <v>194637.733129918</v>
      </c>
      <c r="H59" s="259" t="n">
        <f aca="false">Depreciation!I14</f>
        <v>187516.840454433</v>
      </c>
      <c r="I59" s="259" t="n">
        <f aca="false">Depreciation!J14</f>
        <v>180395.947778948</v>
      </c>
      <c r="J59" s="259" t="n">
        <f aca="false">Depreciation!K14</f>
        <v>173275.055103464</v>
      </c>
      <c r="K59" s="259" t="n">
        <f aca="false">Depreciation!L14</f>
        <v>166154.162427979</v>
      </c>
      <c r="L59" s="259" t="n">
        <f aca="false">Depreciation!M14</f>
        <v>159033.269752494</v>
      </c>
      <c r="M59" s="259" t="n">
        <f aca="false">Depreciation!N14</f>
        <v>151912.377077009</v>
      </c>
      <c r="N59" s="259" t="n">
        <f aca="false">Depreciation!O14</f>
        <v>144791.484401524</v>
      </c>
      <c r="O59" s="259" t="n">
        <f aca="false">Depreciation!P14</f>
        <v>137670.591726039</v>
      </c>
      <c r="P59" s="259" t="n">
        <f aca="false">Depreciation!Q14</f>
        <v>130549.699050555</v>
      </c>
      <c r="Q59" s="259" t="n">
        <f aca="false">Depreciation!R14</f>
        <v>123428.80637507</v>
      </c>
      <c r="R59" s="259" t="n">
        <f aca="false">Depreciation!S14</f>
        <v>116307.913699585</v>
      </c>
      <c r="S59" s="259" t="n">
        <f aca="false">Depreciation!T14</f>
        <v>109187.0210241</v>
      </c>
      <c r="T59" s="259" t="n">
        <f aca="false">Depreciation!U14</f>
        <v>102066.128348615</v>
      </c>
      <c r="U59" s="259" t="n">
        <f aca="false">Depreciation!V14</f>
        <v>94945.2356731306</v>
      </c>
      <c r="V59" s="92"/>
      <c r="W59" s="322" t="n">
        <f aca="false">SUM(B59:U59)</f>
        <v>3251874.32180473</v>
      </c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92"/>
      <c r="AO59" s="92"/>
      <c r="AP59" s="92"/>
      <c r="AQ59" s="92"/>
      <c r="AR59" s="92"/>
      <c r="AS59" s="92"/>
    </row>
    <row r="60" customFormat="false" ht="12.75" hidden="false" customHeight="true" outlineLevel="0" collapsed="false">
      <c r="A60" s="92" t="s">
        <v>205</v>
      </c>
      <c r="B60" s="259" t="n">
        <f aca="false">Allocation!$C$6*'Summary Output'!$C$7</f>
        <v>132460.835169542</v>
      </c>
      <c r="C60" s="259" t="n">
        <f aca="false">Allocation!$C$6*'Summary Output'!$C$7</f>
        <v>132460.835169542</v>
      </c>
      <c r="D60" s="259" t="n">
        <f aca="false">Allocation!$C$6*'Summary Output'!$C$7</f>
        <v>132460.835169542</v>
      </c>
      <c r="E60" s="259" t="n">
        <f aca="false">Allocation!$C$6*'Summary Output'!$C$7</f>
        <v>132460.835169542</v>
      </c>
      <c r="F60" s="259" t="n">
        <f aca="false">Allocation!$C$6*'Summary Output'!$C$7</f>
        <v>132460.835169542</v>
      </c>
      <c r="G60" s="259" t="n">
        <f aca="false">Allocation!$C$6*'Summary Output'!$C$7</f>
        <v>132460.835169542</v>
      </c>
      <c r="H60" s="259" t="n">
        <f aca="false">Allocation!$C$6*'Summary Output'!$C$7</f>
        <v>132460.835169542</v>
      </c>
      <c r="I60" s="259" t="n">
        <f aca="false">Allocation!$C$6*'Summary Output'!$C$7</f>
        <v>132460.835169542</v>
      </c>
      <c r="J60" s="259" t="n">
        <f aca="false">Allocation!$C$6*'Summary Output'!$C$7</f>
        <v>132460.835169542</v>
      </c>
      <c r="K60" s="259" t="n">
        <f aca="false">Allocation!$C$6*'Summary Output'!$C$7</f>
        <v>132460.835169542</v>
      </c>
      <c r="L60" s="259" t="n">
        <f aca="false">Allocation!$C$6*'Summary Output'!$C$7</f>
        <v>132460.835169542</v>
      </c>
      <c r="M60" s="259" t="n">
        <f aca="false">Allocation!$C$6*'Summary Output'!$C$7</f>
        <v>132460.835169542</v>
      </c>
      <c r="N60" s="259" t="n">
        <f aca="false">Allocation!$C$6*'Summary Output'!$C$7</f>
        <v>132460.835169542</v>
      </c>
      <c r="O60" s="259" t="n">
        <f aca="false">Allocation!$C$6*'Summary Output'!$C$7</f>
        <v>132460.835169542</v>
      </c>
      <c r="P60" s="259" t="n">
        <f aca="false">Allocation!$C$6*'Summary Output'!$C$7</f>
        <v>132460.835169542</v>
      </c>
      <c r="Q60" s="259" t="n">
        <f aca="false">Allocation!$C$6*'Summary Output'!$C$7</f>
        <v>132460.835169542</v>
      </c>
      <c r="R60" s="259" t="n">
        <f aca="false">Allocation!$C$6*'Summary Output'!$C$7</f>
        <v>132460.835169542</v>
      </c>
      <c r="S60" s="259" t="n">
        <f aca="false">Allocation!$C$6*'Summary Output'!$C$7</f>
        <v>132460.835169542</v>
      </c>
      <c r="T60" s="259" t="n">
        <f aca="false">Allocation!$C$6*'Summary Output'!$C$7</f>
        <v>132460.835169542</v>
      </c>
      <c r="U60" s="259" t="n">
        <f aca="false">Allocation!$C$6*'Summary Output'!$C$7</f>
        <v>132460.835169542</v>
      </c>
      <c r="V60" s="92"/>
      <c r="W60" s="322" t="n">
        <f aca="false">SUM(B60:U60)</f>
        <v>2649216.70339084</v>
      </c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92"/>
      <c r="AO60" s="92"/>
      <c r="AP60" s="92"/>
      <c r="AQ60" s="92"/>
      <c r="AR60" s="92"/>
      <c r="AS60" s="92"/>
    </row>
    <row r="61" customFormat="false" ht="12.75" hidden="false" customHeight="true" outlineLevel="0" collapsed="false">
      <c r="A61" s="323" t="s">
        <v>206</v>
      </c>
      <c r="B61" s="324" t="n">
        <f aca="false">B35-B51</f>
        <v>-7360.9887682545</v>
      </c>
      <c r="C61" s="324" t="n">
        <f aca="false">C35-C51+B61</f>
        <v>-18225.598804549</v>
      </c>
      <c r="D61" s="324" t="n">
        <f aca="false">D35-D51+C61</f>
        <v>-28995.1567629762</v>
      </c>
      <c r="E61" s="324" t="n">
        <f aca="false">E35-E51+D61</f>
        <v>-37793.653531529</v>
      </c>
      <c r="F61" s="324" t="n">
        <f aca="false">F35-F51+E61</f>
        <v>-45408.8854258034</v>
      </c>
      <c r="G61" s="324" t="n">
        <f aca="false">G35-G51+F61</f>
        <v>-52312.9349722745</v>
      </c>
      <c r="H61" s="324" t="n">
        <f aca="false">H35-H51+G61</f>
        <v>-58639.6726399761</v>
      </c>
      <c r="I61" s="324" t="n">
        <f aca="false">I35-I51+H61</f>
        <v>-64757.0145011605</v>
      </c>
      <c r="J61" s="324" t="n">
        <f aca="false">J35-J51+I61</f>
        <v>-70570.2361469546</v>
      </c>
      <c r="K61" s="324" t="n">
        <f aca="false">K35-K51+J61</f>
        <v>-76045.8379515051</v>
      </c>
      <c r="L61" s="324" t="n">
        <f aca="false">L35-L51+K61</f>
        <v>-81255.5674197681</v>
      </c>
      <c r="M61" s="324" t="n">
        <f aca="false">M35-M51+L61</f>
        <v>-86140.3910957515</v>
      </c>
      <c r="N61" s="324" t="n">
        <f aca="false">N35-N51+M61</f>
        <v>-90906.4400756509</v>
      </c>
      <c r="O61" s="324" t="n">
        <f aca="false">O35-O51+N61</f>
        <v>-94882.5875349356</v>
      </c>
      <c r="P61" s="324" t="n">
        <f aca="false">P35-P51+O61</f>
        <v>-98690.9087821357</v>
      </c>
      <c r="Q61" s="324" t="n">
        <f aca="false">Q35-Q51+P61</f>
        <v>-100979.918153555</v>
      </c>
      <c r="R61" s="324" t="n">
        <f aca="false">R35-R51+Q61</f>
        <v>-97523.6455691961</v>
      </c>
      <c r="S61" s="324" t="n">
        <f aca="false">S35-S51+R61</f>
        <v>-93282.3985312774</v>
      </c>
      <c r="T61" s="324" t="n">
        <f aca="false">T35-T51+S61</f>
        <v>-88152.8004348442</v>
      </c>
      <c r="U61" s="324" t="n">
        <f aca="false">U35-U51+T61</f>
        <v>-82031.4959033801</v>
      </c>
      <c r="V61" s="92"/>
      <c r="W61" s="322" t="n">
        <f aca="false">SUM(B61:U61)</f>
        <v>-1373956.13300548</v>
      </c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2"/>
      <c r="AK61" s="92"/>
      <c r="AL61" s="92"/>
      <c r="AM61" s="92"/>
      <c r="AN61" s="92"/>
      <c r="AO61" s="92"/>
      <c r="AP61" s="92"/>
      <c r="AQ61" s="92"/>
      <c r="AR61" s="92"/>
      <c r="AS61" s="92"/>
    </row>
    <row r="62" customFormat="false" ht="12.75" hidden="false" customHeight="true" outlineLevel="0" collapsed="false">
      <c r="A62" s="323" t="s">
        <v>207</v>
      </c>
      <c r="B62" s="325" t="n">
        <f aca="false">Debt!B73*Allocation!$E$6</f>
        <v>106973.345173709</v>
      </c>
      <c r="C62" s="325" t="n">
        <f aca="false">Debt!C73*Allocation!$E$6</f>
        <v>104522.536693432</v>
      </c>
      <c r="D62" s="325" t="n">
        <f aca="false">Debt!D73*Allocation!$E$6</f>
        <v>101725.648629485</v>
      </c>
      <c r="E62" s="325" t="n">
        <f aca="false">Debt!E73*Allocation!$E$6</f>
        <v>98490.8639494652</v>
      </c>
      <c r="F62" s="325" t="n">
        <f aca="false">Debt!F73*Allocation!$E$6</f>
        <v>94747.5541669097</v>
      </c>
      <c r="G62" s="325" t="n">
        <f aca="false">Debt!G73*Allocation!$E$6</f>
        <v>90919.4902005983</v>
      </c>
      <c r="H62" s="325" t="n">
        <f aca="false">Debt!H73*Allocation!$E$6</f>
        <v>86957.2321100065</v>
      </c>
      <c r="I62" s="325" t="n">
        <f aca="false">Debt!I73*Allocation!$E$6</f>
        <v>82825.4656519028</v>
      </c>
      <c r="J62" s="325" t="n">
        <f aca="false">Debt!J73*Allocation!$E$6</f>
        <v>78460.6251884702</v>
      </c>
      <c r="K62" s="325" t="n">
        <f aca="false">Debt!K73*Allocation!$E$6</f>
        <v>73820.3336278306</v>
      </c>
      <c r="L62" s="325" t="n">
        <f aca="false">Debt!L73*Allocation!$E$6</f>
        <v>68874.371274766</v>
      </c>
      <c r="M62" s="325" t="n">
        <f aca="false">Debt!M73*Allocation!$E$6</f>
        <v>63559.3072535622</v>
      </c>
      <c r="N62" s="325" t="n">
        <f aca="false">Debt!N73*Allocation!$E$6</f>
        <v>57830.8493640425</v>
      </c>
      <c r="O62" s="325" t="n">
        <f aca="false">Debt!O73*Allocation!$E$6</f>
        <v>51615.1772725792</v>
      </c>
      <c r="P62" s="325" t="n">
        <f aca="false">Debt!P73*Allocation!$E$6</f>
        <v>44867.9987789955</v>
      </c>
      <c r="Q62" s="325" t="n">
        <f aca="false">Debt!Q73*Allocation!$E$6</f>
        <v>37471.2013494868</v>
      </c>
      <c r="R62" s="325" t="n">
        <f aca="false">Debt!R73*Allocation!$E$6</f>
        <v>29380.4927838766</v>
      </c>
      <c r="S62" s="325" t="n">
        <f aca="false">Debt!S73*Allocation!$E$6</f>
        <v>20507.2886818114</v>
      </c>
      <c r="T62" s="325" t="n">
        <f aca="false">Debt!T73*Allocation!$E$6</f>
        <v>10748.2405762122</v>
      </c>
      <c r="U62" s="325" t="n">
        <f aca="false">Debt!U73*Allocation!$E$6</f>
        <v>1.0055503806406E-011</v>
      </c>
      <c r="V62" s="92"/>
      <c r="W62" s="322" t="n">
        <f aca="false">SUM(B62:U62)</f>
        <v>1304298.02272714</v>
      </c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  <c r="AM62" s="92"/>
      <c r="AN62" s="92"/>
      <c r="AO62" s="92"/>
      <c r="AP62" s="92"/>
      <c r="AQ62" s="92"/>
      <c r="AR62" s="92"/>
      <c r="AS62" s="92"/>
    </row>
    <row r="63" customFormat="false" ht="12.75" hidden="false" customHeight="true" outlineLevel="0" collapsed="false">
      <c r="A63" s="281" t="s">
        <v>208</v>
      </c>
      <c r="B63" s="326" t="n">
        <f aca="false">SUM(B60:B62)</f>
        <v>232073.191574996</v>
      </c>
      <c r="C63" s="326" t="n">
        <f aca="false">SUM(C60:C62)</f>
        <v>218757.773058425</v>
      </c>
      <c r="D63" s="326" t="n">
        <f aca="false">SUM(D60:D62)</f>
        <v>205191.327036051</v>
      </c>
      <c r="E63" s="326" t="n">
        <f aca="false">SUM(E60:E62)</f>
        <v>193158.045587478</v>
      </c>
      <c r="F63" s="326" t="n">
        <f aca="false">SUM(F60:F62)</f>
        <v>181799.503910648</v>
      </c>
      <c r="G63" s="326" t="n">
        <f aca="false">SUM(G60:G62)</f>
        <v>171067.390397866</v>
      </c>
      <c r="H63" s="326" t="n">
        <f aca="false">SUM(H60:H62)</f>
        <v>160778.394639572</v>
      </c>
      <c r="I63" s="326" t="n">
        <f aca="false">SUM(I60:I62)</f>
        <v>150529.286320284</v>
      </c>
      <c r="J63" s="326" t="n">
        <f aca="false">SUM(J60:J62)</f>
        <v>140351.224211057</v>
      </c>
      <c r="K63" s="326" t="n">
        <f aca="false">SUM(K60:K62)</f>
        <v>130235.330845867</v>
      </c>
      <c r="L63" s="326" t="n">
        <f aca="false">SUM(L60:L62)</f>
        <v>120079.63902454</v>
      </c>
      <c r="M63" s="326" t="n">
        <f aca="false">SUM(M60:M62)</f>
        <v>109879.751327353</v>
      </c>
      <c r="N63" s="326" t="n">
        <f aca="false">SUM(N60:N62)</f>
        <v>99385.2444579335</v>
      </c>
      <c r="O63" s="326" t="n">
        <f aca="false">SUM(O60:O62)</f>
        <v>89193.4249071855</v>
      </c>
      <c r="P63" s="326" t="n">
        <f aca="false">SUM(P60:P62)</f>
        <v>78637.9251664016</v>
      </c>
      <c r="Q63" s="326" t="n">
        <f aca="false">SUM(Q60:Q62)</f>
        <v>68952.1183654738</v>
      </c>
      <c r="R63" s="326" t="n">
        <f aca="false">SUM(R60:R62)</f>
        <v>64317.6823842224</v>
      </c>
      <c r="S63" s="326" t="n">
        <f aca="false">SUM(S60:S62)</f>
        <v>59685.7253200759</v>
      </c>
      <c r="T63" s="326" t="n">
        <f aca="false">SUM(T60:T62)</f>
        <v>55056.2753109099</v>
      </c>
      <c r="U63" s="326" t="n">
        <f aca="false">SUM(U60:U62)</f>
        <v>50429.3392661617</v>
      </c>
      <c r="V63" s="92"/>
      <c r="W63" s="322" t="n">
        <f aca="false">SUM(B63:U63)</f>
        <v>2579558.5931125</v>
      </c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92"/>
      <c r="AO63" s="92"/>
      <c r="AP63" s="92"/>
      <c r="AQ63" s="92"/>
      <c r="AR63" s="92"/>
      <c r="AS63" s="92"/>
    </row>
    <row r="64" customFormat="false" ht="12.75" hidden="false" customHeight="true" outlineLevel="0" collapsed="false">
      <c r="A64" s="237"/>
      <c r="B64" s="326"/>
      <c r="C64" s="326"/>
      <c r="D64" s="326"/>
      <c r="E64" s="326"/>
      <c r="F64" s="326"/>
      <c r="G64" s="326"/>
      <c r="H64" s="326"/>
      <c r="I64" s="326"/>
      <c r="J64" s="326"/>
      <c r="K64" s="326"/>
      <c r="L64" s="326"/>
      <c r="M64" s="326"/>
      <c r="N64" s="326"/>
      <c r="O64" s="326"/>
      <c r="P64" s="326"/>
      <c r="Q64" s="326"/>
      <c r="R64" s="326"/>
      <c r="S64" s="326"/>
      <c r="T64" s="326"/>
      <c r="U64" s="326"/>
      <c r="V64" s="92"/>
      <c r="W64" s="32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2"/>
      <c r="AK64" s="92"/>
      <c r="AL64" s="92"/>
      <c r="AM64" s="92"/>
      <c r="AN64" s="92"/>
      <c r="AO64" s="92"/>
      <c r="AP64" s="92"/>
      <c r="AQ64" s="92"/>
      <c r="AR64" s="92"/>
      <c r="AS64" s="92"/>
    </row>
    <row r="65" customFormat="false" ht="12.75" hidden="false" customHeight="true" outlineLevel="0" collapsed="false">
      <c r="A65" s="281" t="s">
        <v>209</v>
      </c>
      <c r="B65" s="326" t="n">
        <f aca="false">MAX(B63,B59)</f>
        <v>232073.191574996</v>
      </c>
      <c r="C65" s="326" t="n">
        <f aca="false">MAX(C63,C59)</f>
        <v>223121.303831857</v>
      </c>
      <c r="D65" s="326" t="n">
        <f aca="false">MAX(D63,D59)</f>
        <v>216000.411156372</v>
      </c>
      <c r="E65" s="326" t="n">
        <f aca="false">MAX(E63,E59)</f>
        <v>208879.518480888</v>
      </c>
      <c r="F65" s="326" t="n">
        <f aca="false">MAX(F63,F59)</f>
        <v>201758.625805403</v>
      </c>
      <c r="G65" s="326" t="n">
        <f aca="false">MAX(G63,G59)</f>
        <v>194637.733129918</v>
      </c>
      <c r="H65" s="326" t="n">
        <f aca="false">MAX(H63,H59)</f>
        <v>187516.840454433</v>
      </c>
      <c r="I65" s="326" t="n">
        <f aca="false">MAX(I63,I59)</f>
        <v>180395.947778948</v>
      </c>
      <c r="J65" s="326" t="n">
        <f aca="false">MAX(J63,J59)</f>
        <v>173275.055103464</v>
      </c>
      <c r="K65" s="326" t="n">
        <f aca="false">MAX(K63,K59)</f>
        <v>166154.162427979</v>
      </c>
      <c r="L65" s="326" t="n">
        <f aca="false">MAX(L63,L59)</f>
        <v>159033.269752494</v>
      </c>
      <c r="M65" s="326" t="n">
        <f aca="false">MAX(M63,M59)</f>
        <v>151912.377077009</v>
      </c>
      <c r="N65" s="326" t="n">
        <f aca="false">MAX(N63,N59)</f>
        <v>144791.484401524</v>
      </c>
      <c r="O65" s="326" t="n">
        <f aca="false">MAX(O63,O59)</f>
        <v>137670.591726039</v>
      </c>
      <c r="P65" s="326" t="n">
        <f aca="false">MAX(P63,P59)</f>
        <v>130549.699050555</v>
      </c>
      <c r="Q65" s="326" t="n">
        <f aca="false">MAX(Q63,Q59)</f>
        <v>123428.80637507</v>
      </c>
      <c r="R65" s="326" t="n">
        <f aca="false">MAX(R63,R59)</f>
        <v>116307.913699585</v>
      </c>
      <c r="S65" s="326" t="n">
        <f aca="false">MAX(S63,S59)</f>
        <v>109187.0210241</v>
      </c>
      <c r="T65" s="326" t="n">
        <f aca="false">MAX(T63,T59)</f>
        <v>102066.128348615</v>
      </c>
      <c r="U65" s="326" t="n">
        <f aca="false">MAX(U63,U59)</f>
        <v>94945.2356731306</v>
      </c>
      <c r="V65" s="92"/>
      <c r="W65" s="322" t="n">
        <f aca="false">SUM(B65:U65)</f>
        <v>3253705.31687238</v>
      </c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2"/>
      <c r="AK65" s="92"/>
      <c r="AL65" s="92"/>
      <c r="AM65" s="92"/>
      <c r="AN65" s="92"/>
      <c r="AO65" s="92"/>
      <c r="AP65" s="92"/>
      <c r="AQ65" s="92"/>
      <c r="AR65" s="92"/>
      <c r="AS65" s="92"/>
    </row>
    <row r="66" customFormat="false" ht="12.75" hidden="false" customHeight="true" outlineLevel="0" collapsed="false">
      <c r="A66" s="323" t="s">
        <v>210</v>
      </c>
      <c r="B66" s="327" t="n">
        <f aca="false">Assumptions!$C$40</f>
        <v>0.0025</v>
      </c>
      <c r="C66" s="327" t="n">
        <f aca="false">Assumptions!$C$41</f>
        <v>0.0025</v>
      </c>
      <c r="D66" s="327" t="n">
        <f aca="false">Assumptions!$C$41</f>
        <v>0.0025</v>
      </c>
      <c r="E66" s="327" t="n">
        <f aca="false">Assumptions!$C$41</f>
        <v>0.0025</v>
      </c>
      <c r="F66" s="327" t="n">
        <f aca="false">Assumptions!$C$41</f>
        <v>0.0025</v>
      </c>
      <c r="G66" s="327" t="n">
        <f aca="false">Assumptions!$C$41</f>
        <v>0.0025</v>
      </c>
      <c r="H66" s="327" t="n">
        <f aca="false">Assumptions!$C$41</f>
        <v>0.0025</v>
      </c>
      <c r="I66" s="327" t="n">
        <f aca="false">Assumptions!$C$41</f>
        <v>0.0025</v>
      </c>
      <c r="J66" s="327" t="n">
        <f aca="false">Assumptions!$C$41</f>
        <v>0.0025</v>
      </c>
      <c r="K66" s="327" t="n">
        <f aca="false">Assumptions!$C$41</f>
        <v>0.0025</v>
      </c>
      <c r="L66" s="327" t="n">
        <f aca="false">Assumptions!$C$41</f>
        <v>0.0025</v>
      </c>
      <c r="M66" s="327" t="n">
        <f aca="false">Assumptions!$C$41</f>
        <v>0.0025</v>
      </c>
      <c r="N66" s="327" t="n">
        <f aca="false">Assumptions!$C$41</f>
        <v>0.0025</v>
      </c>
      <c r="O66" s="327" t="n">
        <f aca="false">Assumptions!$C$41</f>
        <v>0.0025</v>
      </c>
      <c r="P66" s="327" t="n">
        <f aca="false">Assumptions!$C$41</f>
        <v>0.0025</v>
      </c>
      <c r="Q66" s="327" t="n">
        <f aca="false">Assumptions!$C$41</f>
        <v>0.0025</v>
      </c>
      <c r="R66" s="327" t="n">
        <f aca="false">Assumptions!$C$41</f>
        <v>0.0025</v>
      </c>
      <c r="S66" s="327" t="n">
        <f aca="false">Assumptions!$C$41</f>
        <v>0.0025</v>
      </c>
      <c r="T66" s="327" t="n">
        <f aca="false">Assumptions!$C$41</f>
        <v>0.0025</v>
      </c>
      <c r="U66" s="327" t="n">
        <f aca="false">Assumptions!$C$41</f>
        <v>0.0025</v>
      </c>
      <c r="V66" s="92"/>
      <c r="W66" s="322"/>
      <c r="X66" s="92"/>
      <c r="Y66" s="92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92"/>
      <c r="AL66" s="92"/>
      <c r="AM66" s="92"/>
      <c r="AN66" s="92"/>
      <c r="AO66" s="92"/>
      <c r="AP66" s="92"/>
      <c r="AQ66" s="92"/>
      <c r="AR66" s="92"/>
      <c r="AS66" s="92"/>
    </row>
    <row r="67" customFormat="false" ht="12.75" hidden="false" customHeight="true" outlineLevel="0" collapsed="false">
      <c r="A67" s="237" t="s">
        <v>211</v>
      </c>
      <c r="B67" s="328" t="n">
        <v>580.176213018036</v>
      </c>
      <c r="C67" s="328" t="n">
        <v>557.802186382691</v>
      </c>
      <c r="D67" s="328" t="n">
        <v>539.999988944946</v>
      </c>
      <c r="E67" s="328" t="n">
        <v>522.1977915072</v>
      </c>
      <c r="F67" s="328" t="n">
        <v>504.395594069455</v>
      </c>
      <c r="G67" s="328" t="n">
        <v>486.593396631709</v>
      </c>
      <c r="H67" s="328" t="n">
        <v>468.791199193964</v>
      </c>
      <c r="I67" s="328" t="n">
        <v>450.989001756218</v>
      </c>
      <c r="J67" s="328" t="n">
        <v>433.186804318473</v>
      </c>
      <c r="K67" s="328" t="n">
        <v>415.384606880727</v>
      </c>
      <c r="L67" s="328" t="n">
        <v>397.582409442982</v>
      </c>
      <c r="M67" s="328" t="n">
        <v>379.780212005237</v>
      </c>
      <c r="N67" s="328" t="n">
        <v>361.978014567491</v>
      </c>
      <c r="O67" s="328" t="n">
        <v>344.175817129746</v>
      </c>
      <c r="P67" s="328" t="n">
        <v>326.373619692</v>
      </c>
      <c r="Q67" s="328" t="n">
        <v>308.571422254255</v>
      </c>
      <c r="R67" s="328" t="n">
        <v>290.769224816509</v>
      </c>
      <c r="S67" s="328" t="n">
        <v>272.967027378764</v>
      </c>
      <c r="T67" s="328" t="n">
        <v>255.164829941018</v>
      </c>
      <c r="U67" s="328" t="n">
        <v>237.362632503273</v>
      </c>
      <c r="V67" s="92"/>
      <c r="W67" s="322" t="n">
        <f aca="false">SUM(B67:U67)</f>
        <v>8134.24199243469</v>
      </c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  <c r="AJ67" s="92"/>
      <c r="AK67" s="92"/>
      <c r="AL67" s="92"/>
      <c r="AM67" s="92"/>
      <c r="AN67" s="92"/>
      <c r="AO67" s="92"/>
      <c r="AP67" s="92"/>
      <c r="AQ67" s="92"/>
      <c r="AR67" s="92"/>
      <c r="AS67" s="92"/>
    </row>
    <row r="68" customFormat="false" ht="12.75" hidden="false" customHeight="true" outlineLevel="0" collapsed="false">
      <c r="A68" s="237"/>
      <c r="B68" s="288"/>
      <c r="C68" s="288"/>
      <c r="D68" s="288"/>
      <c r="E68" s="288"/>
      <c r="F68" s="288"/>
      <c r="G68" s="288"/>
      <c r="H68" s="288"/>
      <c r="I68" s="288"/>
      <c r="J68" s="288"/>
      <c r="K68" s="288"/>
      <c r="L68" s="288"/>
      <c r="M68" s="288"/>
      <c r="N68" s="288"/>
      <c r="O68" s="288"/>
      <c r="P68" s="288"/>
      <c r="Q68" s="288"/>
      <c r="R68" s="288"/>
      <c r="S68" s="288"/>
      <c r="T68" s="288"/>
      <c r="U68" s="288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  <c r="AJ68" s="92"/>
      <c r="AK68" s="92"/>
      <c r="AL68" s="92"/>
      <c r="AM68" s="92"/>
      <c r="AN68" s="92"/>
      <c r="AO68" s="92"/>
      <c r="AP68" s="92"/>
      <c r="AQ68" s="92"/>
      <c r="AR68" s="92"/>
      <c r="AS68" s="92"/>
    </row>
    <row r="69" customFormat="false" ht="12.75" hidden="false" customHeight="true" outlineLevel="0" collapsed="false">
      <c r="A69" s="289" t="s">
        <v>177</v>
      </c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  <c r="AJ69" s="92"/>
      <c r="AK69" s="92"/>
      <c r="AL69" s="92"/>
      <c r="AM69" s="92"/>
      <c r="AN69" s="92"/>
      <c r="AO69" s="92"/>
      <c r="AP69" s="92"/>
      <c r="AQ69" s="92"/>
      <c r="AR69" s="92"/>
      <c r="AS69" s="92"/>
    </row>
    <row r="70" customFormat="false" ht="12.75" hidden="false" customHeight="true" outlineLevel="0" collapsed="false">
      <c r="A70" s="289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92"/>
      <c r="AK70" s="92"/>
      <c r="AL70" s="92"/>
      <c r="AM70" s="92"/>
      <c r="AN70" s="92"/>
      <c r="AO70" s="92"/>
      <c r="AP70" s="92"/>
      <c r="AQ70" s="92"/>
      <c r="AR70" s="92"/>
      <c r="AS70" s="92"/>
    </row>
    <row r="71" customFormat="false" ht="12.75" hidden="false" customHeight="true" outlineLevel="0" collapsed="false">
      <c r="A71" s="24" t="s">
        <v>180</v>
      </c>
      <c r="B71" s="167" t="n">
        <f aca="false">B30</f>
        <v>13716.1692037526</v>
      </c>
      <c r="C71" s="167" t="n">
        <f aca="false">C30</f>
        <v>15484.3458762116</v>
      </c>
      <c r="D71" s="167" t="n">
        <f aca="false">D30</f>
        <v>17488.9020275182</v>
      </c>
      <c r="E71" s="167" t="n">
        <f aca="false">E30</f>
        <v>19681.6467079526</v>
      </c>
      <c r="F71" s="167" t="n">
        <f aca="false">F30</f>
        <v>22081.4031467886</v>
      </c>
      <c r="G71" s="167" t="n">
        <f aca="false">G30</f>
        <v>22910.4116981019</v>
      </c>
      <c r="H71" s="167" t="n">
        <f aca="false">H30</f>
        <v>23843.434043322</v>
      </c>
      <c r="I71" s="167" t="n">
        <f aca="false">I30</f>
        <v>24770.6281784674</v>
      </c>
      <c r="J71" s="167" t="n">
        <f aca="false">J30</f>
        <v>25776.4633935511</v>
      </c>
      <c r="K71" s="167" t="n">
        <f aca="false">K30</f>
        <v>26787.588465367</v>
      </c>
      <c r="L71" s="167" t="n">
        <f aca="false">L30</f>
        <v>28119.4521376908</v>
      </c>
      <c r="M71" s="167" t="n">
        <f aca="false">M30</f>
        <v>29487.2242789331</v>
      </c>
      <c r="N71" s="167" t="n">
        <f aca="false">N30</f>
        <v>30600.8443012376</v>
      </c>
      <c r="O71" s="167" t="n">
        <f aca="false">O30</f>
        <v>32109.5497778696</v>
      </c>
      <c r="P71" s="167" t="n">
        <f aca="false">P30</f>
        <v>33247.2528751407</v>
      </c>
      <c r="Q71" s="167" t="n">
        <f aca="false">Q30</f>
        <v>35225.859398617</v>
      </c>
      <c r="R71" s="167" t="n">
        <f aca="false">R30</f>
        <v>36726.7775756227</v>
      </c>
      <c r="S71" s="167" t="n">
        <f aca="false">S30</f>
        <v>38301.3398288243</v>
      </c>
      <c r="T71" s="167" t="n">
        <f aca="false">T30</f>
        <v>39973.690814833</v>
      </c>
      <c r="U71" s="167" t="n">
        <f aca="false">U30</f>
        <v>41752.1563660017</v>
      </c>
      <c r="V71" s="92"/>
      <c r="W71" s="322" t="n">
        <f aca="false">SUM(B71:U71)</f>
        <v>558085.140095804</v>
      </c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92"/>
      <c r="AK71" s="92"/>
      <c r="AL71" s="92"/>
      <c r="AM71" s="92"/>
      <c r="AN71" s="92"/>
      <c r="AO71" s="92"/>
      <c r="AP71" s="92"/>
      <c r="AQ71" s="92"/>
      <c r="AR71" s="92"/>
      <c r="AS71" s="92"/>
    </row>
    <row r="72" customFormat="false" ht="12.75" hidden="false" customHeight="true" outlineLevel="0" collapsed="false">
      <c r="A72" s="24" t="s">
        <v>181</v>
      </c>
      <c r="B72" s="167" t="n">
        <f aca="false">B24</f>
        <v>7120.89267548481</v>
      </c>
      <c r="C72" s="167" t="n">
        <f aca="false">C24</f>
        <v>7120.89267548481</v>
      </c>
      <c r="D72" s="167" t="n">
        <f aca="false">D24</f>
        <v>7120.89267548481</v>
      </c>
      <c r="E72" s="167" t="n">
        <f aca="false">E24</f>
        <v>7120.89267548481</v>
      </c>
      <c r="F72" s="167" t="n">
        <f aca="false">F24</f>
        <v>7120.89267548481</v>
      </c>
      <c r="G72" s="167" t="n">
        <f aca="false">G24</f>
        <v>7120.89267548481</v>
      </c>
      <c r="H72" s="167" t="n">
        <f aca="false">H24</f>
        <v>7120.89267548481</v>
      </c>
      <c r="I72" s="167" t="n">
        <f aca="false">I24</f>
        <v>7120.89267548481</v>
      </c>
      <c r="J72" s="167" t="n">
        <f aca="false">J24</f>
        <v>7120.89267548481</v>
      </c>
      <c r="K72" s="167" t="n">
        <f aca="false">K24</f>
        <v>7120.89267548481</v>
      </c>
      <c r="L72" s="167" t="n">
        <f aca="false">L24</f>
        <v>7120.89267548481</v>
      </c>
      <c r="M72" s="167" t="n">
        <f aca="false">M24</f>
        <v>7120.89267548481</v>
      </c>
      <c r="N72" s="167" t="n">
        <f aca="false">N24</f>
        <v>7120.89267548481</v>
      </c>
      <c r="O72" s="167" t="n">
        <f aca="false">O24</f>
        <v>7120.89267548481</v>
      </c>
      <c r="P72" s="167" t="n">
        <f aca="false">P24</f>
        <v>7120.89267548481</v>
      </c>
      <c r="Q72" s="167" t="n">
        <f aca="false">Q24</f>
        <v>7120.89267548481</v>
      </c>
      <c r="R72" s="167" t="n">
        <f aca="false">R24</f>
        <v>7120.89267548481</v>
      </c>
      <c r="S72" s="167" t="n">
        <f aca="false">S24</f>
        <v>7120.89267548481</v>
      </c>
      <c r="T72" s="167" t="n">
        <f aca="false">T24</f>
        <v>7120.89267548481</v>
      </c>
      <c r="U72" s="167" t="n">
        <f aca="false">U24</f>
        <v>7120.89267548481</v>
      </c>
      <c r="V72" s="92"/>
      <c r="W72" s="322" t="n">
        <f aca="false">SUM(B72:U72)</f>
        <v>142417.853509696</v>
      </c>
      <c r="X72" s="9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92"/>
    </row>
    <row r="73" customFormat="false" ht="15" hidden="false" customHeight="true" outlineLevel="0" collapsed="false">
      <c r="A73" s="24" t="s">
        <v>212</v>
      </c>
      <c r="B73" s="192" t="n">
        <f aca="false">-Depreciation!C44</f>
        <v>-11868.1544591413</v>
      </c>
      <c r="C73" s="192" t="n">
        <f aca="false">-Depreciation!D44</f>
        <v>-22549.4934723686</v>
      </c>
      <c r="D73" s="192" t="n">
        <f aca="false">-Depreciation!E44</f>
        <v>-20294.5441251317</v>
      </c>
      <c r="E73" s="192" t="n">
        <f aca="false">-Depreciation!F44</f>
        <v>-18276.9578670777</v>
      </c>
      <c r="F73" s="192" t="n">
        <f aca="false">-Depreciation!G44</f>
        <v>-16449.2620803699</v>
      </c>
      <c r="G73" s="192" t="n">
        <f aca="false">-Depreciation!H44</f>
        <v>-14787.7204560901</v>
      </c>
      <c r="H73" s="192" t="n">
        <f aca="false">-Depreciation!I44</f>
        <v>-14004.4222617868</v>
      </c>
      <c r="I73" s="192" t="n">
        <f aca="false">-Depreciation!J44</f>
        <v>-14028.1585707051</v>
      </c>
      <c r="J73" s="192" t="n">
        <f aca="false">-Depreciation!K44</f>
        <v>-14004.4222617868</v>
      </c>
      <c r="K73" s="192" t="n">
        <f aca="false">-Depreciation!L44</f>
        <v>-14028.1585707051</v>
      </c>
      <c r="L73" s="192" t="n">
        <f aca="false">-Depreciation!M44</f>
        <v>-14004.4222617868</v>
      </c>
      <c r="M73" s="192" t="n">
        <f aca="false">-Depreciation!N44</f>
        <v>-14028.1585707051</v>
      </c>
      <c r="N73" s="192" t="n">
        <f aca="false">-Depreciation!O44</f>
        <v>-14004.4222617868</v>
      </c>
      <c r="O73" s="192" t="n">
        <f aca="false">-Depreciation!P44</f>
        <v>-14028.1585707051</v>
      </c>
      <c r="P73" s="192" t="n">
        <f aca="false">-Depreciation!Q44</f>
        <v>-14004.4222617868</v>
      </c>
      <c r="Q73" s="192" t="n">
        <f aca="false">-Depreciation!R44</f>
        <v>-14004.4222617868</v>
      </c>
      <c r="R73" s="192" t="n">
        <f aca="false">-Depreciation!S44</f>
        <v>-0</v>
      </c>
      <c r="S73" s="192" t="n">
        <f aca="false">-Depreciation!T44</f>
        <v>-0</v>
      </c>
      <c r="T73" s="192" t="n">
        <f aca="false">-Depreciation!U44</f>
        <v>-0</v>
      </c>
      <c r="U73" s="192" t="n">
        <f aca="false">-Depreciation!V44</f>
        <v>-0</v>
      </c>
      <c r="V73" s="92"/>
      <c r="W73" s="329" t="n">
        <f aca="false">SUM(B73:U73)</f>
        <v>-244365.30031372</v>
      </c>
      <c r="X73" s="92"/>
      <c r="Y73" s="92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92"/>
      <c r="AK73" s="92"/>
      <c r="AL73" s="92"/>
      <c r="AM73" s="92"/>
      <c r="AN73" s="92"/>
      <c r="AO73" s="92"/>
      <c r="AP73" s="92"/>
      <c r="AQ73" s="92"/>
      <c r="AR73" s="92"/>
      <c r="AS73" s="92"/>
    </row>
    <row r="74" customFormat="false" ht="12.75" hidden="false" customHeight="true" outlineLevel="0" collapsed="false">
      <c r="A74" s="295" t="s">
        <v>213</v>
      </c>
      <c r="B74" s="167" t="n">
        <f aca="false">SUM(B71:B73)</f>
        <v>8968.90742009607</v>
      </c>
      <c r="C74" s="167" t="n">
        <f aca="false">SUM(C71:C73)</f>
        <v>55.7450793278658</v>
      </c>
      <c r="D74" s="167" t="n">
        <f aca="false">SUM(D71:D73)</f>
        <v>4315.25057787126</v>
      </c>
      <c r="E74" s="167" t="n">
        <f aca="false">SUM(E71:E73)</f>
        <v>8525.58151635977</v>
      </c>
      <c r="F74" s="167" t="n">
        <f aca="false">SUM(F71:F73)</f>
        <v>12753.0337419035</v>
      </c>
      <c r="G74" s="167" t="n">
        <f aca="false">SUM(G71:G73)</f>
        <v>15243.5839174966</v>
      </c>
      <c r="H74" s="167" t="n">
        <f aca="false">SUM(H71:H73)</f>
        <v>16959.90445702</v>
      </c>
      <c r="I74" s="167" t="n">
        <f aca="false">SUM(I71:I73)</f>
        <v>17863.3622832472</v>
      </c>
      <c r="J74" s="167" t="n">
        <f aca="false">SUM(J71:J73)</f>
        <v>18892.9338072491</v>
      </c>
      <c r="K74" s="167" t="n">
        <f aca="false">SUM(K71:K73)</f>
        <v>19880.3225701468</v>
      </c>
      <c r="L74" s="167" t="n">
        <f aca="false">SUM(L71:L73)</f>
        <v>21235.9225513888</v>
      </c>
      <c r="M74" s="167" t="n">
        <f aca="false">SUM(M71:M73)</f>
        <v>22579.9583837128</v>
      </c>
      <c r="N74" s="167" t="n">
        <f aca="false">SUM(N71:N73)</f>
        <v>23717.3147149356</v>
      </c>
      <c r="O74" s="167" t="n">
        <f aca="false">SUM(O71:O73)</f>
        <v>25202.2838826494</v>
      </c>
      <c r="P74" s="167" t="n">
        <f aca="false">SUM(P71:P73)</f>
        <v>26363.7232888387</v>
      </c>
      <c r="Q74" s="167" t="n">
        <f aca="false">SUM(Q71:Q73)</f>
        <v>28342.329812315</v>
      </c>
      <c r="R74" s="167" t="n">
        <f aca="false">SUM(R71:R73)</f>
        <v>43847.6702511075</v>
      </c>
      <c r="S74" s="167" t="n">
        <f aca="false">SUM(S71:S73)</f>
        <v>45422.2325043091</v>
      </c>
      <c r="T74" s="167" t="n">
        <f aca="false">SUM(T71:T73)</f>
        <v>47094.5834903178</v>
      </c>
      <c r="U74" s="167" t="n">
        <f aca="false">SUM(U71:U73)</f>
        <v>48873.0490414865</v>
      </c>
      <c r="V74" s="92"/>
      <c r="W74" s="322" t="n">
        <f aca="false">SUM(B74:U74)</f>
        <v>456137.693291779</v>
      </c>
      <c r="X74" s="92"/>
      <c r="Y74" s="92"/>
      <c r="Z74" s="92"/>
      <c r="AA74" s="92"/>
      <c r="AB74" s="92"/>
      <c r="AC74" s="92"/>
      <c r="AD74" s="92"/>
      <c r="AE74" s="92"/>
      <c r="AF74" s="92"/>
      <c r="AG74" s="92"/>
      <c r="AH74" s="92"/>
      <c r="AI74" s="92"/>
      <c r="AJ74" s="92"/>
      <c r="AK74" s="92"/>
      <c r="AL74" s="92"/>
      <c r="AM74" s="92"/>
      <c r="AN74" s="92"/>
      <c r="AO74" s="92"/>
      <c r="AP74" s="92"/>
      <c r="AQ74" s="92"/>
      <c r="AR74" s="92"/>
      <c r="AS74" s="92"/>
    </row>
    <row r="75" customFormat="false" ht="12.75" hidden="false" customHeight="true" outlineLevel="0" collapsed="false">
      <c r="A75" s="24"/>
      <c r="B75" s="167"/>
      <c r="C75" s="167"/>
      <c r="D75" s="167"/>
      <c r="E75" s="167"/>
      <c r="F75" s="167"/>
      <c r="G75" s="167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7"/>
      <c r="U75" s="167"/>
      <c r="V75" s="92"/>
      <c r="W75" s="92"/>
      <c r="X75" s="92"/>
      <c r="Y75" s="92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92"/>
      <c r="AK75" s="92"/>
      <c r="AL75" s="92"/>
      <c r="AM75" s="92"/>
      <c r="AN75" s="92"/>
      <c r="AO75" s="92"/>
      <c r="AP75" s="92"/>
      <c r="AQ75" s="92"/>
      <c r="AR75" s="92"/>
      <c r="AS75" s="92"/>
    </row>
    <row r="76" customFormat="false" ht="12.75" hidden="false" customHeight="true" outlineLevel="0" collapsed="false">
      <c r="A76" s="24" t="s">
        <v>77</v>
      </c>
      <c r="B76" s="330" t="n">
        <f aca="false">Assumptions!$C$37</f>
        <v>0.06</v>
      </c>
      <c r="C76" s="330" t="n">
        <f aca="false">Assumptions!$C$37</f>
        <v>0.06</v>
      </c>
      <c r="D76" s="330" t="n">
        <f aca="false">Assumptions!$C$37</f>
        <v>0.06</v>
      </c>
      <c r="E76" s="330" t="n">
        <f aca="false">Assumptions!$C$37</f>
        <v>0.06</v>
      </c>
      <c r="F76" s="330" t="n">
        <f aca="false">Assumptions!$C$37</f>
        <v>0.06</v>
      </c>
      <c r="G76" s="330" t="n">
        <f aca="false">Assumptions!$C$37</f>
        <v>0.06</v>
      </c>
      <c r="H76" s="330" t="n">
        <f aca="false">Assumptions!$C$37</f>
        <v>0.06</v>
      </c>
      <c r="I76" s="330" t="n">
        <f aca="false">Assumptions!$C$37</f>
        <v>0.06</v>
      </c>
      <c r="J76" s="330" t="n">
        <f aca="false">Assumptions!$C$37</f>
        <v>0.06</v>
      </c>
      <c r="K76" s="330" t="n">
        <f aca="false">Assumptions!$C$37</f>
        <v>0.06</v>
      </c>
      <c r="L76" s="330" t="n">
        <f aca="false">Assumptions!$C$37</f>
        <v>0.06</v>
      </c>
      <c r="M76" s="330" t="n">
        <f aca="false">Assumptions!$C$37</f>
        <v>0.06</v>
      </c>
      <c r="N76" s="330" t="n">
        <f aca="false">Assumptions!$C$37</f>
        <v>0.06</v>
      </c>
      <c r="O76" s="330" t="n">
        <f aca="false">Assumptions!$C$37</f>
        <v>0.06</v>
      </c>
      <c r="P76" s="330" t="n">
        <f aca="false">Assumptions!$C$37</f>
        <v>0.06</v>
      </c>
      <c r="Q76" s="330" t="n">
        <f aca="false">Assumptions!$C$37</f>
        <v>0.06</v>
      </c>
      <c r="R76" s="330" t="n">
        <f aca="false">Assumptions!$C$37</f>
        <v>0.06</v>
      </c>
      <c r="S76" s="330" t="n">
        <f aca="false">Assumptions!$C$37</f>
        <v>0.06</v>
      </c>
      <c r="T76" s="330" t="n">
        <f aca="false">Assumptions!$C$37</f>
        <v>0.06</v>
      </c>
      <c r="U76" s="330" t="n">
        <f aca="false">Assumptions!$C$37</f>
        <v>0.06</v>
      </c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</row>
    <row r="77" customFormat="false" ht="12.75" hidden="false" customHeight="true" outlineLevel="0" collapsed="false">
      <c r="A77" s="24" t="s">
        <v>214</v>
      </c>
      <c r="B77" s="167" t="n">
        <f aca="false">B74*B76</f>
        <v>538.134445205764</v>
      </c>
      <c r="C77" s="167" t="n">
        <f aca="false">C74*C76</f>
        <v>3.34470475967195</v>
      </c>
      <c r="D77" s="167" t="n">
        <f aca="false">D74*D76</f>
        <v>258.915034672276</v>
      </c>
      <c r="E77" s="167" t="n">
        <f aca="false">E74*E76</f>
        <v>511.534890981586</v>
      </c>
      <c r="F77" s="167" t="n">
        <f aca="false">F74*F76</f>
        <v>765.182024514212</v>
      </c>
      <c r="G77" s="167" t="n">
        <f aca="false">G74*G76</f>
        <v>914.615035049797</v>
      </c>
      <c r="H77" s="167" t="n">
        <f aca="false">H74*H76</f>
        <v>1017.5942674212</v>
      </c>
      <c r="I77" s="167" t="n">
        <f aca="false">I74*I76</f>
        <v>1071.80173699483</v>
      </c>
      <c r="J77" s="167" t="n">
        <f aca="false">J74*J76</f>
        <v>1133.57602843495</v>
      </c>
      <c r="K77" s="167" t="n">
        <f aca="false">K74*K76</f>
        <v>1192.81935420881</v>
      </c>
      <c r="L77" s="167" t="n">
        <f aca="false">L74*L76</f>
        <v>1274.15535308333</v>
      </c>
      <c r="M77" s="167" t="n">
        <f aca="false">M74*M76</f>
        <v>1354.79750302277</v>
      </c>
      <c r="N77" s="167" t="n">
        <f aca="false">N74*N76</f>
        <v>1423.03888289614</v>
      </c>
      <c r="O77" s="167" t="n">
        <f aca="false">O74*O76</f>
        <v>1512.13703295896</v>
      </c>
      <c r="P77" s="167" t="n">
        <f aca="false">P74*P76</f>
        <v>1581.82339733032</v>
      </c>
      <c r="Q77" s="167" t="n">
        <f aca="false">Q74*Q76</f>
        <v>1700.5397887389</v>
      </c>
      <c r="R77" s="167" t="n">
        <f aca="false">R74*R76</f>
        <v>2630.86021506645</v>
      </c>
      <c r="S77" s="167" t="n">
        <f aca="false">S74*S76</f>
        <v>2725.33395025855</v>
      </c>
      <c r="T77" s="167" t="n">
        <f aca="false">T74*T76</f>
        <v>2825.67500941907</v>
      </c>
      <c r="U77" s="167" t="n">
        <f aca="false">U74*U76</f>
        <v>2932.38294248919</v>
      </c>
      <c r="V77" s="92"/>
      <c r="W77" s="92"/>
      <c r="X77" s="92"/>
      <c r="Y77" s="92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92"/>
      <c r="AK77" s="92"/>
      <c r="AL77" s="92"/>
      <c r="AM77" s="92"/>
      <c r="AN77" s="92"/>
      <c r="AO77" s="92"/>
      <c r="AP77" s="92"/>
      <c r="AQ77" s="92"/>
      <c r="AR77" s="92"/>
      <c r="AS77" s="92"/>
    </row>
    <row r="78" customFormat="false" ht="12.75" hidden="false" customHeight="true" outlineLevel="0" collapsed="false">
      <c r="A78" s="24"/>
      <c r="B78" s="167"/>
      <c r="C78" s="167"/>
      <c r="D78" s="167"/>
      <c r="E78" s="167"/>
      <c r="F78" s="167"/>
      <c r="G78" s="167"/>
      <c r="H78" s="167"/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  <c r="T78" s="167"/>
      <c r="U78" s="167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92"/>
      <c r="AK78" s="92"/>
      <c r="AL78" s="92"/>
      <c r="AM78" s="92"/>
      <c r="AN78" s="92"/>
      <c r="AO78" s="92"/>
      <c r="AP78" s="92"/>
      <c r="AQ78" s="92"/>
      <c r="AR78" s="92"/>
      <c r="AS78" s="92"/>
    </row>
    <row r="79" customFormat="false" ht="12.75" hidden="false" customHeight="true" outlineLevel="0" collapsed="false">
      <c r="A79" s="24" t="s">
        <v>215</v>
      </c>
      <c r="B79" s="167" t="n">
        <v>0</v>
      </c>
      <c r="C79" s="167" t="n">
        <f aca="false">B83</f>
        <v>0</v>
      </c>
      <c r="D79" s="167" t="n">
        <f aca="false">C83</f>
        <v>0</v>
      </c>
      <c r="E79" s="167" t="n">
        <f aca="false">D83</f>
        <v>0</v>
      </c>
      <c r="F79" s="167" t="n">
        <f aca="false">E83</f>
        <v>0</v>
      </c>
      <c r="G79" s="167" t="n">
        <f aca="false">F83</f>
        <v>0</v>
      </c>
      <c r="H79" s="167" t="n">
        <f aca="false">G83</f>
        <v>0</v>
      </c>
      <c r="I79" s="167" t="n">
        <f aca="false">H83</f>
        <v>0</v>
      </c>
      <c r="J79" s="167" t="n">
        <f aca="false">I83</f>
        <v>0</v>
      </c>
      <c r="K79" s="167" t="n">
        <f aca="false">J83</f>
        <v>0</v>
      </c>
      <c r="L79" s="167" t="n">
        <f aca="false">K83</f>
        <v>0</v>
      </c>
      <c r="M79" s="167" t="n">
        <f aca="false">L83</f>
        <v>0</v>
      </c>
      <c r="N79" s="167" t="n">
        <f aca="false">M83</f>
        <v>0</v>
      </c>
      <c r="O79" s="167" t="n">
        <f aca="false">N83</f>
        <v>0</v>
      </c>
      <c r="P79" s="167" t="n">
        <f aca="false">O83</f>
        <v>0</v>
      </c>
      <c r="Q79" s="167" t="n">
        <f aca="false">P83</f>
        <v>0</v>
      </c>
      <c r="R79" s="167" t="n">
        <v>0</v>
      </c>
      <c r="S79" s="167" t="n">
        <f aca="false">R83</f>
        <v>0</v>
      </c>
      <c r="T79" s="167" t="n">
        <f aca="false">S83</f>
        <v>0</v>
      </c>
      <c r="U79" s="167" t="n">
        <f aca="false">T83</f>
        <v>0</v>
      </c>
      <c r="V79" s="92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  <c r="AK79" s="92"/>
      <c r="AL79" s="92"/>
      <c r="AM79" s="92"/>
      <c r="AN79" s="92"/>
      <c r="AO79" s="92"/>
      <c r="AP79" s="92"/>
      <c r="AQ79" s="92"/>
      <c r="AR79" s="92"/>
      <c r="AS79" s="92"/>
    </row>
    <row r="80" customFormat="false" ht="12.75" hidden="false" customHeight="true" outlineLevel="0" collapsed="false">
      <c r="A80" s="24" t="s">
        <v>216</v>
      </c>
      <c r="B80" s="167" t="n">
        <f aca="false">IF(B53&gt;2020,0,IF(B77&lt;0,-B77,0))</f>
        <v>0</v>
      </c>
      <c r="C80" s="167" t="n">
        <f aca="false">IF(C53&gt;2020,0,IF(C77&lt;0,-C77,0))</f>
        <v>0</v>
      </c>
      <c r="D80" s="167" t="n">
        <f aca="false">IF(D53&gt;2020,0,IF(D77&lt;0,-D77,0))</f>
        <v>0</v>
      </c>
      <c r="E80" s="167" t="n">
        <f aca="false">IF(E53&gt;2020,0,IF(E77&lt;0,-E77,0))</f>
        <v>0</v>
      </c>
      <c r="F80" s="167" t="n">
        <f aca="false">IF(F53&gt;2020,0,IF(F77&lt;0,-F77,0))</f>
        <v>0</v>
      </c>
      <c r="G80" s="167" t="n">
        <f aca="false">IF(G53&gt;2020,0,IF(G77&lt;0,-G77,0))</f>
        <v>0</v>
      </c>
      <c r="H80" s="167" t="n">
        <f aca="false">IF(H53&gt;2020,0,IF(H77&lt;0,-H77,0))</f>
        <v>0</v>
      </c>
      <c r="I80" s="167" t="n">
        <f aca="false">IF(I53&gt;2020,0,IF(I77&lt;0,-I77,0))</f>
        <v>0</v>
      </c>
      <c r="J80" s="167" t="n">
        <f aca="false">IF(J53&gt;2020,0,IF(J77&lt;0,-J77,0))</f>
        <v>0</v>
      </c>
      <c r="K80" s="167" t="n">
        <f aca="false">IF(K53&gt;2020,0,IF(K77&lt;0,-K77,0))</f>
        <v>0</v>
      </c>
      <c r="L80" s="167" t="n">
        <f aca="false">IF(L53&gt;2020,0,IF(L77&lt;0,-L77,0))</f>
        <v>0</v>
      </c>
      <c r="M80" s="167" t="n">
        <f aca="false">IF(M53&gt;2020,0,IF(M77&lt;0,-M77,0))</f>
        <v>0</v>
      </c>
      <c r="N80" s="167" t="n">
        <f aca="false">IF(N53&gt;2020,0,IF(N77&lt;0,-N77,0))</f>
        <v>0</v>
      </c>
      <c r="O80" s="167" t="n">
        <f aca="false">IF(O53&gt;2020,0,IF(O77&lt;0,-O77,0))</f>
        <v>0</v>
      </c>
      <c r="P80" s="167" t="n">
        <f aca="false">IF(P53&gt;2020,0,IF(P77&lt;0,-P77,0))</f>
        <v>0</v>
      </c>
      <c r="Q80" s="167" t="n">
        <f aca="false">IF(Q53&gt;2020,0,IF(Q77&lt;0,-Q77,0))</f>
        <v>0</v>
      </c>
      <c r="R80" s="167" t="n">
        <f aca="false">IF(R53&gt;2020,0,IF(R77&lt;0,-R77,0))</f>
        <v>0</v>
      </c>
      <c r="S80" s="167" t="n">
        <f aca="false">IF(S53&gt;2020,0,IF(S77&lt;0,-S77,0))</f>
        <v>0</v>
      </c>
      <c r="T80" s="167" t="n">
        <f aca="false">IF(T53&gt;2020,0,IF(T77&lt;0,-T77,0))</f>
        <v>0</v>
      </c>
      <c r="U80" s="167" t="n">
        <f aca="false">IF(U53&gt;2020,0,IF(U77&lt;0,-U77,0))</f>
        <v>0</v>
      </c>
      <c r="V80" s="92"/>
      <c r="W80" s="92"/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92"/>
      <c r="AI80" s="92"/>
      <c r="AJ80" s="92"/>
      <c r="AK80" s="92"/>
      <c r="AL80" s="92"/>
      <c r="AM80" s="92"/>
      <c r="AN80" s="92"/>
      <c r="AO80" s="92"/>
      <c r="AP80" s="92"/>
      <c r="AQ80" s="92"/>
      <c r="AR80" s="92"/>
      <c r="AS80" s="92"/>
    </row>
    <row r="81" customFormat="false" ht="12.75" hidden="false" customHeight="true" outlineLevel="0" collapsed="false">
      <c r="A81" s="24" t="s">
        <v>217</v>
      </c>
      <c r="B81" s="331" t="n">
        <v>0</v>
      </c>
      <c r="C81" s="331" t="n">
        <v>0</v>
      </c>
      <c r="D81" s="331" t="n">
        <v>0</v>
      </c>
      <c r="E81" s="331" t="n">
        <v>0</v>
      </c>
      <c r="F81" s="331" t="n">
        <v>0</v>
      </c>
      <c r="G81" s="331" t="n">
        <v>0</v>
      </c>
      <c r="H81" s="331" t="n">
        <v>0</v>
      </c>
      <c r="I81" s="331" t="n">
        <v>0</v>
      </c>
      <c r="J81" s="331" t="n">
        <v>0</v>
      </c>
      <c r="K81" s="331" t="n">
        <v>0</v>
      </c>
      <c r="L81" s="331" t="n">
        <v>0</v>
      </c>
      <c r="M81" s="331" t="n">
        <v>0</v>
      </c>
      <c r="N81" s="331" t="n">
        <v>0</v>
      </c>
      <c r="O81" s="331" t="n">
        <v>0</v>
      </c>
      <c r="P81" s="331" t="n">
        <v>0</v>
      </c>
      <c r="Q81" s="331" t="n">
        <v>0</v>
      </c>
      <c r="R81" s="331" t="n">
        <v>0</v>
      </c>
      <c r="S81" s="331" t="n">
        <v>0</v>
      </c>
      <c r="T81" s="167" t="n">
        <f aca="false">IF(L80&gt;(SUM(M82:S82)+SUM(L81:S81))*-1,L80-(SUM(L82:S82)+SUM(L81:S81))*-1,0)</f>
        <v>0</v>
      </c>
      <c r="U81" s="167" t="n">
        <f aca="false">IF(M80&gt;(SUM(N82:T82)+SUM(M81:T81))*-1,M80-(SUM(M82:T82)+SUM(M81:T81))*-1,0)</f>
        <v>0</v>
      </c>
      <c r="V81" s="92"/>
      <c r="W81" s="92"/>
      <c r="X81" s="92"/>
      <c r="Y81" s="92"/>
      <c r="Z81" s="92"/>
      <c r="AA81" s="92"/>
      <c r="AB81" s="92"/>
      <c r="AC81" s="92"/>
      <c r="AD81" s="92"/>
      <c r="AE81" s="92"/>
      <c r="AF81" s="92"/>
      <c r="AG81" s="92"/>
      <c r="AH81" s="92"/>
      <c r="AI81" s="92"/>
      <c r="AJ81" s="92"/>
      <c r="AK81" s="92"/>
      <c r="AL81" s="92"/>
      <c r="AM81" s="92"/>
      <c r="AN81" s="92"/>
      <c r="AO81" s="92"/>
      <c r="AP81" s="92"/>
      <c r="AQ81" s="92"/>
      <c r="AR81" s="92"/>
      <c r="AS81" s="92"/>
    </row>
    <row r="82" customFormat="false" ht="12.75" hidden="false" customHeight="true" outlineLevel="0" collapsed="false">
      <c r="A82" s="12" t="s">
        <v>188</v>
      </c>
      <c r="B82" s="192" t="n">
        <f aca="false">IF(B77&lt;0,0,IF(B79&gt;B77,-B77,-B79))</f>
        <v>-0</v>
      </c>
      <c r="C82" s="192" t="n">
        <f aca="false">IF(C77&lt;0,0,IF(C79&gt;C77,-C77,-C79))</f>
        <v>-0</v>
      </c>
      <c r="D82" s="192" t="n">
        <f aca="false">IF(D77&lt;0,0,IF(D79&gt;D77,-D77,-D79))</f>
        <v>-0</v>
      </c>
      <c r="E82" s="192" t="n">
        <f aca="false">IF(E77&lt;0,0,IF(E79&gt;E77,-E77,-E79))</f>
        <v>-0</v>
      </c>
      <c r="F82" s="192" t="n">
        <f aca="false">IF(F77&lt;0,0,IF(F79&gt;F77,-F77,-F79))</f>
        <v>-0</v>
      </c>
      <c r="G82" s="192" t="n">
        <f aca="false">IF(G77&lt;0,0,IF(G79&gt;G77,-G77,-G79))</f>
        <v>-0</v>
      </c>
      <c r="H82" s="192" t="n">
        <f aca="false">IF(H77&lt;0,0,IF(H79&gt;H77,-H77,-H79))</f>
        <v>-0</v>
      </c>
      <c r="I82" s="192" t="n">
        <f aca="false">IF(I77&lt;0,0,IF(I79&gt;I77,-I77,-I79))</f>
        <v>-0</v>
      </c>
      <c r="J82" s="192" t="n">
        <f aca="false">IF(J77&lt;0,0,IF(J79&gt;J77,-J77,-J79))</f>
        <v>-0</v>
      </c>
      <c r="K82" s="192" t="n">
        <f aca="false">IF(K77&lt;0,0,IF(K79&gt;K77,-K77,-K79))</f>
        <v>-0</v>
      </c>
      <c r="L82" s="192" t="n">
        <f aca="false">IF(L77&lt;0,0,IF(L79&gt;L77,-L77,-L79))</f>
        <v>-0</v>
      </c>
      <c r="M82" s="192" t="n">
        <f aca="false">IF(M77&lt;0,0,IF(M79&gt;M77,-M77,-M79))</f>
        <v>-0</v>
      </c>
      <c r="N82" s="192" t="n">
        <f aca="false">IF(N77&lt;0,0,IF(N79&gt;N77,-N77,-N79))</f>
        <v>-0</v>
      </c>
      <c r="O82" s="192" t="n">
        <f aca="false">IF(O77&lt;0,0,IF(O79&gt;O77,-O77,-O79))</f>
        <v>-0</v>
      </c>
      <c r="P82" s="192" t="n">
        <f aca="false">IF(P77&lt;0,0,IF(P79&gt;P77,-P77,-P79))</f>
        <v>-0</v>
      </c>
      <c r="Q82" s="192" t="n">
        <f aca="false">IF(Q77&lt;0,0,IF(Q79&gt;Q77,-Q77,-Q79))</f>
        <v>-0</v>
      </c>
      <c r="R82" s="192" t="n">
        <f aca="false">IF(R77&lt;0,0,IF(R79&gt;R77,-R77,-R79))</f>
        <v>-0</v>
      </c>
      <c r="S82" s="192" t="n">
        <f aca="false">IF(S77&lt;0,0,IF(S79&gt;S77,-S77,-S79))</f>
        <v>-0</v>
      </c>
      <c r="T82" s="192" t="n">
        <f aca="false">IF(T77&lt;0,0,IF(T79&gt;T77,-T77,-T79))</f>
        <v>-0</v>
      </c>
      <c r="U82" s="192" t="n">
        <f aca="false">IF(U77&lt;0,0,IF(U79&gt;U77,-U77,-U79))</f>
        <v>-0</v>
      </c>
      <c r="V82" s="92"/>
      <c r="W82" s="92"/>
      <c r="X82" s="92"/>
      <c r="Y82" s="92"/>
      <c r="Z82" s="92"/>
      <c r="AA82" s="92"/>
      <c r="AB82" s="92"/>
      <c r="AC82" s="92"/>
      <c r="AD82" s="92"/>
      <c r="AE82" s="92"/>
      <c r="AF82" s="92"/>
      <c r="AG82" s="92"/>
      <c r="AH82" s="92"/>
      <c r="AI82" s="92"/>
      <c r="AJ82" s="92"/>
      <c r="AK82" s="92"/>
      <c r="AL82" s="92"/>
      <c r="AM82" s="92"/>
      <c r="AN82" s="92"/>
      <c r="AO82" s="92"/>
      <c r="AP82" s="92"/>
      <c r="AQ82" s="92"/>
      <c r="AR82" s="92"/>
      <c r="AS82" s="92"/>
    </row>
    <row r="83" customFormat="false" ht="12.75" hidden="false" customHeight="true" outlineLevel="0" collapsed="false">
      <c r="A83" s="12" t="s">
        <v>218</v>
      </c>
      <c r="B83" s="192" t="n">
        <f aca="false">SUM(B79:B82)</f>
        <v>0</v>
      </c>
      <c r="C83" s="192" t="n">
        <f aca="false">SUM(C79:C82)</f>
        <v>0</v>
      </c>
      <c r="D83" s="192" t="n">
        <f aca="false">SUM(D79:D82)</f>
        <v>0</v>
      </c>
      <c r="E83" s="192" t="n">
        <f aca="false">SUM(E79:E82)</f>
        <v>0</v>
      </c>
      <c r="F83" s="192" t="n">
        <f aca="false">SUM(F79:F82)</f>
        <v>0</v>
      </c>
      <c r="G83" s="192" t="n">
        <f aca="false">SUM(G79:G82)</f>
        <v>0</v>
      </c>
      <c r="H83" s="192" t="n">
        <f aca="false">SUM(H79:H82)</f>
        <v>0</v>
      </c>
      <c r="I83" s="192" t="n">
        <f aca="false">SUM(I79:I82)</f>
        <v>0</v>
      </c>
      <c r="J83" s="192" t="n">
        <f aca="false">SUM(J79:J82)</f>
        <v>0</v>
      </c>
      <c r="K83" s="192" t="n">
        <f aca="false">SUM(K79:K82)</f>
        <v>0</v>
      </c>
      <c r="L83" s="192" t="n">
        <f aca="false">SUM(L79:L82)</f>
        <v>0</v>
      </c>
      <c r="M83" s="192" t="n">
        <f aca="false">SUM(M79:M82)</f>
        <v>0</v>
      </c>
      <c r="N83" s="192" t="n">
        <f aca="false">SUM(N79:N82)</f>
        <v>0</v>
      </c>
      <c r="O83" s="192" t="n">
        <f aca="false">SUM(O79:O82)</f>
        <v>0</v>
      </c>
      <c r="P83" s="192" t="n">
        <f aca="false">SUM(P79:P82)</f>
        <v>0</v>
      </c>
      <c r="Q83" s="192" t="n">
        <f aca="false">SUM(Q79:Q82)</f>
        <v>0</v>
      </c>
      <c r="R83" s="192" t="n">
        <f aca="false">SUM(R79:R82)</f>
        <v>0</v>
      </c>
      <c r="S83" s="192" t="n">
        <f aca="false">SUM(S79:S82)</f>
        <v>0</v>
      </c>
      <c r="T83" s="192" t="n">
        <f aca="false">SUM(T79:T82)</f>
        <v>0</v>
      </c>
      <c r="U83" s="192" t="n">
        <f aca="false">SUM(U79:U82)</f>
        <v>0</v>
      </c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  <c r="AH83" s="92"/>
      <c r="AI83" s="92"/>
      <c r="AJ83" s="92"/>
      <c r="AK83" s="92"/>
      <c r="AL83" s="92"/>
      <c r="AM83" s="92"/>
      <c r="AN83" s="92"/>
      <c r="AO83" s="92"/>
      <c r="AP83" s="92"/>
      <c r="AQ83" s="92"/>
      <c r="AR83" s="92"/>
      <c r="AS83" s="92"/>
    </row>
    <row r="84" customFormat="false" ht="12.75" hidden="false" customHeight="true" outlineLevel="0" collapsed="false">
      <c r="A84" s="12"/>
      <c r="B84" s="167"/>
      <c r="C84" s="167"/>
      <c r="D84" s="167"/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  <c r="AH84" s="92"/>
      <c r="AI84" s="92"/>
      <c r="AJ84" s="92"/>
      <c r="AK84" s="92"/>
      <c r="AL84" s="92"/>
      <c r="AM84" s="92"/>
      <c r="AN84" s="92"/>
      <c r="AO84" s="92"/>
      <c r="AP84" s="92"/>
      <c r="AQ84" s="92"/>
      <c r="AR84" s="92"/>
      <c r="AS84" s="92"/>
    </row>
    <row r="85" customFormat="false" ht="13.5" hidden="false" customHeight="true" outlineLevel="0" collapsed="false">
      <c r="A85" s="40" t="s">
        <v>178</v>
      </c>
      <c r="B85" s="291" t="n">
        <f aca="false">IF(B77&lt;0,0,B77+B82)</f>
        <v>538.134445205764</v>
      </c>
      <c r="C85" s="291" t="n">
        <f aca="false">IF(C77&lt;0,0,C77+C82)</f>
        <v>3.34470475967195</v>
      </c>
      <c r="D85" s="291" t="n">
        <f aca="false">IF(D77&lt;0,0,D77+D82)</f>
        <v>258.915034672276</v>
      </c>
      <c r="E85" s="291" t="n">
        <f aca="false">IF(E77&lt;0,0,E77+E82)</f>
        <v>511.534890981586</v>
      </c>
      <c r="F85" s="291" t="n">
        <f aca="false">IF(F77&lt;0,0,F77+F82)</f>
        <v>765.182024514212</v>
      </c>
      <c r="G85" s="291" t="n">
        <f aca="false">IF(G77&lt;0,0,G77+G82)</f>
        <v>914.615035049797</v>
      </c>
      <c r="H85" s="291" t="n">
        <f aca="false">IF(H77&lt;0,0,H77+H82)</f>
        <v>1017.5942674212</v>
      </c>
      <c r="I85" s="291" t="n">
        <f aca="false">IF(I77&lt;0,0,I77+I82)</f>
        <v>1071.80173699483</v>
      </c>
      <c r="J85" s="291" t="n">
        <f aca="false">IF(J77&lt;0,0,J77+J82)</f>
        <v>1133.57602843495</v>
      </c>
      <c r="K85" s="291" t="n">
        <f aca="false">IF(K77&lt;0,0,K77+K82)</f>
        <v>1192.81935420881</v>
      </c>
      <c r="L85" s="291" t="n">
        <f aca="false">IF(L77&lt;0,0,L77+L82)</f>
        <v>1274.15535308333</v>
      </c>
      <c r="M85" s="291" t="n">
        <f aca="false">IF(M77&lt;0,0,M77+M82)</f>
        <v>1354.79750302277</v>
      </c>
      <c r="N85" s="291" t="n">
        <f aca="false">IF(N77&lt;0,0,N77+N82)</f>
        <v>1423.03888289614</v>
      </c>
      <c r="O85" s="291" t="n">
        <f aca="false">IF(O77&lt;0,0,O77+O82)</f>
        <v>1512.13703295896</v>
      </c>
      <c r="P85" s="291" t="n">
        <f aca="false">IF(P77&lt;0,0,P77+P82)</f>
        <v>1581.82339733032</v>
      </c>
      <c r="Q85" s="291" t="n">
        <f aca="false">IF(Q77&lt;0,0,Q77+Q82)</f>
        <v>1700.5397887389</v>
      </c>
      <c r="R85" s="291" t="n">
        <f aca="false">IF(R77&lt;0,0,R77+R82)</f>
        <v>2630.86021506645</v>
      </c>
      <c r="S85" s="291" t="n">
        <f aca="false">IF(S77&lt;0,0,S77+S82)</f>
        <v>2725.33395025855</v>
      </c>
      <c r="T85" s="291" t="n">
        <f aca="false">IF(T77&lt;0,0,T77+T82)</f>
        <v>2825.67500941907</v>
      </c>
      <c r="U85" s="291" t="n">
        <f aca="false">IF(U77&lt;0,0,U77+U82)</f>
        <v>2932.38294248919</v>
      </c>
      <c r="V85" s="92"/>
      <c r="W85" s="322" t="n">
        <f aca="false">SUM(B85:U85)</f>
        <v>27368.2615975068</v>
      </c>
      <c r="X85" s="92"/>
      <c r="Y85" s="92"/>
      <c r="Z85" s="92"/>
      <c r="AA85" s="92"/>
      <c r="AB85" s="92"/>
      <c r="AC85" s="92"/>
      <c r="AD85" s="92"/>
      <c r="AE85" s="92"/>
      <c r="AF85" s="92"/>
      <c r="AG85" s="92"/>
      <c r="AH85" s="92"/>
      <c r="AI85" s="92"/>
      <c r="AJ85" s="92"/>
      <c r="AK85" s="92"/>
      <c r="AL85" s="92"/>
      <c r="AM85" s="92"/>
      <c r="AN85" s="92"/>
      <c r="AO85" s="92"/>
      <c r="AP85" s="92"/>
      <c r="AQ85" s="92"/>
      <c r="AR85" s="92"/>
      <c r="AS85" s="9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&amp;L&amp;12Enron's Generation&amp;RCONFIDENTIAL</oddHeader>
    <oddFooter>&amp;L&amp;D&amp;C&amp;F&amp;RPage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2000-08-15T14:00:14Z</dcterms:created>
  <dc:creator>Jon Hoff</dc:creator>
  <dc:description/>
  <dc:language>en-US</dc:language>
  <cp:lastModifiedBy>Jon Hoff</cp:lastModifiedBy>
  <cp:revision>0</cp:revision>
  <dc:subject/>
  <dc:title/>
</cp:coreProperties>
</file>