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BS Rec" sheetId="1" state="visible" r:id="rId3"/>
    <sheet name="Reconciliation" sheetId="2" state="visible" r:id="rId4"/>
    <sheet name="Monthly GL Rec" sheetId="3" state="visible" r:id="rId5"/>
    <sheet name="Accrual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3" name="_xlnm.Print_Area" vbProcedure="false">Accrual!$B$1:$V$58</definedName>
    <definedName function="false" hidden="false" localSheetId="0" name="_xlnm.Print_Area" vbProcedure="false">'BS Rec'!$A$1:$F$44</definedName>
    <definedName function="false" hidden="false" localSheetId="2" name="_xlnm.Print_Area" vbProcedure="false">'Monthly GL Rec'!$A$1:$G$79</definedName>
    <definedName function="false" hidden="false" localSheetId="1" name="_xlnm.Print_Area" vbProcedure="false">Reconciliation!$A$1:$P$53</definedName>
    <definedName function="false" hidden="false" name="ImportAccess" vbProcedure="false">Accrual!$A$14:$S$23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<sst xmlns="http://schemas.openxmlformats.org/spreadsheetml/2006/main" count="228" uniqueCount="160">
  <si>
    <t xml:space="preserve">               Enron North America</t>
  </si>
  <si>
    <t xml:space="preserve">               Business Analysis &amp; Reporting - Portfolio Accounting</t>
  </si>
  <si>
    <t xml:space="preserve">               Balance Sheet Reconciliation</t>
  </si>
  <si>
    <t xml:space="preserve">Book:</t>
  </si>
  <si>
    <t xml:space="preserve">FT Katy</t>
  </si>
  <si>
    <t xml:space="preserve">Month:</t>
  </si>
  <si>
    <t xml:space="preserve">Mark to Market Assets/Liabilities </t>
  </si>
  <si>
    <t xml:space="preserve">General Ledger Account</t>
  </si>
  <si>
    <t xml:space="preserve">Profit Center</t>
  </si>
  <si>
    <t xml:space="preserve">Total (M$)</t>
  </si>
  <si>
    <t xml:space="preserve">(company/account)</t>
  </si>
  <si>
    <t xml:space="preserve">967.21060000</t>
  </si>
  <si>
    <t xml:space="preserve">967.25100000</t>
  </si>
  <si>
    <t xml:space="preserve">967.30300000</t>
  </si>
  <si>
    <t xml:space="preserve">967.33100000</t>
  </si>
  <si>
    <t xml:space="preserve">Total  MTM Assets/Liab</t>
  </si>
  <si>
    <t xml:space="preserve">Daily Position Report - Amounts from Roll Forward</t>
  </si>
  <si>
    <t xml:space="preserve">Explanation of Difference:</t>
  </si>
  <si>
    <t xml:space="preserve">Third Party Accrual</t>
  </si>
  <si>
    <t xml:space="preserve">364.20011000</t>
  </si>
  <si>
    <t xml:space="preserve">Credit Reserve</t>
  </si>
  <si>
    <t xml:space="preserve">Subledger</t>
  </si>
  <si>
    <t xml:space="preserve">Total</t>
  </si>
  <si>
    <t xml:space="preserve">(company/major/sub/sl)</t>
  </si>
  <si>
    <t xml:space="preserve">Credit Reserves:</t>
  </si>
  <si>
    <t xml:space="preserve">Accrual</t>
  </si>
  <si>
    <t xml:space="preserve">967.20011000</t>
  </si>
  <si>
    <t xml:space="preserve">Accrual from LTD Rec</t>
  </si>
  <si>
    <t xml:space="preserve">               Income Statement Reconciliation - 2001 YTD</t>
  </si>
  <si>
    <t xml:space="preserve">Book(s):</t>
  </si>
  <si>
    <t xml:space="preserve">Mark to Market </t>
  </si>
  <si>
    <t xml:space="preserve">(Inc)/Exp ($'s)</t>
  </si>
  <si>
    <t xml:space="preserve">42000000 Mark to Market</t>
  </si>
  <si>
    <t xml:space="preserve">Total MTM Assets/Liability</t>
  </si>
  <si>
    <t xml:space="preserve">End vs Beginning Bal</t>
  </si>
  <si>
    <t xml:space="preserve">MTM Income Per DPR</t>
  </si>
  <si>
    <t xml:space="preserve">MTM Variance</t>
  </si>
  <si>
    <t xml:space="preserve">Liquidations</t>
  </si>
  <si>
    <t xml:space="preserve">51009600 Broker Fees</t>
  </si>
  <si>
    <t xml:space="preserve">45016000 Liquidations</t>
  </si>
  <si>
    <t xml:space="preserve">45015000 Third Party Accr</t>
  </si>
  <si>
    <t xml:space="preserve">45016000 Rho &amp; Drift</t>
  </si>
  <si>
    <t xml:space="preserve">Total Liquidations</t>
  </si>
  <si>
    <t xml:space="preserve">Liquidation Income Per DPR</t>
  </si>
  <si>
    <t xml:space="preserve">Liquidation Variance</t>
  </si>
  <si>
    <t xml:space="preserve">Total Variance</t>
  </si>
  <si>
    <t xml:space="preserve">TOTAL G/L</t>
  </si>
  <si>
    <t xml:space="preserve">TOTAL DPR</t>
  </si>
  <si>
    <t xml:space="preserve">TOTAL VARIANCE</t>
  </si>
  <si>
    <t xml:space="preserve">TOTAL DPR MTM Income</t>
  </si>
  <si>
    <t xml:space="preserve">Other G/L Entries</t>
  </si>
  <si>
    <t xml:space="preserve">Total G/L</t>
  </si>
  <si>
    <t xml:space="preserve">Enron North America</t>
  </si>
  <si>
    <t xml:space="preserve">G/L Profit Center  27094 (Final Close)</t>
  </si>
  <si>
    <t xml:space="preserve">Monthly Reconcilation of G/L and Liquidation Schedule</t>
  </si>
  <si>
    <t xml:space="preserve">Less Prior</t>
  </si>
  <si>
    <t xml:space="preserve">Plus</t>
  </si>
  <si>
    <t xml:space="preserve"> </t>
  </si>
  <si>
    <t xml:space="preserve">Month</t>
  </si>
  <si>
    <t xml:space="preserve">Adj. to be </t>
  </si>
  <si>
    <t xml:space="preserve">Account Number</t>
  </si>
  <si>
    <t xml:space="preserve">Order</t>
  </si>
  <si>
    <t xml:space="preserve">Per G/L</t>
  </si>
  <si>
    <t xml:space="preserve">Adjustments</t>
  </si>
  <si>
    <t xml:space="preserve">Booked Next Month</t>
  </si>
  <si>
    <t xml:space="preserve">Liquidation</t>
  </si>
  <si>
    <t xml:space="preserve">Out of Balance</t>
  </si>
  <si>
    <t xml:space="preserve">Broker Fees</t>
  </si>
  <si>
    <t xml:space="preserve">364.51009600</t>
  </si>
  <si>
    <t xml:space="preserve">Third Pty Liquidations</t>
  </si>
  <si>
    <t xml:space="preserve">364.450150000</t>
  </si>
  <si>
    <t xml:space="preserve">500002???</t>
  </si>
  <si>
    <t xml:space="preserve">Prior Month Accrual</t>
  </si>
  <si>
    <t xml:space="preserve">FS Variance</t>
  </si>
  <si>
    <t xml:space="preserve">Current Month Accrual</t>
  </si>
  <si>
    <t xml:space="preserve">Prior Month Adjustments</t>
  </si>
  <si>
    <t xml:space="preserve">InterCompanies/InnerBook</t>
  </si>
  <si>
    <t xml:space="preserve">364.45016000.78P</t>
  </si>
  <si>
    <t xml:space="preserve">364.45016000.967</t>
  </si>
  <si>
    <t xml:space="preserve">967.45016000.364</t>
  </si>
  <si>
    <t xml:space="preserve">967.45015000.364</t>
  </si>
  <si>
    <t xml:space="preserve">364.45015000.1J2</t>
  </si>
  <si>
    <t xml:space="preserve">967.45016000.012</t>
  </si>
  <si>
    <t xml:space="preserve">967.45016000.967</t>
  </si>
  <si>
    <t xml:space="preserve">Rho &amp; Drift</t>
  </si>
  <si>
    <t xml:space="preserve">967.45016000.1Y2</t>
  </si>
  <si>
    <t xml:space="preserve">Mark to Market</t>
  </si>
  <si>
    <t xml:space="preserve">42000000</t>
  </si>
  <si>
    <t xml:space="preserve">Accrual for LTD Dpr</t>
  </si>
  <si>
    <t xml:space="preserve">Total Value for Nymex Daily</t>
  </si>
  <si>
    <t xml:space="preserve">Total Value Reconciliation</t>
  </si>
  <si>
    <t xml:space="preserve">Roll Ties</t>
  </si>
  <si>
    <t xml:space="preserve">Items to be Booked</t>
  </si>
  <si>
    <t xml:space="preserve">Outage:</t>
  </si>
  <si>
    <t xml:space="preserve">Subledger:</t>
  </si>
  <si>
    <t xml:space="preserve">Responsibility Codes:  Financial Ops (FO), Financial Settlements (FS), Client Services (CS), Risk Management (RM), To Be Determined (TBD)</t>
  </si>
  <si>
    <t xml:space="preserve">Types of Variances:  Prior Year Adjustments (P), Current Year Adjustments - Timing (T), Exposure (E), Other (O)</t>
  </si>
  <si>
    <t xml:space="preserve">Resp.</t>
  </si>
  <si>
    <t xml:space="preserve">Outstanding</t>
  </si>
  <si>
    <t xml:space="preserve">Bookcode</t>
  </si>
  <si>
    <t xml:space="preserve">Code</t>
  </si>
  <si>
    <t xml:space="preserve">Type</t>
  </si>
  <si>
    <t xml:space="preserve">Description</t>
  </si>
  <si>
    <t xml:space="preserve">2000 ADJ *</t>
  </si>
  <si>
    <t xml:space="preserve">Jan-01*</t>
  </si>
  <si>
    <t xml:space="preserve">Feb-01*</t>
  </si>
  <si>
    <t xml:space="preserve">Mar-01*</t>
  </si>
  <si>
    <t xml:space="preserve">Apr-01*</t>
  </si>
  <si>
    <t xml:space="preserve">May-01*</t>
  </si>
  <si>
    <t xml:space="preserve">Jun-01*</t>
  </si>
  <si>
    <t xml:space="preserve">Jul-01*</t>
  </si>
  <si>
    <t xml:space="preserve">Aug-01*</t>
  </si>
  <si>
    <t xml:space="preserve">Sep-01*</t>
  </si>
  <si>
    <t xml:space="preserve">Oct-01*</t>
  </si>
  <si>
    <t xml:space="preserve">Nov-01*</t>
  </si>
  <si>
    <t xml:space="preserve">Dec-01*</t>
  </si>
  <si>
    <t xml:space="preserve">Total**</t>
  </si>
  <si>
    <t xml:space="preserve">May</t>
  </si>
  <si>
    <t xml:space="preserve">FO</t>
  </si>
  <si>
    <t xml:space="preserve">E</t>
  </si>
  <si>
    <t xml:space="preserve">Broker fees on stmt but not in correct pc</t>
  </si>
  <si>
    <t xml:space="preserve">O</t>
  </si>
  <si>
    <t xml:space="preserve">Miscellaneous Rounding</t>
  </si>
  <si>
    <t xml:space="preserve">Jun</t>
  </si>
  <si>
    <t xml:space="preserve">FS</t>
  </si>
  <si>
    <t xml:space="preserve">Duke Energy Trading &amp; Marketing (Offset PC 11837-$32 Rounding diff )</t>
  </si>
  <si>
    <t xml:space="preserve">El Paso Merchange Energy (offset with pc 11816; deal v99538.1 $74,550 )</t>
  </si>
  <si>
    <t xml:space="preserve">Jul</t>
  </si>
  <si>
    <t xml:space="preserve">RM</t>
  </si>
  <si>
    <t xml:space="preserve">Texaco Natural Gas Inc - net w/ PC 11829 - revalue VB9536 using fixed price of 3.7405 and float of 3.79 (inv 0107903)</t>
  </si>
  <si>
    <t xml:space="preserve">Aug</t>
  </si>
  <si>
    <t xml:space="preserve">Broker fees not taken - added to DPR (2nd WD) after liquidations ran</t>
  </si>
  <si>
    <t xml:space="preserve">Oct</t>
  </si>
  <si>
    <t xml:space="preserve">Broker fees taken by DPR but not booked in GL - offset in FT Texas</t>
  </si>
  <si>
    <t xml:space="preserve">ZH book didn't book liquidations with Katy - will book in Nov</t>
  </si>
  <si>
    <t xml:space="preserve">Nov</t>
  </si>
  <si>
    <t xml:space="preserve">Third party variance</t>
  </si>
  <si>
    <t xml:space="preserve">Subtotal</t>
  </si>
  <si>
    <t xml:space="preserve">LESS 2001 ADJ TO DPR VS 2000 ACTUAL:</t>
  </si>
  <si>
    <t xml:space="preserve">LESS 2001 ADJ TO G/L VS 2000 DPR:</t>
  </si>
  <si>
    <t xml:space="preserve">SUBTOTAL - 2000 VARIANCE ONLY</t>
  </si>
  <si>
    <t xml:space="preserve">INCEPTION TO DATE RECONCILIATION</t>
  </si>
  <si>
    <t xml:space="preserve">OUTSTANDING G/L ADJUSTMENTS:</t>
  </si>
  <si>
    <t xml:space="preserve">G/L VARIANCES VS 2000 DPR</t>
  </si>
  <si>
    <t xml:space="preserve">G/L VARIANCES VS 2001 DPR (SEE ABOVE)</t>
  </si>
  <si>
    <t xml:space="preserve">TOTAL OUTSTANDING G/L ADJUSTMENTS</t>
  </si>
  <si>
    <t xml:space="preserve">OUTSTANDING DPR ADJUSTMENTS:</t>
  </si>
  <si>
    <t xml:space="preserve">DPR VARIANCES VS 2000 G/L </t>
  </si>
  <si>
    <t xml:space="preserve">DPR VARIANCES VS 2001 G/L (SEE ABOVE)</t>
  </si>
  <si>
    <t xml:space="preserve">TOTAL OUSTANDING DPR ADJUSTMENTS</t>
  </si>
  <si>
    <t xml:space="preserve">Check</t>
  </si>
  <si>
    <t xml:space="preserve">TOTAL OUTSTANDING VARIANCES - BY MONTH</t>
  </si>
  <si>
    <t xml:space="preserve">*  FOR RESPONSIBILITY CODE:         RM = (DR)/CR</t>
  </si>
  <si>
    <t xml:space="preserve">DPR OVER/(UNDER) G/L -  INCEPTION TO DATE</t>
  </si>
  <si>
    <t xml:space="preserve">   FOR RESPONSIBILITY CODE:       FS or FO = DR/(CR)</t>
  </si>
  <si>
    <t xml:space="preserve">**  IF THE AMOUNT IN THIS COLUMN IS:</t>
  </si>
  <si>
    <t xml:space="preserve">ACCRUAL (HYPERION)</t>
  </si>
  <si>
    <t xml:space="preserve">    (BRACKETED) = DPR IS LESS THAN THE G/L</t>
  </si>
  <si>
    <t xml:space="preserve">    W/O BRACKETS = DPR IS GREATER THAN THE G/L</t>
  </si>
  <si>
    <t xml:space="preserve">DIFFERENCE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</si>
</sst>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[$-409]#,##0_);[RED]\(#,##0\)"/>
    <numFmt numFmtId="167" formatCode="mmmm\-yy"/>
    <numFmt numFmtId="168" formatCode="0_);\(0\)"/>
    <numFmt numFmtId="169" formatCode="0_);[RED]\(0\)"/>
    <numFmt numFmtId="170" formatCode="[$-409]#,##0.00_);[RED]\(#,##0.00\)"/>
    <numFmt numFmtId="171" formatCode="[$-409]mmm\-yy"/>
    <numFmt numFmtId="172" formatCode="[$-409]#,##0.00_);\(#,##0.00\)"/>
    <numFmt numFmtId="173" formatCode="0.000"/>
    <numFmt numFmtId="174" formatCode="_(\$* #,##0.00_);_(\$* \(#,##0.00\);_(\$* \-??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i val="true"/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sz val="8"/>
      <color rgb="FF969696"/>
      <name val="Arial"/>
      <family val="2"/>
    </font>
    <font>
      <i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color rgb="FF3366FF"/>
      <name val="Arial"/>
      <family val="2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color rgb="FF339933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E3E3E3"/>
        <bgColor rgb="FFCCFFCC"/>
      </patternFill>
    </fill>
    <fill>
      <patternFill patternType="solid">
        <fgColor rgb="FFA6CAF0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/>
      <bottom style="thick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4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4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2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4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REC11828 GD Market" xfId="20"/>
  </cellStyles>
  <dxfs count="2">
    <dxf>
      <font>
        <name val="Arial"/>
        <family val="0"/>
        <b val="1"/>
        <i val="0"/>
        <color rgb="FFFFFFFF"/>
      </font>
      <fill>
        <patternFill>
          <bgColor rgb="FF0000FF"/>
        </patternFill>
      </fill>
    </dxf>
    <dxf>
      <font>
        <name val="Arial"/>
        <family val="0"/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externalLink" Target="externalLinks/externalLink8.xml"/><Relationship Id="rId15" Type="http://schemas.openxmlformats.org/officeDocument/2006/relationships/externalLink" Target="externalLinks/externalLink9.xml"/><Relationship Id="rId16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1.xml"/><Relationship Id="rId1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63000</xdr:colOff>
      <xdr:row>2</xdr:row>
      <xdr:rowOff>209880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0" y="0"/>
          <a:ext cx="701280" cy="667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49680</xdr:colOff>
      <xdr:row>0</xdr:row>
      <xdr:rowOff>18720</xdr:rowOff>
    </xdr:from>
    <xdr:to>
      <xdr:col>1</xdr:col>
      <xdr:colOff>757440</xdr:colOff>
      <xdr:row>2</xdr:row>
      <xdr:rowOff>228600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200160" y="18720"/>
          <a:ext cx="707760" cy="667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0</xdr:row>
      <xdr:rowOff>37800</xdr:rowOff>
    </xdr:from>
    <xdr:to>
      <xdr:col>0</xdr:col>
      <xdr:colOff>746640</xdr:colOff>
      <xdr:row>4</xdr:row>
      <xdr:rowOff>56880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39960" y="37800"/>
          <a:ext cx="706680" cy="666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30240</xdr:colOff>
      <xdr:row>0</xdr:row>
      <xdr:rowOff>9720</xdr:rowOff>
    </xdr:from>
    <xdr:to>
      <xdr:col>2</xdr:col>
      <xdr:colOff>191160</xdr:colOff>
      <xdr:row>2</xdr:row>
      <xdr:rowOff>218880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361800" y="9720"/>
          <a:ext cx="703800" cy="666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20</xdr:col>
      <xdr:colOff>0</xdr:colOff>
      <xdr:row>28</xdr:row>
      <xdr:rowOff>105120</xdr:rowOff>
    </xdr:from>
    <xdr:to>
      <xdr:col>20</xdr:col>
      <xdr:colOff>745920</xdr:colOff>
      <xdr:row>44</xdr:row>
      <xdr:rowOff>66240</xdr:rowOff>
    </xdr:to>
    <xdr:sp>
      <xdr:nvSpPr>
        <xdr:cNvPr id="4" name="Drawing 2"/>
        <xdr:cNvSpPr/>
      </xdr:nvSpPr>
      <xdr:spPr>
        <a:xfrm>
          <a:off x="15542280" y="6401160"/>
          <a:ext cx="745920" cy="2599560"/>
        </a:xfrm>
        <a:custGeom>
          <a:avLst/>
          <a:gdLst/>
          <a:ahLst/>
          <a:rect l="l" t="t" r="r" b="b"/>
          <a:pathLst>
            <a:path w="16384" h="16384">
              <a:moveTo>
                <a:pt x="0" y="1016"/>
              </a:moveTo>
              <a:lnTo>
                <a:pt x="2445" y="635"/>
              </a:lnTo>
              <a:lnTo>
                <a:pt x="4647" y="317"/>
              </a:lnTo>
              <a:lnTo>
                <a:pt x="5869" y="190"/>
              </a:lnTo>
              <a:lnTo>
                <a:pt x="6847" y="127"/>
              </a:lnTo>
              <a:lnTo>
                <a:pt x="7825" y="63"/>
              </a:lnTo>
              <a:lnTo>
                <a:pt x="9048" y="0"/>
              </a:lnTo>
              <a:lnTo>
                <a:pt x="10027" y="0"/>
              </a:lnTo>
              <a:lnTo>
                <a:pt x="11004" y="63"/>
              </a:lnTo>
              <a:lnTo>
                <a:pt x="11737" y="190"/>
              </a:lnTo>
              <a:lnTo>
                <a:pt x="12716" y="317"/>
              </a:lnTo>
              <a:lnTo>
                <a:pt x="13449" y="571"/>
              </a:lnTo>
              <a:lnTo>
                <a:pt x="13939" y="889"/>
              </a:lnTo>
              <a:lnTo>
                <a:pt x="14672" y="1206"/>
              </a:lnTo>
              <a:lnTo>
                <a:pt x="15161" y="1652"/>
              </a:lnTo>
              <a:lnTo>
                <a:pt x="15407" y="1906"/>
              </a:lnTo>
              <a:lnTo>
                <a:pt x="15651" y="2160"/>
              </a:lnTo>
              <a:lnTo>
                <a:pt x="15895" y="2541"/>
              </a:lnTo>
              <a:lnTo>
                <a:pt x="15895" y="2858"/>
              </a:lnTo>
              <a:lnTo>
                <a:pt x="16140" y="3302"/>
              </a:lnTo>
              <a:lnTo>
                <a:pt x="16140" y="3747"/>
              </a:lnTo>
              <a:lnTo>
                <a:pt x="16384" y="4636"/>
              </a:lnTo>
              <a:lnTo>
                <a:pt x="16384" y="5716"/>
              </a:lnTo>
              <a:lnTo>
                <a:pt x="16384" y="6795"/>
              </a:lnTo>
              <a:lnTo>
                <a:pt x="16384" y="7875"/>
              </a:lnTo>
              <a:lnTo>
                <a:pt x="16384" y="9017"/>
              </a:lnTo>
              <a:lnTo>
                <a:pt x="16140" y="10161"/>
              </a:lnTo>
              <a:lnTo>
                <a:pt x="16140" y="11304"/>
              </a:lnTo>
              <a:lnTo>
                <a:pt x="15895" y="12383"/>
              </a:lnTo>
              <a:lnTo>
                <a:pt x="15895" y="13399"/>
              </a:lnTo>
              <a:lnTo>
                <a:pt x="15651" y="14352"/>
              </a:lnTo>
              <a:lnTo>
                <a:pt x="15651" y="14733"/>
              </a:lnTo>
              <a:lnTo>
                <a:pt x="15407" y="15114"/>
              </a:lnTo>
              <a:lnTo>
                <a:pt x="15407" y="15495"/>
              </a:lnTo>
              <a:lnTo>
                <a:pt x="15407" y="15813"/>
              </a:lnTo>
              <a:lnTo>
                <a:pt x="15407" y="16130"/>
              </a:lnTo>
              <a:lnTo>
                <a:pt x="15407" y="16384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1101/Regions/Katy-110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1101/Regions/Katy-1101a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Accrual%20Gas%20Three%20011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ov!JBK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0401/Regions/FT-KATY-TX04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0501/Regions/Katy-05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0601/Regions/Katy-06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0701/Regions/Katy-07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0801/Regions/Katy-080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0901/Regions/Katy-090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1001/Regions/Katy-1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Report"/>
      <sheetName val="Input"/>
      <sheetName val="Postid"/>
      <sheetName val="Top Pages"/>
      <sheetName val="Roll-1"/>
      <sheetName val="Roll-2"/>
      <sheetName val="Roll-3"/>
      <sheetName val="Roll-16"/>
      <sheetName val="Roll-17"/>
      <sheetName val="WeaponX"/>
      <sheetName val="KATY Physical"/>
      <sheetName val="Phys Sum-KATY"/>
      <sheetName val="Orig Sched"/>
      <sheetName val="Sheet1"/>
      <sheetName val="Analysis"/>
      <sheetName val="Positions"/>
      <sheetName val="Daily Macros"/>
      <sheetName val="Monthly Macros"/>
    </sheetNames>
    <sheetDataSet>
      <sheetData sheetId="0"/>
      <sheetData sheetId="1">
        <row r="56">
          <cell r="AQ56">
            <v>393200.9657</v>
          </cell>
        </row>
        <row r="57">
          <cell r="AQ57">
            <v>7796.6543</v>
          </cell>
        </row>
        <row r="58">
          <cell r="AQ58">
            <v>-913.1386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Report"/>
      <sheetName val="Input"/>
      <sheetName val="Postid"/>
      <sheetName val="Top Pages"/>
      <sheetName val="Roll-1"/>
      <sheetName val="Roll-2"/>
      <sheetName val="Roll-3"/>
      <sheetName val="Roll-16"/>
      <sheetName val="Roll-17"/>
      <sheetName val="WeaponX"/>
      <sheetName val="KATY Physical"/>
      <sheetName val="Phys Sum-KATY"/>
      <sheetName val="Orig Sched"/>
      <sheetName val="Sheet1"/>
      <sheetName val="Analysis"/>
      <sheetName val="Positions"/>
      <sheetName val="Daily Macros"/>
      <sheetName val="Monthly Macros"/>
    </sheetNames>
    <sheetDataSet>
      <sheetData sheetId="0"/>
      <sheetData sheetId="1">
        <row r="33">
          <cell r="AQ33">
            <v>-1236101.9186</v>
          </cell>
        </row>
        <row r="35">
          <cell r="AQ35">
            <v>4315875.2104</v>
          </cell>
        </row>
        <row r="49">
          <cell r="AQ49">
            <v>-8994</v>
          </cell>
        </row>
        <row r="53">
          <cell r="AQ53">
            <v>806501.8626</v>
          </cell>
        </row>
        <row r="56">
          <cell r="AQ56">
            <v>393200.9657</v>
          </cell>
        </row>
        <row r="62">
          <cell r="AQ62">
            <v>3493074.1887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ENTRY-CALC"/>
      <sheetName val="Flex File Template"/>
    </sheetNames>
    <sheetDataSet>
      <sheetData sheetId="0">
        <row r="18">
          <cell r="F18">
            <v>69918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tail"/>
      <sheetName val="SUMMARY"/>
      <sheetName val="RollTie"/>
      <sheetName val="SAP Standard"/>
      <sheetName val="SAP InterCo"/>
    </sheetNames>
    <sheetDataSet>
      <sheetData sheetId="0"/>
      <sheetData sheetId="1">
        <row r="7">
          <cell r="F7">
            <v>262649</v>
          </cell>
        </row>
        <row r="104">
          <cell r="I104">
            <v>-1040390</v>
          </cell>
        </row>
        <row r="105">
          <cell r="I105">
            <v>-22425.01</v>
          </cell>
        </row>
        <row r="106">
          <cell r="I106">
            <v>0</v>
          </cell>
        </row>
        <row r="109">
          <cell r="I109">
            <v>0</v>
          </cell>
        </row>
        <row r="111">
          <cell r="I111">
            <v>0</v>
          </cell>
        </row>
        <row r="115">
          <cell r="I115">
            <v>262649</v>
          </cell>
        </row>
      </sheetData>
      <sheetData sheetId="2">
        <row r="16">
          <cell r="G16">
            <v>6757.49600000167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Pages"/>
      <sheetName val="Roll-1"/>
      <sheetName val="Roll-2"/>
      <sheetName val="Roll-3"/>
      <sheetName val="Roll-5"/>
      <sheetName val="Roll-6"/>
      <sheetName val="Orig Sched"/>
      <sheetName val="Roll-4"/>
      <sheetName val="CURVES"/>
      <sheetName val="Daily Macro"/>
      <sheetName val="Monthly Macro"/>
      <sheetName val="Module1"/>
      <sheetName val="Module2"/>
      <sheetName val="Module3"/>
    </sheetNames>
    <sheetDataSet>
      <sheetData sheetId="0">
        <row r="33">
          <cell r="AE33">
            <v>0</v>
          </cell>
        </row>
        <row r="35">
          <cell r="AE35">
            <v>0</v>
          </cell>
        </row>
        <row r="53">
          <cell r="AE53">
            <v>268133.5745</v>
          </cell>
        </row>
        <row r="56">
          <cell r="AE56">
            <v>259105.3228</v>
          </cell>
        </row>
        <row r="62">
          <cell r="AE62">
            <v>9028.1763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Report"/>
      <sheetName val="Postid"/>
      <sheetName val="Top Pages"/>
      <sheetName val="Input"/>
      <sheetName val="Roll-1"/>
      <sheetName val="Roll-2"/>
      <sheetName val="Roll-3"/>
      <sheetName val="Roll-16"/>
      <sheetName val="WeaponX"/>
      <sheetName val="KATY Physical"/>
      <sheetName val="Phys Sum-KATY"/>
      <sheetName val="Positions"/>
      <sheetName val="Daily Macros"/>
      <sheetName val="Monthly Macros"/>
    </sheetNames>
    <sheetDataSet>
      <sheetData sheetId="0"/>
      <sheetData sheetId="1">
        <row r="33">
          <cell r="AQ33">
            <v>259105.3256</v>
          </cell>
        </row>
        <row r="35">
          <cell r="AQ35">
            <v>9028.1768</v>
          </cell>
        </row>
        <row r="53">
          <cell r="AQ53">
            <v>1484449.2101</v>
          </cell>
        </row>
        <row r="56">
          <cell r="AQ56">
            <v>1287260.8217</v>
          </cell>
        </row>
        <row r="62">
          <cell r="AQ62">
            <v>465322.9858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Report"/>
      <sheetName val="Postid"/>
      <sheetName val="Input"/>
      <sheetName val="Top Pages"/>
      <sheetName val="Roll-1"/>
      <sheetName val="Roll-2"/>
      <sheetName val="Roll-3"/>
      <sheetName val="Roll-16"/>
      <sheetName val="WeaponX"/>
      <sheetName val="KATY Physical"/>
      <sheetName val="Phys Sum-KATY"/>
      <sheetName val="Sheet1"/>
      <sheetName val="Analysis"/>
      <sheetName val="Positions"/>
      <sheetName val="Daily Macros"/>
      <sheetName val="Monthly Macros"/>
    </sheetNames>
    <sheetDataSet>
      <sheetData sheetId="0"/>
      <sheetData sheetId="1">
        <row r="33">
          <cell r="AQ33">
            <v>1287260.8217</v>
          </cell>
        </row>
        <row r="35">
          <cell r="AQ35">
            <v>465322.9858</v>
          </cell>
        </row>
        <row r="53">
          <cell r="AQ53">
            <v>1053178.2955</v>
          </cell>
        </row>
        <row r="56">
          <cell r="AQ56">
            <v>1829522.6402</v>
          </cell>
        </row>
        <row r="62">
          <cell r="AQ62">
            <v>976239.4628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Report"/>
      <sheetName val="Input"/>
      <sheetName val="Postid"/>
      <sheetName val="Top Pages"/>
      <sheetName val="Roll-1"/>
      <sheetName val="Roll-2"/>
      <sheetName val="Roll-3"/>
      <sheetName val="Roll-16"/>
      <sheetName val="Roll-17"/>
      <sheetName val="WeaponX"/>
      <sheetName val="KATY Physical"/>
      <sheetName val="Phys Sum-KATY"/>
      <sheetName val="Orig Sched"/>
      <sheetName val="Sheet1"/>
      <sheetName val="Analysis"/>
      <sheetName val="Positions"/>
      <sheetName val="Daily Macros"/>
      <sheetName val="Monthly Macros"/>
    </sheetNames>
    <sheetDataSet>
      <sheetData sheetId="0"/>
      <sheetData sheetId="1">
        <row r="33">
          <cell r="AQ33">
            <v>1829522.6402</v>
          </cell>
        </row>
        <row r="35">
          <cell r="AQ35">
            <v>976239.4628</v>
          </cell>
        </row>
        <row r="53">
          <cell r="AQ53">
            <v>-400339.1089</v>
          </cell>
        </row>
        <row r="56">
          <cell r="AQ56">
            <v>1047490.2583</v>
          </cell>
        </row>
        <row r="62">
          <cell r="AQ62">
            <v>1357932.7358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Report"/>
      <sheetName val="Input"/>
      <sheetName val="Postid"/>
      <sheetName val="Top Pages"/>
      <sheetName val="Roll-1"/>
      <sheetName val="Roll-2"/>
      <sheetName val="Roll-3"/>
      <sheetName val="Roll-16"/>
      <sheetName val="Roll-17"/>
      <sheetName val="WeaponX"/>
      <sheetName val="KATY Physical"/>
      <sheetName val="Phys Sum-KATY"/>
      <sheetName val="Orig Sched"/>
      <sheetName val="Sheet1"/>
      <sheetName val="Analysis"/>
      <sheetName val="Positions"/>
      <sheetName val="Daily Macros"/>
      <sheetName val="Monthly Macros"/>
    </sheetNames>
    <sheetDataSet>
      <sheetData sheetId="0"/>
      <sheetData sheetId="1">
        <row r="33">
          <cell r="AQ33">
            <v>1047490.2583</v>
          </cell>
        </row>
        <row r="35">
          <cell r="AQ35">
            <v>1357932.7358</v>
          </cell>
        </row>
        <row r="53">
          <cell r="AQ53">
            <v>1164928.8333</v>
          </cell>
        </row>
        <row r="56">
          <cell r="AQ56">
            <v>1156229.6342</v>
          </cell>
        </row>
        <row r="62">
          <cell r="AQ62">
            <v>2414121.9224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Report"/>
      <sheetName val="Input"/>
      <sheetName val="Postid"/>
      <sheetName val="Top Pages"/>
      <sheetName val="Roll-1"/>
      <sheetName val="Roll-2"/>
      <sheetName val="Roll-3"/>
      <sheetName val="Roll-16"/>
      <sheetName val="Roll-17"/>
      <sheetName val="WeaponX"/>
      <sheetName val="KATY Physical"/>
      <sheetName val="Phys Sum-KATY"/>
      <sheetName val="Orig Sched"/>
      <sheetName val="Sheet1"/>
      <sheetName val="Analysis"/>
      <sheetName val="Positions"/>
      <sheetName val="Daily Macros"/>
      <sheetName val="Monthly Macros"/>
    </sheetNames>
    <sheetDataSet>
      <sheetData sheetId="0"/>
      <sheetData sheetId="1">
        <row r="33">
          <cell r="AQ33">
            <v>1156229.6342</v>
          </cell>
        </row>
        <row r="35">
          <cell r="AQ35">
            <v>2414121.9224</v>
          </cell>
        </row>
        <row r="53">
          <cell r="AQ53">
            <v>-9976.33319999969</v>
          </cell>
        </row>
        <row r="56">
          <cell r="AQ56">
            <v>-48432.1655</v>
          </cell>
        </row>
        <row r="62">
          <cell r="AQ62">
            <v>3608807.3889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Report"/>
      <sheetName val="Input"/>
      <sheetName val="Postid"/>
      <sheetName val="Top Pages"/>
      <sheetName val="Roll-1"/>
      <sheetName val="Roll-2"/>
      <sheetName val="Roll-3"/>
      <sheetName val="Roll-16"/>
      <sheetName val="Roll-17"/>
      <sheetName val="WeaponX"/>
      <sheetName val="KATY Physical"/>
      <sheetName val="Phys Sum-KATY"/>
      <sheetName val="Orig Sched"/>
      <sheetName val="Sheet1"/>
      <sheetName val="Analysis"/>
      <sheetName val="Positions"/>
      <sheetName val="Daily Macros"/>
      <sheetName val="Monthly Macros"/>
    </sheetNames>
    <sheetDataSet>
      <sheetData sheetId="0"/>
      <sheetData sheetId="1">
        <row r="33">
          <cell r="AQ33">
            <v>-48432.1655</v>
          </cell>
        </row>
        <row r="35">
          <cell r="AQ35">
            <v>3608807.3889</v>
          </cell>
        </row>
        <row r="53">
          <cell r="AQ53">
            <v>-480605.9634</v>
          </cell>
        </row>
        <row r="56">
          <cell r="AQ56">
            <v>-1236101.9186</v>
          </cell>
        </row>
        <row r="62">
          <cell r="AQ62">
            <v>4315875.2104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25.41"/>
    <col collapsed="false" customWidth="true" hidden="false" outlineLevel="0" max="3" min="3" style="0" width="2.84"/>
    <col collapsed="false" customWidth="true" hidden="false" outlineLevel="0" max="4" min="4" style="0" width="19.7"/>
    <col collapsed="false" customWidth="true" hidden="false" outlineLevel="0" max="5" min="5" style="0" width="2.56"/>
    <col collapsed="false" customWidth="true" hidden="false" outlineLevel="0" max="6" min="6" style="2" width="19.7"/>
    <col collapsed="false" customWidth="true" hidden="false" outlineLevel="0" max="7" min="7" style="0" width="2.84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</row>
    <row r="3" customFormat="false" ht="18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/>
    </row>
    <row r="6" customFormat="false" ht="15.75" hidden="false" customHeight="false" outlineLevel="0" collapsed="false">
      <c r="A6" s="5" t="s">
        <v>3</v>
      </c>
      <c r="B6" s="6" t="s">
        <v>4</v>
      </c>
      <c r="D6" s="7"/>
    </row>
    <row r="7" customFormat="false" ht="15.75" hidden="false" customHeight="false" outlineLevel="0" collapsed="false">
      <c r="A7" s="5" t="s">
        <v>5</v>
      </c>
      <c r="B7" s="8" t="n">
        <f aca="false">Reconciliation!D8</f>
        <v>37225</v>
      </c>
      <c r="C7" s="9"/>
      <c r="D7" s="9"/>
      <c r="E7" s="9"/>
      <c r="F7" s="10"/>
      <c r="G7" s="9"/>
    </row>
    <row r="9" customFormat="false" ht="15.75" hidden="false" customHeight="false" outlineLevel="0" collapsed="false">
      <c r="A9" s="11" t="s">
        <v>6</v>
      </c>
    </row>
    <row r="10" customFormat="false" ht="12.75" hidden="false" customHeight="false" outlineLevel="0" collapsed="false">
      <c r="B10" s="12" t="s">
        <v>7</v>
      </c>
      <c r="C10" s="13"/>
      <c r="D10" s="14" t="s">
        <v>8</v>
      </c>
      <c r="E10" s="14"/>
      <c r="F10" s="15" t="s">
        <v>9</v>
      </c>
    </row>
    <row r="11" customFormat="false" ht="12.75" hidden="false" customHeight="false" outlineLevel="0" collapsed="false">
      <c r="B11" s="16" t="s">
        <v>10</v>
      </c>
      <c r="C11" s="17"/>
      <c r="D11" s="18" t="n">
        <f aca="false">Reconciliation!D7</f>
        <v>27094</v>
      </c>
      <c r="E11" s="17"/>
      <c r="F11" s="19"/>
    </row>
    <row r="12" customFormat="false" ht="12.75" hidden="false" customHeight="false" outlineLevel="0" collapsed="false">
      <c r="B12" s="20"/>
      <c r="C12" s="21"/>
      <c r="D12" s="22"/>
      <c r="E12" s="22"/>
      <c r="F12" s="23"/>
    </row>
    <row r="13" customFormat="false" ht="12.75" hidden="false" customHeight="false" outlineLevel="0" collapsed="false">
      <c r="B13" s="24" t="s">
        <v>11</v>
      </c>
      <c r="C13" s="25"/>
      <c r="D13" s="26" t="n">
        <v>39651229</v>
      </c>
      <c r="E13" s="27"/>
      <c r="F13" s="26" t="n">
        <f aca="false">+D13/1000</f>
        <v>39651.229</v>
      </c>
    </row>
    <row r="14" customFormat="false" ht="12.75" hidden="false" customHeight="false" outlineLevel="0" collapsed="false">
      <c r="B14" s="24"/>
      <c r="C14" s="25"/>
      <c r="D14" s="26"/>
      <c r="E14" s="27"/>
      <c r="F14" s="26"/>
    </row>
    <row r="15" customFormat="false" ht="12.75" hidden="false" customHeight="false" outlineLevel="0" collapsed="false">
      <c r="B15" s="24" t="s">
        <v>12</v>
      </c>
      <c r="C15" s="25"/>
      <c r="D15" s="26" t="n">
        <v>1341965</v>
      </c>
      <c r="E15" s="27"/>
      <c r="F15" s="26" t="n">
        <f aca="false">+D15/1000</f>
        <v>1341.965</v>
      </c>
    </row>
    <row r="16" customFormat="false" ht="12.75" hidden="false" customHeight="false" outlineLevel="0" collapsed="false">
      <c r="B16" s="24"/>
      <c r="C16" s="25"/>
      <c r="D16" s="26"/>
      <c r="E16" s="27"/>
      <c r="F16" s="26"/>
    </row>
    <row r="17" customFormat="false" ht="12.75" hidden="false" customHeight="false" outlineLevel="0" collapsed="false">
      <c r="B17" s="24" t="s">
        <v>13</v>
      </c>
      <c r="C17" s="25"/>
      <c r="D17" s="26" t="n">
        <v>-38789660</v>
      </c>
      <c r="E17" s="27"/>
      <c r="F17" s="26" t="n">
        <f aca="false">+D17/1000</f>
        <v>-38789.66</v>
      </c>
    </row>
    <row r="18" customFormat="false" ht="12.75" hidden="false" customHeight="false" outlineLevel="0" collapsed="false">
      <c r="B18" s="24"/>
      <c r="C18" s="25"/>
      <c r="D18" s="26"/>
      <c r="E18" s="27"/>
      <c r="F18" s="26"/>
    </row>
    <row r="19" customFormat="false" ht="12.75" hidden="false" customHeight="false" outlineLevel="0" collapsed="false">
      <c r="B19" s="24" t="s">
        <v>14</v>
      </c>
      <c r="C19" s="25"/>
      <c r="D19" s="26" t="n">
        <v>-1810333</v>
      </c>
      <c r="E19" s="27"/>
      <c r="F19" s="26" t="n">
        <f aca="false">+D19/1000</f>
        <v>-1810.333</v>
      </c>
    </row>
    <row r="20" customFormat="false" ht="12.75" hidden="false" customHeight="false" outlineLevel="0" collapsed="false">
      <c r="B20" s="28"/>
      <c r="C20" s="29"/>
      <c r="D20" s="19"/>
      <c r="E20" s="30"/>
      <c r="F20" s="19"/>
    </row>
    <row r="21" customFormat="false" ht="12.75" hidden="false" customHeight="false" outlineLevel="0" collapsed="false">
      <c r="B21" s="16" t="s">
        <v>15</v>
      </c>
      <c r="C21" s="29"/>
      <c r="D21" s="19" t="n">
        <f aca="false">SUM(D12:D20)</f>
        <v>393201</v>
      </c>
      <c r="E21" s="30"/>
      <c r="F21" s="19" t="n">
        <f aca="false">SUM(F12:F20)</f>
        <v>393.200999999996</v>
      </c>
    </row>
    <row r="22" customFormat="false" ht="12.75" hidden="false" customHeight="false" outlineLevel="0" collapsed="false">
      <c r="D22" s="31"/>
      <c r="E22" s="31"/>
    </row>
    <row r="23" customFormat="false" ht="14.25" hidden="false" customHeight="true" outlineLevel="0" collapsed="false">
      <c r="B23" s="32" t="s">
        <v>16</v>
      </c>
      <c r="C23" s="33"/>
      <c r="D23" s="34"/>
      <c r="E23" s="34"/>
      <c r="F23" s="35" t="n">
        <f aca="false">[1]Report!$AQ$56/1000</f>
        <v>393.2009657</v>
      </c>
    </row>
    <row r="24" customFormat="false" ht="12.75" hidden="false" customHeight="false" outlineLevel="0" collapsed="false">
      <c r="D24" s="31"/>
      <c r="E24" s="31"/>
    </row>
    <row r="25" customFormat="false" ht="12.75" hidden="false" customHeight="false" outlineLevel="0" collapsed="false">
      <c r="B25" s="36" t="s">
        <v>17</v>
      </c>
      <c r="C25" s="37"/>
      <c r="D25" s="38"/>
      <c r="E25" s="38"/>
      <c r="F25" s="35" t="n">
        <f aca="false">+F23-F21</f>
        <v>-3.42999959457302E-005</v>
      </c>
    </row>
    <row r="26" customFormat="false" ht="12.75" hidden="false" customHeight="false" outlineLevel="0" collapsed="false">
      <c r="B26" s="39"/>
      <c r="C26" s="40"/>
      <c r="D26" s="41"/>
      <c r="E26" s="41"/>
      <c r="F26" s="26"/>
    </row>
    <row r="27" customFormat="false" ht="12.75" hidden="false" customHeight="false" outlineLevel="0" collapsed="false">
      <c r="B27" s="39"/>
      <c r="C27" s="40"/>
      <c r="D27" s="41"/>
      <c r="E27" s="41"/>
      <c r="F27" s="26"/>
    </row>
    <row r="28" customFormat="false" ht="12.75" hidden="false" customHeight="false" outlineLevel="0" collapsed="false">
      <c r="B28" s="42"/>
      <c r="C28" s="43"/>
      <c r="D28" s="44"/>
      <c r="E28" s="44"/>
      <c r="F28" s="19"/>
    </row>
    <row r="31" customFormat="false" ht="15.75" hidden="false" customHeight="false" outlineLevel="0" collapsed="false">
      <c r="A31" s="11" t="s">
        <v>18</v>
      </c>
    </row>
    <row r="32" customFormat="false" ht="12.75" hidden="false" customHeight="false" outlineLevel="0" collapsed="false">
      <c r="B32" s="12" t="s">
        <v>7</v>
      </c>
      <c r="C32" s="13"/>
      <c r="D32" s="14" t="str">
        <f aca="false">D10</f>
        <v>Profit Center</v>
      </c>
      <c r="E32" s="14"/>
      <c r="F32" s="15" t="str">
        <f aca="false">F10</f>
        <v>Total (M$)</v>
      </c>
    </row>
    <row r="33" customFormat="false" ht="12.75" hidden="false" customHeight="false" outlineLevel="0" collapsed="false">
      <c r="B33" s="16" t="str">
        <f aca="false">B11</f>
        <v>(company/account)</v>
      </c>
      <c r="C33" s="17"/>
      <c r="D33" s="18" t="n">
        <f aca="false">D11</f>
        <v>27094</v>
      </c>
      <c r="E33" s="17"/>
      <c r="F33" s="19"/>
    </row>
    <row r="34" customFormat="false" ht="12.75" hidden="false" customHeight="false" outlineLevel="0" collapsed="false">
      <c r="B34" s="45"/>
      <c r="C34" s="46"/>
      <c r="D34" s="46"/>
      <c r="E34" s="46"/>
      <c r="F34" s="26"/>
    </row>
    <row r="35" customFormat="false" ht="12.75" hidden="false" customHeight="false" outlineLevel="0" collapsed="false">
      <c r="B35" s="47" t="s">
        <v>19</v>
      </c>
      <c r="C35" s="46"/>
      <c r="D35" s="48" t="n">
        <v>0</v>
      </c>
      <c r="E35" s="46"/>
      <c r="F35" s="26" t="n">
        <f aca="false">D35/1000</f>
        <v>0</v>
      </c>
    </row>
    <row r="36" customFormat="false" ht="12.75" hidden="false" customHeight="false" outlineLevel="0" collapsed="false">
      <c r="B36" s="28"/>
      <c r="C36" s="29"/>
      <c r="D36" s="30"/>
      <c r="E36" s="30"/>
      <c r="F36" s="19"/>
    </row>
    <row r="37" customFormat="false" ht="12.75" hidden="false" customHeight="false" outlineLevel="0" collapsed="false">
      <c r="D37" s="31"/>
      <c r="E37" s="31"/>
    </row>
    <row r="38" customFormat="false" ht="12.75" hidden="false" customHeight="false" outlineLevel="0" collapsed="false">
      <c r="B38" s="32" t="s">
        <v>16</v>
      </c>
      <c r="C38" s="33"/>
      <c r="D38" s="34"/>
      <c r="E38" s="34"/>
      <c r="F38" s="35" t="n">
        <f aca="false">[2]SUMMARY!$F$7/1000*0</f>
        <v>0</v>
      </c>
    </row>
    <row r="39" customFormat="false" ht="12.75" hidden="false" customHeight="false" outlineLevel="0" collapsed="false">
      <c r="D39" s="31"/>
      <c r="E39" s="31"/>
    </row>
    <row r="40" customFormat="false" ht="12.75" hidden="false" customHeight="false" outlineLevel="0" collapsed="false">
      <c r="B40" s="12" t="s">
        <v>17</v>
      </c>
      <c r="C40" s="21"/>
      <c r="D40" s="22"/>
      <c r="E40" s="22"/>
      <c r="F40" s="23"/>
    </row>
    <row r="41" customFormat="false" ht="12.75" hidden="false" customHeight="false" outlineLevel="0" collapsed="false">
      <c r="B41" s="49"/>
      <c r="C41" s="25"/>
      <c r="D41" s="27"/>
      <c r="E41" s="27"/>
      <c r="F41" s="26" t="n">
        <f aca="false">+F35-F38</f>
        <v>0</v>
      </c>
    </row>
    <row r="42" customFormat="false" ht="12.75" hidden="false" customHeight="false" outlineLevel="0" collapsed="false">
      <c r="B42" s="49"/>
      <c r="C42" s="25"/>
      <c r="D42" s="27"/>
      <c r="E42" s="27"/>
      <c r="F42" s="26"/>
    </row>
    <row r="43" customFormat="false" ht="12.75" hidden="false" customHeight="false" outlineLevel="0" collapsed="false">
      <c r="B43" s="28"/>
      <c r="C43" s="29"/>
      <c r="D43" s="30"/>
      <c r="E43" s="30"/>
      <c r="F43" s="19"/>
    </row>
    <row r="46" customFormat="false" ht="12.75" hidden="true" customHeight="false" outlineLevel="0" collapsed="false"/>
    <row r="47" customFormat="false" ht="15.75" hidden="true" customHeight="false" outlineLevel="0" collapsed="false">
      <c r="A47" s="11" t="s">
        <v>20</v>
      </c>
    </row>
    <row r="48" customFormat="false" ht="12.75" hidden="true" customHeight="false" outlineLevel="0" collapsed="false">
      <c r="B48" s="50" t="s">
        <v>7</v>
      </c>
      <c r="C48" s="13"/>
      <c r="D48" s="14" t="s">
        <v>21</v>
      </c>
      <c r="E48" s="14"/>
      <c r="F48" s="15" t="s">
        <v>22</v>
      </c>
    </row>
    <row r="49" customFormat="false" ht="12.75" hidden="true" customHeight="false" outlineLevel="0" collapsed="false">
      <c r="B49" s="16" t="s">
        <v>23</v>
      </c>
      <c r="C49" s="17"/>
      <c r="D49" s="17"/>
      <c r="E49" s="17"/>
      <c r="F49" s="19"/>
    </row>
    <row r="50" customFormat="false" ht="12.75" hidden="true" customHeight="false" outlineLevel="0" collapsed="false">
      <c r="B50" s="28"/>
      <c r="C50" s="29"/>
      <c r="D50" s="30"/>
      <c r="E50" s="30"/>
      <c r="F50" s="19"/>
    </row>
    <row r="51" customFormat="false" ht="12.75" hidden="true" customHeight="false" outlineLevel="0" collapsed="false">
      <c r="D51" s="31"/>
      <c r="E51" s="31"/>
    </row>
    <row r="52" customFormat="false" ht="12.75" hidden="true" customHeight="false" outlineLevel="0" collapsed="false">
      <c r="D52" s="31"/>
      <c r="E52" s="31"/>
    </row>
    <row r="53" customFormat="false" ht="12.75" hidden="true" customHeight="false" outlineLevel="0" collapsed="false">
      <c r="B53" s="12" t="s">
        <v>24</v>
      </c>
      <c r="C53" s="21"/>
      <c r="D53" s="22"/>
      <c r="E53" s="22"/>
      <c r="F53" s="23"/>
    </row>
    <row r="54" customFormat="false" ht="12.75" hidden="true" customHeight="false" outlineLevel="0" collapsed="false">
      <c r="B54" s="49"/>
      <c r="C54" s="25"/>
      <c r="D54" s="27"/>
      <c r="E54" s="27"/>
      <c r="F54" s="26"/>
    </row>
    <row r="55" customFormat="false" ht="12.75" hidden="true" customHeight="false" outlineLevel="0" collapsed="false">
      <c r="B55" s="49"/>
      <c r="C55" s="25"/>
      <c r="D55" s="27"/>
      <c r="E55" s="27"/>
      <c r="F55" s="26"/>
    </row>
    <row r="56" customFormat="false" ht="12.75" hidden="true" customHeight="false" outlineLevel="0" collapsed="false">
      <c r="B56" s="28"/>
      <c r="C56" s="29"/>
      <c r="D56" s="30"/>
      <c r="E56" s="30"/>
      <c r="F56" s="19"/>
    </row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5.75" hidden="false" customHeight="false" outlineLevel="0" collapsed="false">
      <c r="A59" s="11" t="s">
        <v>25</v>
      </c>
    </row>
    <row r="60" customFormat="false" ht="12.75" hidden="false" customHeight="false" outlineLevel="0" collapsed="false">
      <c r="B60" s="12" t="s">
        <v>7</v>
      </c>
      <c r="C60" s="13"/>
      <c r="D60" s="14" t="s">
        <v>8</v>
      </c>
      <c r="E60" s="14"/>
      <c r="F60" s="15" t="s">
        <v>22</v>
      </c>
    </row>
    <row r="61" customFormat="false" ht="12.75" hidden="false" customHeight="false" outlineLevel="0" collapsed="false">
      <c r="B61" s="16" t="str">
        <f aca="false">B33</f>
        <v>(company/account)</v>
      </c>
      <c r="C61" s="51"/>
      <c r="D61" s="52" t="n">
        <f aca="false">D33</f>
        <v>27094</v>
      </c>
      <c r="E61" s="17"/>
      <c r="F61" s="19"/>
    </row>
    <row r="62" customFormat="false" ht="12.75" hidden="false" customHeight="false" outlineLevel="0" collapsed="false">
      <c r="B62" s="53"/>
      <c r="C62" s="54"/>
      <c r="D62" s="55"/>
      <c r="E62" s="54"/>
      <c r="F62" s="26"/>
    </row>
    <row r="63" customFormat="false" ht="12.75" hidden="false" customHeight="false" outlineLevel="0" collapsed="false">
      <c r="B63" s="56" t="s">
        <v>26</v>
      </c>
      <c r="C63" s="57"/>
      <c r="D63" s="58" t="n">
        <v>69918</v>
      </c>
      <c r="E63" s="54"/>
      <c r="F63" s="26" t="n">
        <f aca="false">+(D63)/1000</f>
        <v>69.918</v>
      </c>
    </row>
    <row r="64" customFormat="false" ht="12.75" hidden="false" customHeight="false" outlineLevel="0" collapsed="false">
      <c r="B64" s="42"/>
      <c r="D64" s="31"/>
      <c r="E64" s="31"/>
      <c r="F64" s="19"/>
    </row>
    <row r="65" customFormat="false" ht="12.75" hidden="false" customHeight="false" outlineLevel="0" collapsed="false">
      <c r="B65" s="32" t="s">
        <v>27</v>
      </c>
      <c r="C65" s="32"/>
      <c r="D65" s="32"/>
      <c r="E65" s="32"/>
      <c r="F65" s="35" t="n">
        <f aca="false">-Accrual!S54/1000</f>
        <v>69.918</v>
      </c>
    </row>
    <row r="66" customFormat="false" ht="12.75" hidden="false" customHeight="false" outlineLevel="0" collapsed="false">
      <c r="D66" s="31"/>
      <c r="E66" s="31"/>
    </row>
    <row r="67" customFormat="false" ht="12.75" hidden="false" customHeight="false" outlineLevel="0" collapsed="false">
      <c r="B67" s="59" t="s">
        <v>17</v>
      </c>
      <c r="C67" s="59"/>
      <c r="D67" s="59"/>
      <c r="E67" s="59"/>
      <c r="F67" s="59"/>
    </row>
    <row r="68" customFormat="false" ht="12.75" hidden="false" customHeight="false" outlineLevel="0" collapsed="false">
      <c r="B68" s="49"/>
      <c r="C68" s="25"/>
      <c r="D68" s="27"/>
      <c r="E68" s="27"/>
      <c r="F68" s="26" t="n">
        <f aca="false">+F63-F65</f>
        <v>0</v>
      </c>
    </row>
    <row r="69" customFormat="false" ht="12.75" hidden="false" customHeight="false" outlineLevel="0" collapsed="false">
      <c r="B69" s="49"/>
      <c r="C69" s="25"/>
      <c r="D69" s="27"/>
      <c r="E69" s="27"/>
      <c r="F69" s="26"/>
    </row>
    <row r="70" customFormat="false" ht="12.75" hidden="false" customHeight="false" outlineLevel="0" collapsed="false">
      <c r="B70" s="28"/>
      <c r="C70" s="29"/>
      <c r="D70" s="30"/>
      <c r="E70" s="30"/>
      <c r="F70" s="19"/>
    </row>
    <row r="73" customFormat="false" ht="12.75" hidden="false" customHeight="false" outlineLevel="0" collapsed="false">
      <c r="A73" s="60" t="str">
        <f aca="true">CELL("filename")</f>
        <v>'file:///mnt/12tb/@roms/datasets/enron/EDRM Enron Email Data Set v2 XML/filtered-attachments/xls/Reco_J11.xls'#$BS Rec</v>
      </c>
    </row>
  </sheetData>
  <mergeCells count="2">
    <mergeCell ref="B65:E65"/>
    <mergeCell ref="B67:F6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5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3" ySplit="9" topLeftCell="J22" activePane="bottomRight" state="frozen"/>
      <selection pane="topLeft" activeCell="A1" activeCellId="0" sqref="A1"/>
      <selection pane="topRight" activeCell="J1" activeCellId="0" sqref="J1"/>
      <selection pane="bottomLeft" activeCell="A22" activeCellId="0" sqref="A22"/>
      <selection pane="bottomRight" activeCell="N46" activeCellId="0" sqref="N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3"/>
    <col collapsed="false" customWidth="true" hidden="false" outlineLevel="0" max="2" min="2" style="0" width="26.7"/>
    <col collapsed="false" customWidth="true" hidden="false" outlineLevel="0" max="3" min="3" style="0" width="2.7"/>
    <col collapsed="false" customWidth="true" hidden="false" outlineLevel="0" max="4" min="4" style="0" width="16.13"/>
    <col collapsed="false" customWidth="true" hidden="false" outlineLevel="0" max="5" min="5" style="0" width="15.99"/>
    <col collapsed="false" customWidth="true" hidden="false" outlineLevel="0" max="6" min="6" style="0" width="13.99"/>
    <col collapsed="false" customWidth="true" hidden="false" outlineLevel="0" max="7" min="7" style="0" width="12.85"/>
    <col collapsed="false" customWidth="true" hidden="false" outlineLevel="0" max="9" min="8" style="0" width="14.41"/>
    <col collapsed="false" customWidth="true" hidden="false" outlineLevel="0" max="10" min="10" style="0" width="12.85"/>
    <col collapsed="false" customWidth="true" hidden="false" outlineLevel="0" max="11" min="11" style="61" width="14.41"/>
    <col collapsed="false" customWidth="true" hidden="false" outlineLevel="0" max="12" min="12" style="0" width="13.99"/>
    <col collapsed="false" customWidth="true" hidden="false" outlineLevel="0" max="13" min="13" style="0" width="15.41"/>
    <col collapsed="false" customWidth="true" hidden="false" outlineLevel="0" max="14" min="14" style="0" width="14.99"/>
    <col collapsed="false" customWidth="true" hidden="true" outlineLevel="0" max="15" min="15" style="0" width="14.99"/>
    <col collapsed="false" customWidth="true" hidden="false" outlineLevel="0" max="16" min="16" style="0" width="15.99"/>
  </cols>
  <sheetData>
    <row r="1" customFormat="false" ht="18" hidden="false" customHeight="false" outlineLevel="0" collapsed="false">
      <c r="B1" s="3" t="s">
        <v>0</v>
      </c>
    </row>
    <row r="2" customFormat="false" ht="18" hidden="false" customHeight="false" outlineLevel="0" collapsed="false">
      <c r="B2" s="3" t="s">
        <v>1</v>
      </c>
    </row>
    <row r="3" customFormat="false" ht="18" hidden="false" customHeight="false" outlineLevel="0" collapsed="false">
      <c r="B3" s="3" t="s">
        <v>28</v>
      </c>
    </row>
    <row r="4" customFormat="false" ht="12.75" hidden="false" customHeight="false" outlineLevel="0" collapsed="false">
      <c r="A4" s="4"/>
      <c r="B4" s="1"/>
    </row>
    <row r="6" customFormat="false" ht="15.75" hidden="false" customHeight="false" outlineLevel="0" collapsed="false">
      <c r="B6" s="62" t="s">
        <v>29</v>
      </c>
      <c r="C6" s="63"/>
      <c r="D6" s="6" t="s">
        <v>4</v>
      </c>
    </row>
    <row r="7" customFormat="false" ht="15.75" hidden="false" customHeight="false" outlineLevel="0" collapsed="false">
      <c r="B7" s="62" t="s">
        <v>8</v>
      </c>
      <c r="D7" s="6" t="n">
        <v>27094</v>
      </c>
    </row>
    <row r="8" customFormat="false" ht="15.75" hidden="false" customHeight="false" outlineLevel="0" collapsed="false">
      <c r="B8" s="62" t="s">
        <v>5</v>
      </c>
      <c r="D8" s="8" t="n">
        <v>37225</v>
      </c>
    </row>
    <row r="9" customFormat="false" ht="15.75" hidden="false" customHeight="false" outlineLevel="0" collapsed="false">
      <c r="B9" s="5"/>
      <c r="C9" s="63"/>
    </row>
    <row r="10" customFormat="false" ht="15.75" hidden="false" customHeight="false" outlineLevel="0" collapsed="false">
      <c r="A10" s="11" t="s">
        <v>30</v>
      </c>
    </row>
    <row r="11" customFormat="false" ht="12.75" hidden="false" customHeight="false" outlineLevel="0" collapsed="false">
      <c r="B11" s="12" t="s">
        <v>7</v>
      </c>
      <c r="D11" s="64" t="n">
        <v>36892</v>
      </c>
      <c r="E11" s="64" t="n">
        <v>36923</v>
      </c>
      <c r="F11" s="64" t="n">
        <v>36951</v>
      </c>
      <c r="G11" s="64" t="n">
        <v>36982</v>
      </c>
      <c r="H11" s="64" t="n">
        <v>37012</v>
      </c>
      <c r="I11" s="64" t="n">
        <v>37043</v>
      </c>
      <c r="J11" s="64" t="n">
        <v>37073</v>
      </c>
      <c r="K11" s="64" t="n">
        <v>37104</v>
      </c>
      <c r="L11" s="64" t="n">
        <v>37135</v>
      </c>
      <c r="M11" s="64" t="n">
        <v>37165</v>
      </c>
      <c r="N11" s="64" t="n">
        <v>37196</v>
      </c>
      <c r="O11" s="64" t="n">
        <v>37226</v>
      </c>
      <c r="P11" s="12" t="s">
        <v>22</v>
      </c>
    </row>
    <row r="12" customFormat="false" ht="12.75" hidden="false" customHeight="false" outlineLevel="0" collapsed="false">
      <c r="B12" s="16" t="s">
        <v>23</v>
      </c>
      <c r="D12" s="51" t="s">
        <v>31</v>
      </c>
      <c r="E12" s="51" t="s">
        <v>31</v>
      </c>
      <c r="F12" s="51" t="s">
        <v>31</v>
      </c>
      <c r="G12" s="51" t="s">
        <v>31</v>
      </c>
      <c r="H12" s="51" t="s">
        <v>31</v>
      </c>
      <c r="I12" s="51" t="s">
        <v>31</v>
      </c>
      <c r="J12" s="51" t="s">
        <v>31</v>
      </c>
      <c r="K12" s="65" t="s">
        <v>31</v>
      </c>
      <c r="L12" s="51" t="s">
        <v>31</v>
      </c>
      <c r="M12" s="51" t="s">
        <v>31</v>
      </c>
      <c r="N12" s="51" t="s">
        <v>31</v>
      </c>
      <c r="O12" s="51" t="s">
        <v>31</v>
      </c>
      <c r="P12" s="51" t="s">
        <v>31</v>
      </c>
    </row>
    <row r="13" customFormat="false" ht="12.75" hidden="false" customHeight="false" outlineLevel="0" collapsed="false">
      <c r="B13" s="66" t="s">
        <v>32</v>
      </c>
      <c r="D13" s="67" t="n">
        <v>0</v>
      </c>
      <c r="E13" s="67" t="n">
        <v>0</v>
      </c>
      <c r="F13" s="67" t="n">
        <v>0</v>
      </c>
      <c r="G13" s="67" t="n">
        <v>-259106</v>
      </c>
      <c r="H13" s="67" t="n">
        <v>-1028155</v>
      </c>
      <c r="I13" s="67" t="n">
        <v>-542261</v>
      </c>
      <c r="J13" s="67" t="n">
        <v>782033</v>
      </c>
      <c r="K13" s="68" t="n">
        <v>-108742</v>
      </c>
      <c r="L13" s="67" t="n">
        <v>1204665</v>
      </c>
      <c r="M13" s="67" t="n">
        <v>1187667</v>
      </c>
      <c r="N13" s="67" t="n">
        <v>-1629302</v>
      </c>
      <c r="O13" s="67"/>
      <c r="P13" s="69" t="n">
        <f aca="false">SUM(D13:O13)</f>
        <v>-393201</v>
      </c>
    </row>
    <row r="14" customFormat="false" ht="12.75" hidden="false" customHeight="false" outlineLevel="0" collapsed="false">
      <c r="B14" s="70"/>
      <c r="D14" s="67"/>
      <c r="E14" s="67"/>
      <c r="F14" s="67"/>
      <c r="G14" s="67"/>
      <c r="H14" s="67" t="n">
        <v>0</v>
      </c>
      <c r="I14" s="67"/>
      <c r="J14" s="67"/>
      <c r="K14" s="68"/>
      <c r="L14" s="67"/>
      <c r="M14" s="67"/>
      <c r="N14" s="67"/>
      <c r="O14" s="67"/>
      <c r="P14" s="69"/>
    </row>
    <row r="15" customFormat="false" ht="13.5" hidden="false" customHeight="false" outlineLevel="0" collapsed="false">
      <c r="B15" s="16" t="s">
        <v>33</v>
      </c>
      <c r="D15" s="71" t="n">
        <f aca="false">SUM(D13:D14)</f>
        <v>0</v>
      </c>
      <c r="E15" s="71" t="n">
        <f aca="false">SUM(E13:E14)</f>
        <v>0</v>
      </c>
      <c r="F15" s="71" t="n">
        <f aca="false">SUM(F13:F14)</f>
        <v>0</v>
      </c>
      <c r="G15" s="71" t="n">
        <f aca="false">SUM(G13:G14)</f>
        <v>-259106</v>
      </c>
      <c r="H15" s="71" t="n">
        <f aca="false">SUM(H13:H14)</f>
        <v>-1028155</v>
      </c>
      <c r="I15" s="71" t="n">
        <f aca="false">SUM(I13:I14)</f>
        <v>-542261</v>
      </c>
      <c r="J15" s="71" t="n">
        <f aca="false">SUM(J13:J14)</f>
        <v>782033</v>
      </c>
      <c r="K15" s="72" t="n">
        <f aca="false">SUM(K13:K14)</f>
        <v>-108742</v>
      </c>
      <c r="L15" s="71" t="n">
        <f aca="false">SUM(L13:L14)</f>
        <v>1204665</v>
      </c>
      <c r="M15" s="71" t="n">
        <f aca="false">SUM(M13:M14)</f>
        <v>1187667</v>
      </c>
      <c r="N15" s="71" t="n">
        <f aca="false">SUM(N13:N14)</f>
        <v>-1629302</v>
      </c>
      <c r="O15" s="71" t="n">
        <f aca="false">SUM(O13:O14)</f>
        <v>0</v>
      </c>
      <c r="P15" s="71" t="n">
        <f aca="false">SUM(P13:P14)</f>
        <v>-393201</v>
      </c>
    </row>
    <row r="16" customFormat="false" ht="12.75" hidden="false" customHeight="true" outlineLevel="0" collapsed="false"/>
    <row r="17" customFormat="false" ht="12.75" hidden="false" customHeight="true" outlineLevel="0" collapsed="false">
      <c r="B17" s="73" t="s">
        <v>34</v>
      </c>
      <c r="D17" s="69" t="n">
        <v>0</v>
      </c>
      <c r="E17" s="69" t="n">
        <v>0</v>
      </c>
      <c r="F17" s="69" t="n">
        <v>0</v>
      </c>
      <c r="G17" s="69" t="n">
        <f aca="false">-[3]Report!$AE$33</f>
        <v>-0</v>
      </c>
      <c r="H17" s="69" t="n">
        <f aca="false">-[4]Report!$AQ$33+[3]Report!$AE$56</f>
        <v>-0.00280000001657754</v>
      </c>
      <c r="I17" s="69" t="n">
        <f aca="false">-[5]Report!$AQ$33+[4]Report!$AQ$56</f>
        <v>0</v>
      </c>
      <c r="J17" s="69" t="n">
        <f aca="false">-[6]Report!$AQ$33+[5]Report!$AQ$56</f>
        <v>0</v>
      </c>
      <c r="K17" s="69" t="n">
        <f aca="false">-[7]Report!$AQ$33+[6]Report!$AQ$56</f>
        <v>0</v>
      </c>
      <c r="L17" s="69" t="n">
        <f aca="false">-[8]Report!$AQ$33+[7]Report!$AQ$56</f>
        <v>0</v>
      </c>
      <c r="M17" s="69" t="n">
        <f aca="false">-[9]Report!$AQ$33+[8]Report!$AQ$56</f>
        <v>0</v>
      </c>
      <c r="N17" s="69" t="n">
        <f aca="false">-[10]Report!$AQ$33+[9]Report!$AQ$56</f>
        <v>0</v>
      </c>
      <c r="O17" s="74"/>
      <c r="P17" s="75"/>
    </row>
    <row r="18" customFormat="false" ht="12.75" hidden="false" customHeight="true" outlineLevel="0" collapsed="false">
      <c r="B18" s="73" t="s">
        <v>35</v>
      </c>
      <c r="D18" s="76" t="n">
        <v>0</v>
      </c>
      <c r="E18" s="76" t="n">
        <v>0</v>
      </c>
      <c r="F18" s="76" t="n">
        <v>0</v>
      </c>
      <c r="G18" s="76" t="n">
        <f aca="false">-[3]Report!$AE$56+[3]Report!$AE$33</f>
        <v>-259105.3228</v>
      </c>
      <c r="H18" s="76" t="n">
        <f aca="false">-[4]Report!$AQ$56+[3]Report!$AE$56</f>
        <v>-1028155.4989</v>
      </c>
      <c r="I18" s="76" t="n">
        <f aca="false">-[5]Report!$AQ$56+[4]Report!$AQ$56</f>
        <v>-542261.8185</v>
      </c>
      <c r="J18" s="76" t="n">
        <f aca="false">-[6]Report!$AQ$56+[5]Report!$AQ$56</f>
        <v>782032.3819</v>
      </c>
      <c r="K18" s="76" t="n">
        <f aca="false">-[7]Report!$AQ$56+[6]Report!$AQ$56</f>
        <v>-108739.3759</v>
      </c>
      <c r="L18" s="76" t="n">
        <f aca="false">-[8]Report!$AQ$56+[7]Report!$AQ$56</f>
        <v>1204661.7997</v>
      </c>
      <c r="M18" s="76" t="n">
        <f aca="false">-[9]Report!$AQ$56+[8]Report!$AQ$56</f>
        <v>1187669.7531</v>
      </c>
      <c r="N18" s="76" t="n">
        <f aca="false">-[10]Report!$AQ$56+[9]Report!$AQ$56</f>
        <v>-1629302.8843</v>
      </c>
      <c r="O18" s="77"/>
      <c r="P18" s="76" t="n">
        <f aca="false">SUM(D18:O18)</f>
        <v>-393200.9657</v>
      </c>
    </row>
    <row r="19" customFormat="false" ht="12.75" hidden="false" customHeight="true" outlineLevel="0" collapsed="false"/>
    <row r="20" customFormat="false" ht="12.75" hidden="false" customHeight="true" outlineLevel="0" collapsed="false">
      <c r="B20" s="78" t="s">
        <v>36</v>
      </c>
      <c r="D20" s="79" t="n">
        <f aca="false">+D15-D18</f>
        <v>0</v>
      </c>
      <c r="E20" s="79" t="n">
        <f aca="false">+E15-E18</f>
        <v>0</v>
      </c>
      <c r="F20" s="79" t="n">
        <f aca="false">+F15-F18</f>
        <v>0</v>
      </c>
      <c r="G20" s="79" t="n">
        <f aca="false">+G15-G18</f>
        <v>-0.677200000034645</v>
      </c>
      <c r="H20" s="79" t="n">
        <f aca="false">+H15-H18</f>
        <v>0.49890000000596</v>
      </c>
      <c r="I20" s="79" t="n">
        <f aca="false">+I15-I18</f>
        <v>0.818499999819323</v>
      </c>
      <c r="J20" s="79" t="n">
        <f aca="false">+J15-J18</f>
        <v>0.618100000312552</v>
      </c>
      <c r="K20" s="80" t="n">
        <f aca="false">+K15-K18</f>
        <v>-2.62410000013188</v>
      </c>
      <c r="L20" s="79" t="n">
        <f aca="false">+L15-L18</f>
        <v>3.20030000014231</v>
      </c>
      <c r="M20" s="79" t="n">
        <f aca="false">+M15-M18</f>
        <v>-2.75310000032187</v>
      </c>
      <c r="N20" s="79" t="n">
        <f aca="false">+N15-N18</f>
        <v>0.884300000267103</v>
      </c>
      <c r="O20" s="79" t="n">
        <f aca="false">+O15-O18</f>
        <v>0</v>
      </c>
      <c r="P20" s="79" t="n">
        <f aca="false">+P15-P18</f>
        <v>-0.0342999999411404</v>
      </c>
    </row>
    <row r="22" customFormat="false" ht="15.75" hidden="false" customHeight="false" outlineLevel="0" collapsed="false">
      <c r="A22" s="11" t="s">
        <v>37</v>
      </c>
    </row>
    <row r="23" customFormat="false" ht="12.75" hidden="false" customHeight="false" outlineLevel="0" collapsed="false">
      <c r="B23" s="12" t="s">
        <v>7</v>
      </c>
      <c r="D23" s="64" t="n">
        <f aca="false">D11</f>
        <v>36892</v>
      </c>
      <c r="E23" s="64" t="n">
        <f aca="false">E11</f>
        <v>36923</v>
      </c>
      <c r="F23" s="64" t="n">
        <f aca="false">F11</f>
        <v>36951</v>
      </c>
      <c r="G23" s="64" t="n">
        <f aca="false">G11</f>
        <v>36982</v>
      </c>
      <c r="H23" s="64" t="n">
        <f aca="false">H11</f>
        <v>37012</v>
      </c>
      <c r="I23" s="64" t="n">
        <f aca="false">I11</f>
        <v>37043</v>
      </c>
      <c r="J23" s="64" t="n">
        <f aca="false">J11</f>
        <v>37073</v>
      </c>
      <c r="K23" s="64" t="n">
        <f aca="false">K11</f>
        <v>37104</v>
      </c>
      <c r="L23" s="64" t="n">
        <f aca="false">L11</f>
        <v>37135</v>
      </c>
      <c r="M23" s="64" t="n">
        <f aca="false">M11</f>
        <v>37165</v>
      </c>
      <c r="N23" s="64" t="n">
        <f aca="false">N11</f>
        <v>37196</v>
      </c>
      <c r="O23" s="64" t="n">
        <f aca="false">O11</f>
        <v>37226</v>
      </c>
      <c r="P23" s="64" t="str">
        <f aca="false">P11</f>
        <v>Total</v>
      </c>
    </row>
    <row r="24" customFormat="false" ht="12.75" hidden="false" customHeight="false" outlineLevel="0" collapsed="false">
      <c r="B24" s="16" t="s">
        <v>23</v>
      </c>
      <c r="D24" s="51" t="s">
        <v>31</v>
      </c>
      <c r="E24" s="51" t="s">
        <v>31</v>
      </c>
      <c r="F24" s="51" t="s">
        <v>31</v>
      </c>
      <c r="G24" s="51" t="s">
        <v>31</v>
      </c>
      <c r="H24" s="51" t="s">
        <v>31</v>
      </c>
      <c r="I24" s="51" t="s">
        <v>31</v>
      </c>
      <c r="J24" s="51" t="s">
        <v>31</v>
      </c>
      <c r="K24" s="81" t="s">
        <v>31</v>
      </c>
      <c r="L24" s="51" t="s">
        <v>31</v>
      </c>
      <c r="M24" s="51" t="s">
        <v>31</v>
      </c>
      <c r="N24" s="51" t="s">
        <v>31</v>
      </c>
      <c r="O24" s="51" t="s">
        <v>31</v>
      </c>
      <c r="P24" s="51" t="s">
        <v>31</v>
      </c>
    </row>
    <row r="25" customFormat="false" ht="12.75" hidden="false" customHeight="false" outlineLevel="0" collapsed="false">
      <c r="B25" s="66" t="s">
        <v>38</v>
      </c>
      <c r="D25" s="69"/>
      <c r="E25" s="69"/>
      <c r="F25" s="69"/>
      <c r="G25" s="69"/>
      <c r="H25" s="69"/>
      <c r="I25" s="69"/>
      <c r="J25" s="69"/>
      <c r="K25" s="74"/>
      <c r="L25" s="69"/>
      <c r="M25" s="69"/>
      <c r="N25" s="69" t="n">
        <v>29317</v>
      </c>
      <c r="O25" s="69"/>
      <c r="P25" s="69" t="n">
        <f aca="false">SUM(D25:O25)</f>
        <v>29317</v>
      </c>
    </row>
    <row r="26" customFormat="false" ht="12.75" hidden="false" customHeight="false" outlineLevel="0" collapsed="false">
      <c r="B26" s="82" t="s">
        <v>39</v>
      </c>
      <c r="D26" s="67"/>
      <c r="E26" s="67"/>
      <c r="F26" s="67"/>
      <c r="G26" s="67" t="n">
        <v>-9198</v>
      </c>
      <c r="H26" s="67" t="n">
        <v>-449298</v>
      </c>
      <c r="I26" s="67" t="n">
        <v>-745269</v>
      </c>
      <c r="J26" s="67" t="n">
        <v>-171542</v>
      </c>
      <c r="K26" s="68" t="n">
        <v>-984040</v>
      </c>
      <c r="L26" s="67" t="n">
        <v>-1240940</v>
      </c>
      <c r="M26" s="67" t="n">
        <v>-2012927</v>
      </c>
      <c r="N26" s="67" t="n">
        <v>2172494</v>
      </c>
      <c r="O26" s="67"/>
      <c r="P26" s="69" t="n">
        <f aca="false">SUM(D26:O26)</f>
        <v>-3440720</v>
      </c>
    </row>
    <row r="27" customFormat="false" ht="12.75" hidden="false" customHeight="false" outlineLevel="0" collapsed="false">
      <c r="B27" s="82" t="s">
        <v>40</v>
      </c>
      <c r="D27" s="67"/>
      <c r="E27" s="67"/>
      <c r="F27" s="67"/>
      <c r="G27" s="67"/>
      <c r="H27" s="67" t="n">
        <v>-8454</v>
      </c>
      <c r="I27" s="67" t="n">
        <v>241436</v>
      </c>
      <c r="J27" s="67" t="n">
        <v>-222830</v>
      </c>
      <c r="K27" s="68" t="n">
        <v>-74325</v>
      </c>
      <c r="L27" s="67" t="n">
        <v>61172</v>
      </c>
      <c r="M27" s="67" t="n">
        <v>1324550</v>
      </c>
      <c r="N27" s="67" t="n">
        <v>-1321550</v>
      </c>
      <c r="O27" s="67"/>
      <c r="P27" s="69" t="n">
        <f aca="false">SUM(D27:O27)</f>
        <v>-1</v>
      </c>
    </row>
    <row r="28" customFormat="false" ht="12.75" hidden="false" customHeight="false" outlineLevel="0" collapsed="false">
      <c r="B28" s="82" t="s">
        <v>41</v>
      </c>
      <c r="D28" s="67"/>
      <c r="E28" s="67"/>
      <c r="F28" s="67"/>
      <c r="G28" s="67" t="n">
        <v>172</v>
      </c>
      <c r="H28" s="67" t="n">
        <v>999</v>
      </c>
      <c r="I28" s="67" t="n">
        <v>2346</v>
      </c>
      <c r="J28" s="67" t="n">
        <v>5135</v>
      </c>
      <c r="K28" s="68" t="n">
        <v>-838</v>
      </c>
      <c r="L28" s="67" t="n">
        <v>-16369</v>
      </c>
      <c r="M28" s="67" t="n">
        <v>-10077</v>
      </c>
      <c r="N28" s="67" t="n">
        <v>6884</v>
      </c>
      <c r="O28" s="67"/>
      <c r="P28" s="69" t="n">
        <f aca="false">SUM(D28:O28)</f>
        <v>-11748</v>
      </c>
    </row>
    <row r="29" customFormat="false" ht="12.75" hidden="false" customHeight="false" outlineLevel="0" collapsed="false">
      <c r="B29" s="82"/>
      <c r="D29" s="67"/>
      <c r="E29" s="67"/>
      <c r="F29" s="67"/>
      <c r="G29" s="67"/>
      <c r="H29" s="67"/>
      <c r="I29" s="67"/>
      <c r="J29" s="67"/>
      <c r="K29" s="68"/>
      <c r="L29" s="67"/>
      <c r="M29" s="67"/>
      <c r="N29" s="67"/>
      <c r="O29" s="67"/>
      <c r="P29" s="69"/>
    </row>
    <row r="30" customFormat="false" ht="13.5" hidden="false" customHeight="false" outlineLevel="0" collapsed="false">
      <c r="B30" s="16" t="s">
        <v>42</v>
      </c>
      <c r="D30" s="71" t="n">
        <f aca="false">SUM(D25:D29)</f>
        <v>0</v>
      </c>
      <c r="E30" s="71" t="n">
        <f aca="false">SUM(E25:E29)</f>
        <v>0</v>
      </c>
      <c r="F30" s="71" t="n">
        <f aca="false">SUM(F25:F29)</f>
        <v>0</v>
      </c>
      <c r="G30" s="71" t="n">
        <f aca="false">SUM(G25:G29)</f>
        <v>-9026</v>
      </c>
      <c r="H30" s="71" t="n">
        <f aca="false">SUM(H25:H29)</f>
        <v>-456753</v>
      </c>
      <c r="I30" s="71" t="n">
        <f aca="false">SUM(I25:I29)</f>
        <v>-501487</v>
      </c>
      <c r="J30" s="71" t="n">
        <f aca="false">SUM(J25:J29)</f>
        <v>-389237</v>
      </c>
      <c r="K30" s="72" t="n">
        <f aca="false">SUM(K25:K29)</f>
        <v>-1059203</v>
      </c>
      <c r="L30" s="71" t="n">
        <f aca="false">SUM(L25:L29)</f>
        <v>-1196137</v>
      </c>
      <c r="M30" s="71" t="n">
        <f aca="false">SUM(M25:M29)</f>
        <v>-698454</v>
      </c>
      <c r="N30" s="71" t="n">
        <f aca="false">SUM(N25:N29)</f>
        <v>887145</v>
      </c>
      <c r="O30" s="71" t="n">
        <f aca="false">SUM(O25:O29)</f>
        <v>0</v>
      </c>
      <c r="P30" s="71" t="n">
        <f aca="false">SUM(P25:P29)</f>
        <v>-3423152</v>
      </c>
    </row>
    <row r="31" customFormat="false" ht="13.5" hidden="false" customHeight="false" outlineLevel="0" collapsed="false">
      <c r="D31" s="83"/>
      <c r="E31" s="83"/>
      <c r="F31" s="83"/>
      <c r="G31" s="83"/>
      <c r="H31" s="83"/>
      <c r="I31" s="83"/>
      <c r="J31" s="83"/>
      <c r="L31" s="83"/>
      <c r="M31" s="83"/>
      <c r="N31" s="83"/>
      <c r="O31" s="83"/>
      <c r="P31" s="83"/>
    </row>
    <row r="32" customFormat="false" ht="12.75" hidden="false" customHeight="true" outlineLevel="0" collapsed="false">
      <c r="B32" s="73" t="s">
        <v>34</v>
      </c>
      <c r="D32" s="69" t="n">
        <v>0</v>
      </c>
      <c r="E32" s="69" t="n">
        <v>0</v>
      </c>
      <c r="F32" s="69" t="n">
        <v>0</v>
      </c>
      <c r="G32" s="69" t="n">
        <f aca="false">-[3]Report!$AE$35</f>
        <v>-0</v>
      </c>
      <c r="H32" s="69" t="n">
        <f aca="false">-[4]Report!$AQ$35+[3]Report!$AE$62</f>
        <v>-0.000500000000101863</v>
      </c>
      <c r="I32" s="69" t="n">
        <f aca="false">-[5]Report!$AQ$35+[4]Report!$AQ$62</f>
        <v>0</v>
      </c>
      <c r="J32" s="69" t="n">
        <f aca="false">-[6]Report!$AQ$35+[5]Report!$AQ$62</f>
        <v>0</v>
      </c>
      <c r="K32" s="69" t="n">
        <f aca="false">-[7]Report!$AQ$35+[6]Report!$AQ$62</f>
        <v>0</v>
      </c>
      <c r="L32" s="69" t="n">
        <f aca="false">-[8]Report!$AQ$35+[7]Report!$AQ$62</f>
        <v>0</v>
      </c>
      <c r="M32" s="69" t="n">
        <f aca="false">-[9]Report!$AQ$35+[8]Report!$AQ$62</f>
        <v>0</v>
      </c>
      <c r="N32" s="69" t="n">
        <f aca="false">-[10]Report!$AQ$35+[9]Report!$AQ$62</f>
        <v>0</v>
      </c>
      <c r="O32" s="74"/>
      <c r="P32" s="69"/>
    </row>
    <row r="33" customFormat="false" ht="13.5" hidden="false" customHeight="false" outlineLevel="0" collapsed="false">
      <c r="B33" s="73" t="s">
        <v>43</v>
      </c>
      <c r="D33" s="71" t="n">
        <v>0</v>
      </c>
      <c r="E33" s="71" t="n">
        <v>0</v>
      </c>
      <c r="F33" s="71" t="n">
        <v>0</v>
      </c>
      <c r="G33" s="71" t="n">
        <f aca="false">-[3]Report!$AE$62+[3]Report!$AE$35</f>
        <v>-9028.1763</v>
      </c>
      <c r="H33" s="71" t="n">
        <f aca="false">-[4]Report!$AQ$62+[3]Report!$AE$62</f>
        <v>-456294.8095</v>
      </c>
      <c r="I33" s="71" t="n">
        <f aca="false">-[5]Report!$AQ$62+[4]Report!$AQ$62</f>
        <v>-510916.477</v>
      </c>
      <c r="J33" s="71" t="n">
        <f aca="false">-[6]Report!$AQ$62+[5]Report!$AQ$62</f>
        <v>-381693.273</v>
      </c>
      <c r="K33" s="71" t="n">
        <f aca="false">-[7]Report!$AQ$62+[6]Report!$AQ$62</f>
        <v>-1056189.1866</v>
      </c>
      <c r="L33" s="71" t="n">
        <f aca="false">-[8]Report!$AQ$62+[7]Report!$AQ$62</f>
        <v>-1194685.4665</v>
      </c>
      <c r="M33" s="71" t="n">
        <f aca="false">-[9]Report!$AQ$62+[8]Report!$AQ$62</f>
        <v>-707067.821500001</v>
      </c>
      <c r="N33" s="71" t="n">
        <f aca="false">-[10]Report!$AQ$62+[9]Report!$AQ$62</f>
        <v>822801.021700001</v>
      </c>
      <c r="O33" s="72"/>
      <c r="P33" s="71" t="n">
        <f aca="false">SUM(D33:O33)</f>
        <v>-3493074.1887</v>
      </c>
    </row>
    <row r="34" customFormat="false" ht="14.25" hidden="false" customHeight="false" outlineLevel="0" collapsed="false">
      <c r="D34" s="83"/>
      <c r="E34" s="83"/>
      <c r="F34" s="83"/>
      <c r="G34" s="83"/>
      <c r="H34" s="83"/>
      <c r="I34" s="83"/>
      <c r="J34" s="83"/>
      <c r="L34" s="83"/>
      <c r="M34" s="83"/>
      <c r="N34" s="83"/>
      <c r="O34" s="83"/>
      <c r="P34" s="83"/>
    </row>
    <row r="35" customFormat="false" ht="13.5" hidden="false" customHeight="false" outlineLevel="0" collapsed="false">
      <c r="B35" s="78" t="s">
        <v>44</v>
      </c>
      <c r="D35" s="79" t="n">
        <f aca="false">+D30-D33</f>
        <v>0</v>
      </c>
      <c r="E35" s="79" t="n">
        <f aca="false">+E30-E33</f>
        <v>0</v>
      </c>
      <c r="F35" s="79" t="n">
        <f aca="false">+F30-F33</f>
        <v>0</v>
      </c>
      <c r="G35" s="79" t="n">
        <f aca="false">+G30-G33</f>
        <v>2.17629999999917</v>
      </c>
      <c r="H35" s="79" t="n">
        <f aca="false">+H30-H33</f>
        <v>-458.190500000084</v>
      </c>
      <c r="I35" s="79" t="n">
        <f aca="false">+I30-I33</f>
        <v>9429.47699999996</v>
      </c>
      <c r="J35" s="79" t="n">
        <f aca="false">+J30-J33</f>
        <v>-7543.72699999996</v>
      </c>
      <c r="K35" s="80" t="n">
        <f aca="false">+K30-K33</f>
        <v>-3013.81340000033</v>
      </c>
      <c r="L35" s="79" t="n">
        <f aca="false">+L30-L33</f>
        <v>-1451.5334999999</v>
      </c>
      <c r="M35" s="79" t="n">
        <f aca="false">+M30-M33</f>
        <v>8613.82150000054</v>
      </c>
      <c r="N35" s="79" t="n">
        <f aca="false">+N30-N33</f>
        <v>64343.9782999991</v>
      </c>
      <c r="O35" s="79" t="n">
        <f aca="false">+O30-O33</f>
        <v>0</v>
      </c>
      <c r="P35" s="79" t="n">
        <f aca="false">+P30-P33</f>
        <v>69922.1886999994</v>
      </c>
    </row>
    <row r="37" customFormat="false" ht="13.5" hidden="false" customHeight="false" outlineLevel="0" collapsed="false"/>
    <row r="38" customFormat="false" ht="13.5" hidden="false" customHeight="false" outlineLevel="0" collapsed="false">
      <c r="B38" s="84" t="s">
        <v>45</v>
      </c>
      <c r="D38" s="85" t="n">
        <f aca="false">+D35+D20</f>
        <v>0</v>
      </c>
      <c r="E38" s="85" t="n">
        <f aca="false">+E35+E20</f>
        <v>0</v>
      </c>
      <c r="F38" s="85" t="n">
        <f aca="false">+F35+F20</f>
        <v>0</v>
      </c>
      <c r="G38" s="85" t="n">
        <f aca="false">+G35+G20</f>
        <v>1.49909999996453</v>
      </c>
      <c r="H38" s="85" t="n">
        <f aca="false">+H35+H20</f>
        <v>-457.691600000078</v>
      </c>
      <c r="I38" s="85" t="n">
        <f aca="false">+I35+I20</f>
        <v>9430.29549999978</v>
      </c>
      <c r="J38" s="85" t="n">
        <f aca="false">+J35+J20</f>
        <v>-7543.10889999964</v>
      </c>
      <c r="K38" s="86" t="n">
        <f aca="false">+K35+K20</f>
        <v>-3016.43750000047</v>
      </c>
      <c r="L38" s="85" t="n">
        <f aca="false">+L35+L20</f>
        <v>-1448.33319999976</v>
      </c>
      <c r="M38" s="85" t="n">
        <f aca="false">+M35+M20</f>
        <v>8611.06840000022</v>
      </c>
      <c r="N38" s="85" t="n">
        <f aca="false">+N35+N20</f>
        <v>64344.8625999994</v>
      </c>
      <c r="O38" s="85" t="n">
        <f aca="false">+O35+O20</f>
        <v>0</v>
      </c>
      <c r="P38" s="85" t="n">
        <f aca="false">+P35+P20</f>
        <v>69922.1543999994</v>
      </c>
      <c r="Q38" s="83"/>
      <c r="R38" s="83"/>
      <c r="S38" s="83"/>
      <c r="T38" s="83"/>
      <c r="U38" s="83"/>
      <c r="V38" s="83"/>
      <c r="W38" s="83"/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3.5" hidden="false" customHeight="false" outlineLevel="0" collapsed="false"/>
    <row r="44" customFormat="false" ht="13.5" hidden="false" customHeight="false" outlineLevel="0" collapsed="false">
      <c r="B44" s="84" t="s">
        <v>46</v>
      </c>
      <c r="D44" s="87" t="n">
        <f aca="false">+D15+D30</f>
        <v>0</v>
      </c>
      <c r="E44" s="87" t="n">
        <f aca="false">+E15+E30</f>
        <v>0</v>
      </c>
      <c r="F44" s="87" t="n">
        <f aca="false">+F15+F30</f>
        <v>0</v>
      </c>
      <c r="G44" s="87" t="n">
        <f aca="false">+G15+G30</f>
        <v>-268132</v>
      </c>
      <c r="H44" s="87" t="n">
        <f aca="false">+H15+H30</f>
        <v>-1484908</v>
      </c>
      <c r="I44" s="88" t="n">
        <f aca="false">+I15+I30</f>
        <v>-1043748</v>
      </c>
      <c r="J44" s="88" t="n">
        <f aca="false">+J15+J30</f>
        <v>392796</v>
      </c>
      <c r="K44" s="89" t="n">
        <f aca="false">+K15+K30</f>
        <v>-1167945</v>
      </c>
      <c r="L44" s="88" t="n">
        <f aca="false">+L15+L30</f>
        <v>8528</v>
      </c>
      <c r="M44" s="88" t="n">
        <f aca="false">+M15+M30</f>
        <v>489213</v>
      </c>
      <c r="N44" s="88" t="n">
        <f aca="false">+N15+N30</f>
        <v>-742157</v>
      </c>
      <c r="O44" s="88" t="n">
        <f aca="false">+O15+O30</f>
        <v>0</v>
      </c>
      <c r="P44" s="88" t="n">
        <f aca="false">+P15+P30</f>
        <v>-3816353</v>
      </c>
    </row>
    <row r="45" customFormat="false" ht="13.5" hidden="false" customHeight="false" outlineLevel="0" collapsed="false">
      <c r="B45" s="84" t="s">
        <v>47</v>
      </c>
      <c r="D45" s="90" t="n">
        <f aca="false">ROUND(+D18+D33,0)</f>
        <v>0</v>
      </c>
      <c r="E45" s="90" t="n">
        <f aca="false">ROUND(+E18+E33,0)</f>
        <v>0</v>
      </c>
      <c r="F45" s="90" t="n">
        <f aca="false">ROUND(+F18+F33,0)</f>
        <v>0</v>
      </c>
      <c r="G45" s="90" t="n">
        <f aca="false">ROUND(+G18+G33,0)</f>
        <v>-268133</v>
      </c>
      <c r="H45" s="90" t="n">
        <f aca="false">ROUND(+H18+H33,0)</f>
        <v>-1484450</v>
      </c>
      <c r="I45" s="90" t="n">
        <f aca="false">ROUND(+I18+I33,0)</f>
        <v>-1053178</v>
      </c>
      <c r="J45" s="90" t="n">
        <f aca="false">ROUND(+J18+J33,0)</f>
        <v>400339</v>
      </c>
      <c r="K45" s="91" t="n">
        <f aca="false">ROUND(+K18+K33,0)</f>
        <v>-1164929</v>
      </c>
      <c r="L45" s="91" t="n">
        <f aca="false">ROUND(+L18+L33,0)</f>
        <v>9976</v>
      </c>
      <c r="M45" s="92" t="n">
        <f aca="false">ROUND(+M18+M33,0)+4</f>
        <v>480606</v>
      </c>
      <c r="N45" s="92" t="n">
        <f aca="false">ROUND(+N18+N33,0)</f>
        <v>-806502</v>
      </c>
      <c r="O45" s="92" t="n">
        <f aca="false">ROUND(+O18+O33,0)</f>
        <v>0</v>
      </c>
      <c r="P45" s="92" t="n">
        <f aca="false">+P18+P33</f>
        <v>-3886275.1544</v>
      </c>
    </row>
    <row r="46" customFormat="false" ht="13.5" hidden="false" customHeight="false" outlineLevel="0" collapsed="false">
      <c r="B46" s="84" t="s">
        <v>48</v>
      </c>
      <c r="D46" s="90" t="n">
        <f aca="false">+D44-D45</f>
        <v>0</v>
      </c>
      <c r="E46" s="90" t="n">
        <f aca="false">+E44-E45</f>
        <v>0</v>
      </c>
      <c r="F46" s="90" t="n">
        <f aca="false">+F44-F45</f>
        <v>0</v>
      </c>
      <c r="G46" s="90" t="n">
        <f aca="false">+G44-G45</f>
        <v>1</v>
      </c>
      <c r="H46" s="90" t="n">
        <f aca="false">+H44-H45</f>
        <v>-458</v>
      </c>
      <c r="I46" s="92" t="n">
        <f aca="false">+I44-I45</f>
        <v>9430</v>
      </c>
      <c r="J46" s="92" t="n">
        <f aca="false">+J44-J45</f>
        <v>-7543</v>
      </c>
      <c r="K46" s="93" t="n">
        <f aca="false">+K44-K45</f>
        <v>-3016</v>
      </c>
      <c r="L46" s="92" t="n">
        <f aca="false">+L44-L45</f>
        <v>-1448</v>
      </c>
      <c r="M46" s="92" t="n">
        <f aca="false">+M44-M45</f>
        <v>8607</v>
      </c>
      <c r="N46" s="92" t="n">
        <f aca="false">+N44-N45</f>
        <v>64345</v>
      </c>
      <c r="O46" s="92" t="n">
        <f aca="false">+O44-O45</f>
        <v>0</v>
      </c>
      <c r="P46" s="94" t="n">
        <f aca="false">+P44-P45</f>
        <v>69922.1543999994</v>
      </c>
    </row>
    <row r="47" customFormat="false" ht="12.75" hidden="false" customHeight="false" outlineLevel="0" collapsed="false">
      <c r="B47" s="95"/>
      <c r="D47" s="96"/>
      <c r="E47" s="96"/>
      <c r="F47" s="96"/>
      <c r="G47" s="96"/>
      <c r="H47" s="96"/>
      <c r="I47" s="96"/>
      <c r="J47" s="96"/>
      <c r="L47" s="96"/>
      <c r="M47" s="96"/>
      <c r="N47" s="96"/>
      <c r="O47" s="96"/>
      <c r="P47" s="97"/>
    </row>
    <row r="48" customFormat="false" ht="13.5" hidden="false" customHeight="false" outlineLevel="0" collapsed="false">
      <c r="P48" s="98"/>
    </row>
    <row r="49" customFormat="false" ht="13.5" hidden="false" customHeight="false" outlineLevel="0" collapsed="false">
      <c r="B49" s="84" t="s">
        <v>49</v>
      </c>
      <c r="D49" s="79" t="n">
        <v>0</v>
      </c>
      <c r="E49" s="79" t="n">
        <v>0</v>
      </c>
      <c r="F49" s="79" t="n">
        <v>0</v>
      </c>
      <c r="G49" s="79" t="n">
        <f aca="false">ROUND(-[3]Report!$AE$53,0)+1</f>
        <v>-268133</v>
      </c>
      <c r="H49" s="79" t="n">
        <f aca="false">ROUND(-[4]Report!$AQ$53,0)-1</f>
        <v>-1484450</v>
      </c>
      <c r="I49" s="79" t="n">
        <f aca="false">ROUND(-[5]Report!$AQ$53,0)</f>
        <v>-1053178</v>
      </c>
      <c r="J49" s="79" t="n">
        <f aca="false">ROUND(-[6]Report!$AQ$53,0)</f>
        <v>400339</v>
      </c>
      <c r="K49" s="79" t="n">
        <f aca="false">ROUND(-[7]Report!$AQ$53,0)</f>
        <v>-1164929</v>
      </c>
      <c r="L49" s="79" t="n">
        <f aca="false">ROUND(-[8]Report!$AQ$53,0)</f>
        <v>9976</v>
      </c>
      <c r="M49" s="79" t="n">
        <f aca="false">ROUND(-[9]Report!$AQ$53,0)</f>
        <v>480606</v>
      </c>
      <c r="N49" s="79" t="n">
        <f aca="false">ROUND(-[10]Report!$AQ$53,0)</f>
        <v>-806502</v>
      </c>
      <c r="O49" s="80"/>
      <c r="P49" s="79"/>
    </row>
    <row r="50" customFormat="false" ht="12.75" hidden="false" customHeight="false" outlineLevel="0" collapsed="false">
      <c r="D50" s="99" t="str">
        <f aca="false">IF(D49-D45&lt;&gt;0,"Dpr Err","Dpr Ok")</f>
        <v>Dpr Ok</v>
      </c>
      <c r="E50" s="99" t="str">
        <f aca="false">IF(E49-E45&lt;&gt;0,"Dpr Err","Dpr Ok")</f>
        <v>Dpr Ok</v>
      </c>
      <c r="F50" s="99" t="str">
        <f aca="false">IF(F49-F45&lt;&gt;0,"Dpr Err","Dpr Ok")</f>
        <v>Dpr Ok</v>
      </c>
      <c r="G50" s="99" t="str">
        <f aca="false">IF(G49-G45&lt;&gt;0,"Dpr Err","Dpr Ok")</f>
        <v>Dpr Ok</v>
      </c>
      <c r="H50" s="99" t="str">
        <f aca="false">IF(H49-H45&lt;&gt;0,"Dpr Err","Dpr Ok")</f>
        <v>Dpr Ok</v>
      </c>
      <c r="I50" s="99" t="str">
        <f aca="false">IF(I49-I45&lt;&gt;0,"Dpr Err","Dpr Ok")</f>
        <v>Dpr Ok</v>
      </c>
      <c r="J50" s="99" t="str">
        <f aca="false">IF(J49-J45&lt;&gt;0,"Dpr Err","Dpr Ok")</f>
        <v>Dpr Ok</v>
      </c>
      <c r="K50" s="100" t="str">
        <f aca="false">IF(K49-K45&lt;&gt;0,"Dpr Err","Dpr Ok")</f>
        <v>Dpr Ok</v>
      </c>
      <c r="L50" s="100" t="str">
        <f aca="false">IF(L49-L45&lt;&gt;0,"Dpr Err","Dpr Ok")</f>
        <v>Dpr Ok</v>
      </c>
      <c r="M50" s="100" t="str">
        <f aca="false">IF(M49-M45&lt;&gt;0,"Dpr Err","Dpr Ok")</f>
        <v>Dpr Ok</v>
      </c>
      <c r="N50" s="100" t="str">
        <f aca="false">IF(N49-N45&lt;&gt;0,"Dpr Err","Dpr Ok")</f>
        <v>Dpr Ok</v>
      </c>
      <c r="O50" s="100" t="str">
        <f aca="false">IF(O49-O45&lt;&gt;0,"Dpr Err","Dpr Ok")</f>
        <v>Dpr Ok</v>
      </c>
    </row>
    <row r="51" customFormat="false" ht="12.75" hidden="false" customHeight="false" outlineLevel="0" collapsed="false">
      <c r="D51" s="83" t="n">
        <f aca="false">D45-D49</f>
        <v>0</v>
      </c>
      <c r="E51" s="83" t="n">
        <f aca="false">E45-E49</f>
        <v>0</v>
      </c>
      <c r="F51" s="83" t="n">
        <f aca="false">F45-F49</f>
        <v>0</v>
      </c>
      <c r="G51" s="83" t="n">
        <f aca="false">G45-G49</f>
        <v>0</v>
      </c>
      <c r="H51" s="83" t="n">
        <f aca="false">H45-H49</f>
        <v>0</v>
      </c>
      <c r="I51" s="83" t="n">
        <f aca="false">I45-I49</f>
        <v>0</v>
      </c>
      <c r="J51" s="83" t="n">
        <f aca="false">J45-J49</f>
        <v>0</v>
      </c>
      <c r="K51" s="83" t="n">
        <f aca="false">K45-K49</f>
        <v>0</v>
      </c>
      <c r="L51" s="83" t="n">
        <f aca="false">L45-L49</f>
        <v>0</v>
      </c>
      <c r="M51" s="83" t="n">
        <f aca="false">M45-M49</f>
        <v>0</v>
      </c>
      <c r="N51" s="83" t="n">
        <f aca="false">N45-N49</f>
        <v>0</v>
      </c>
      <c r="O51" s="61" t="n">
        <f aca="false">+O45-O49</f>
        <v>0</v>
      </c>
    </row>
    <row r="52" customFormat="false" ht="12.75" hidden="false" customHeight="false" outlineLevel="0" collapsed="false">
      <c r="I52" s="83"/>
    </row>
    <row r="53" customFormat="false" ht="12.75" hidden="false" customHeight="false" outlineLevel="0" collapsed="false">
      <c r="B53" s="60" t="str">
        <f aca="true">CELL("filename")</f>
        <v>'file:///mnt/12tb/@roms/datasets/enron/EDRM Enron Email Data Set v2 XML/filtered-attachments/xls/Reco_J11.xls'#$Reconciliation</v>
      </c>
      <c r="F53" s="101"/>
    </row>
    <row r="54" customFormat="false" ht="12.75" hidden="false" customHeight="false" outlineLevel="0" collapsed="false">
      <c r="F54" s="83"/>
    </row>
    <row r="56" customFormat="false" ht="12.75" hidden="false" customHeight="false" outlineLevel="0" collapsed="false">
      <c r="B56" s="0" t="s">
        <v>50</v>
      </c>
      <c r="H56" s="101" t="n">
        <v>1</v>
      </c>
      <c r="I56" s="101" t="n">
        <v>-457</v>
      </c>
      <c r="J56" s="101" t="n">
        <v>8973</v>
      </c>
      <c r="K56" s="61" t="n">
        <v>1430</v>
      </c>
      <c r="L56" s="101" t="n">
        <v>-1586</v>
      </c>
      <c r="M56" s="101" t="n">
        <v>-3034</v>
      </c>
      <c r="N56" s="101" t="n">
        <v>5573</v>
      </c>
    </row>
    <row r="57" customFormat="false" ht="12.75" hidden="false" customHeight="false" outlineLevel="0" collapsed="false">
      <c r="H57" s="101" t="n">
        <v>457</v>
      </c>
      <c r="I57" s="101" t="n">
        <v>-8973</v>
      </c>
      <c r="J57" s="101" t="n">
        <v>-1430</v>
      </c>
      <c r="K57" s="61" t="n">
        <v>1586</v>
      </c>
      <c r="L57" s="101" t="n">
        <v>3034</v>
      </c>
      <c r="M57" s="101" t="n">
        <v>-5573</v>
      </c>
    </row>
    <row r="59" customFormat="false" ht="12.75" hidden="false" customHeight="false" outlineLevel="0" collapsed="false">
      <c r="B59" s="0" t="s">
        <v>51</v>
      </c>
      <c r="G59" s="83" t="n">
        <f aca="false">G44+G56+G57+G58</f>
        <v>-268132</v>
      </c>
      <c r="H59" s="83" t="n">
        <f aca="false">H44+H56+H57+H58</f>
        <v>-1484450</v>
      </c>
      <c r="I59" s="83" t="n">
        <f aca="false">I44+I56+I57+I58</f>
        <v>-1053178</v>
      </c>
      <c r="J59" s="83" t="n">
        <f aca="false">J44+J56+J57+J58</f>
        <v>400339</v>
      </c>
      <c r="K59" s="83" t="n">
        <f aca="false">K44+K56+K57+K58</f>
        <v>-1164929</v>
      </c>
      <c r="L59" s="83" t="n">
        <f aca="false">L44+L56+L57+L58</f>
        <v>9976</v>
      </c>
      <c r="M59" s="83" t="n">
        <f aca="false">M44+M56+M57+M58</f>
        <v>480606</v>
      </c>
      <c r="N59" s="83" t="n">
        <f aca="false">N44+N56+N57+N58</f>
        <v>-736584</v>
      </c>
    </row>
  </sheetData>
  <conditionalFormatting sqref="D50:O50">
    <cfRule type="cellIs" priority="2" operator="notEqual" aboveAverage="0" equalAverage="0" bottom="0" percent="0" rank="0" text="" dxfId="0">
      <formula>"Dpr Ok"</formula>
    </cfRule>
  </conditionalFormatting>
  <conditionalFormatting sqref="O51">
    <cfRule type="expression" priority="3" aboveAverage="0" equalAverage="0" bottom="0" percent="0" rank="0" text="" dxfId="1">
      <formula>$D$46=$D$49</formula>
    </cfRule>
  </conditionalFormatting>
  <printOptions headings="false" gridLines="false" gridLinesSet="true" horizontalCentered="true" verticalCentered="false"/>
  <pageMargins left="0.25" right="0.25" top="0.2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9" topLeftCell="BM10" activePane="bottomLeft" state="frozen"/>
      <selection pane="topLeft" activeCell="A1" activeCellId="0" sqref="A1"/>
      <selection pane="bottom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2" min="2" style="0" width="12.99"/>
    <col collapsed="false" customWidth="true" hidden="false" outlineLevel="0" max="3" min="3" style="102" width="24.99"/>
    <col collapsed="false" customWidth="true" hidden="false" outlineLevel="0" max="4" min="4" style="103" width="14.41"/>
    <col collapsed="false" customWidth="true" hidden="false" outlineLevel="0" max="5" min="5" style="103" width="18.7"/>
    <col collapsed="false" customWidth="true" hidden="false" outlineLevel="0" max="6" min="6" style="104" width="18.85"/>
    <col collapsed="false" customWidth="true" hidden="false" outlineLevel="0" max="7" min="7" style="105" width="18.28"/>
    <col collapsed="false" customWidth="true" hidden="false" outlineLevel="0" max="8" min="8" style="0" width="13.41"/>
    <col collapsed="false" customWidth="true" hidden="false" outlineLevel="0" max="9" min="9" style="0" width="11.85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B1" s="55" t="s">
        <v>52</v>
      </c>
      <c r="C1" s="55"/>
      <c r="D1" s="106"/>
      <c r="F1" s="103"/>
      <c r="H1" s="107"/>
      <c r="I1" s="108"/>
    </row>
    <row r="2" customFormat="false" ht="12.75" hidden="false" customHeight="false" outlineLevel="0" collapsed="false">
      <c r="B2" s="55" t="str">
        <f aca="false">Reconciliation!D6</f>
        <v>FT Katy</v>
      </c>
      <c r="C2" s="55"/>
      <c r="D2" s="106"/>
      <c r="F2" s="103"/>
      <c r="H2" s="107"/>
      <c r="I2" s="108"/>
    </row>
    <row r="3" customFormat="false" ht="12.75" hidden="false" customHeight="false" outlineLevel="0" collapsed="false">
      <c r="B3" s="55" t="s">
        <v>53</v>
      </c>
      <c r="C3" s="55"/>
      <c r="D3" s="106"/>
      <c r="F3" s="103"/>
      <c r="H3" s="107"/>
      <c r="I3" s="108"/>
    </row>
    <row r="4" customFormat="false" ht="12.75" hidden="false" customHeight="false" outlineLevel="0" collapsed="false">
      <c r="B4" s="55" t="s">
        <v>54</v>
      </c>
      <c r="C4" s="55"/>
      <c r="D4" s="106"/>
      <c r="F4" s="103"/>
      <c r="H4" s="107"/>
      <c r="I4" s="108"/>
    </row>
    <row r="5" customFormat="false" ht="12.75" hidden="false" customHeight="false" outlineLevel="0" collapsed="false">
      <c r="B5" s="109" t="n">
        <f aca="false">Reconciliation!D8</f>
        <v>37225</v>
      </c>
      <c r="C5" s="109"/>
      <c r="D5" s="106"/>
      <c r="F5" s="103"/>
      <c r="H5" s="107"/>
      <c r="I5" s="108"/>
    </row>
    <row r="6" customFormat="false" ht="12.75" hidden="false" customHeight="false" outlineLevel="0" collapsed="false">
      <c r="B6" s="55"/>
      <c r="C6" s="110"/>
      <c r="D6" s="106"/>
      <c r="F6" s="103"/>
      <c r="H6" s="107"/>
      <c r="I6" s="108"/>
    </row>
    <row r="7" customFormat="false" ht="12.75" hidden="false" customHeight="false" outlineLevel="0" collapsed="false">
      <c r="D7" s="111" t="s">
        <v>55</v>
      </c>
      <c r="E7" s="111" t="s">
        <v>56</v>
      </c>
      <c r="F7" s="111"/>
    </row>
    <row r="8" customFormat="false" ht="12.75" hidden="false" customHeight="false" outlineLevel="0" collapsed="false">
      <c r="A8" s="0" t="s">
        <v>57</v>
      </c>
      <c r="D8" s="111" t="s">
        <v>58</v>
      </c>
      <c r="E8" s="111" t="s">
        <v>59</v>
      </c>
      <c r="F8" s="111"/>
    </row>
    <row r="9" customFormat="false" ht="12.75" hidden="false" customHeight="false" outlineLevel="0" collapsed="false">
      <c r="A9" s="112" t="s">
        <v>60</v>
      </c>
      <c r="B9" s="112" t="s">
        <v>61</v>
      </c>
      <c r="C9" s="113" t="s">
        <v>62</v>
      </c>
      <c r="D9" s="114" t="s">
        <v>63</v>
      </c>
      <c r="E9" s="114" t="s">
        <v>64</v>
      </c>
      <c r="F9" s="114" t="s">
        <v>65</v>
      </c>
      <c r="G9" s="115" t="s">
        <v>66</v>
      </c>
      <c r="H9" s="110"/>
      <c r="I9" s="110"/>
      <c r="J9" s="110"/>
    </row>
    <row r="10" customFormat="false" ht="12.75" hidden="false" customHeight="false" outlineLevel="0" collapsed="false">
      <c r="A10" s="54" t="s">
        <v>67</v>
      </c>
      <c r="B10" s="54"/>
      <c r="C10" s="116"/>
      <c r="D10" s="117"/>
      <c r="E10" s="117"/>
      <c r="F10" s="117"/>
      <c r="G10" s="115"/>
      <c r="H10" s="110"/>
      <c r="I10" s="110"/>
      <c r="J10" s="110"/>
    </row>
    <row r="11" customFormat="false" ht="12.75" hidden="false" customHeight="false" outlineLevel="0" collapsed="false">
      <c r="A11" s="118" t="s">
        <v>68</v>
      </c>
      <c r="B11" s="54"/>
      <c r="C11" s="119" t="n">
        <v>29317</v>
      </c>
      <c r="D11" s="120" t="n">
        <v>20323</v>
      </c>
      <c r="E11" s="120"/>
      <c r="F11" s="121" t="n">
        <f aca="false">-[10]Report!$AQ$49</f>
        <v>8994</v>
      </c>
      <c r="G11" s="115"/>
      <c r="H11" s="110"/>
      <c r="I11" s="110"/>
      <c r="J11" s="110"/>
    </row>
    <row r="12" customFormat="false" ht="12.75" hidden="false" customHeight="false" outlineLevel="0" collapsed="false">
      <c r="A12" s="54"/>
      <c r="B12" s="54"/>
      <c r="C12" s="122"/>
      <c r="D12" s="123"/>
      <c r="E12" s="123"/>
      <c r="F12" s="117"/>
      <c r="G12" s="115"/>
      <c r="H12" s="110"/>
      <c r="I12" s="110"/>
      <c r="J12" s="110"/>
    </row>
    <row r="13" customFormat="false" ht="13.5" hidden="false" customHeight="false" outlineLevel="0" collapsed="false">
      <c r="A13" s="54"/>
      <c r="B13" s="54"/>
      <c r="C13" s="119"/>
      <c r="D13" s="120" t="n">
        <f aca="false">SUM(D11:D12)</f>
        <v>20323</v>
      </c>
      <c r="E13" s="120" t="n">
        <f aca="false">SUM(E11:E12)</f>
        <v>0</v>
      </c>
      <c r="F13" s="124" t="n">
        <f aca="false">+C11-D13-E13</f>
        <v>8994</v>
      </c>
      <c r="G13" s="125" t="n">
        <f aca="false">+F13-F11</f>
        <v>0</v>
      </c>
      <c r="H13" s="110"/>
      <c r="I13" s="110"/>
      <c r="J13" s="110"/>
    </row>
    <row r="14" customFormat="false" ht="13.5" hidden="false" customHeight="false" outlineLevel="0" collapsed="false">
      <c r="A14" s="54"/>
      <c r="B14" s="54"/>
      <c r="C14" s="116"/>
      <c r="D14" s="120"/>
      <c r="E14" s="120"/>
      <c r="F14" s="117"/>
      <c r="G14" s="115"/>
      <c r="H14" s="110"/>
      <c r="I14" s="110"/>
      <c r="J14" s="110"/>
    </row>
    <row r="15" customFormat="false" ht="12.75" hidden="false" customHeight="false" outlineLevel="0" collapsed="false">
      <c r="A15" s="54" t="s">
        <v>69</v>
      </c>
      <c r="B15" s="54"/>
      <c r="C15" s="116"/>
      <c r="D15" s="120"/>
      <c r="E15" s="120"/>
      <c r="F15" s="117"/>
      <c r="G15" s="115"/>
      <c r="H15" s="110"/>
      <c r="I15" s="110"/>
      <c r="J15" s="110"/>
    </row>
    <row r="16" customFormat="false" ht="12.75" hidden="false" customHeight="false" outlineLevel="0" collapsed="false">
      <c r="A16" s="118" t="s">
        <v>70</v>
      </c>
      <c r="B16" s="126" t="s">
        <v>71</v>
      </c>
      <c r="C16" s="119" t="n">
        <v>1129679</v>
      </c>
      <c r="D16" s="120"/>
      <c r="E16" s="120"/>
      <c r="F16" s="117"/>
      <c r="G16" s="115"/>
      <c r="H16" s="110"/>
      <c r="I16" s="110"/>
      <c r="J16" s="110"/>
    </row>
    <row r="17" customFormat="false" ht="12.75" hidden="false" customHeight="false" outlineLevel="0" collapsed="false">
      <c r="A17" s="127" t="s">
        <v>72</v>
      </c>
      <c r="B17" s="118" t="n">
        <v>500001504</v>
      </c>
      <c r="C17" s="119" t="n">
        <v>-1321550</v>
      </c>
      <c r="D17" s="120"/>
      <c r="E17" s="120" t="n">
        <v>70778</v>
      </c>
      <c r="F17" s="117"/>
      <c r="G17" s="115"/>
      <c r="H17" s="110"/>
      <c r="I17" s="110"/>
      <c r="J17" s="110"/>
    </row>
    <row r="18" customFormat="false" ht="12.75" hidden="false" customHeight="false" outlineLevel="0" collapsed="false">
      <c r="A18" s="127"/>
      <c r="B18" s="116"/>
      <c r="C18" s="122" t="s">
        <v>73</v>
      </c>
      <c r="D18" s="120"/>
      <c r="E18" s="120"/>
      <c r="F18" s="117"/>
      <c r="G18" s="115"/>
      <c r="H18" s="110"/>
      <c r="I18" s="110"/>
      <c r="J18" s="110"/>
    </row>
    <row r="19" customFormat="false" ht="12.75" hidden="false" customHeight="false" outlineLevel="0" collapsed="false">
      <c r="A19" s="127" t="s">
        <v>74</v>
      </c>
      <c r="B19" s="118" t="n">
        <v>500001504</v>
      </c>
      <c r="C19" s="119" t="n">
        <v>0</v>
      </c>
      <c r="D19" s="120"/>
      <c r="E19" s="120"/>
      <c r="F19" s="117" t="n">
        <f aca="false">-[2]SUMMARY!$I$115</f>
        <v>-262649</v>
      </c>
      <c r="G19" s="115"/>
      <c r="H19" s="128"/>
      <c r="I19" s="110"/>
      <c r="J19" s="110"/>
    </row>
    <row r="20" customFormat="false" ht="12.75" hidden="false" customHeight="false" outlineLevel="0" collapsed="false">
      <c r="A20" s="127" t="s">
        <v>75</v>
      </c>
      <c r="B20" s="118" t="n">
        <v>500001504</v>
      </c>
      <c r="C20" s="119" t="n">
        <v>0</v>
      </c>
      <c r="D20" s="123"/>
      <c r="E20" s="123"/>
      <c r="F20" s="117"/>
      <c r="G20" s="115"/>
      <c r="H20" s="110"/>
      <c r="I20" s="110"/>
      <c r="J20" s="110"/>
    </row>
    <row r="21" customFormat="false" ht="13.5" hidden="false" customHeight="false" outlineLevel="0" collapsed="false">
      <c r="A21" s="54"/>
      <c r="B21" s="119"/>
      <c r="C21" s="129"/>
      <c r="D21" s="120" t="n">
        <f aca="false">SUM(D16:D20)</f>
        <v>0</v>
      </c>
      <c r="E21" s="120" t="n">
        <f aca="false">SUM(E17:E20)</f>
        <v>70778</v>
      </c>
      <c r="F21" s="124" t="n">
        <f aca="false">+C16+C19+C17+C20-D21-E21</f>
        <v>-262649</v>
      </c>
      <c r="G21" s="125" t="n">
        <f aca="false">+F21-F19</f>
        <v>0</v>
      </c>
      <c r="H21" s="110"/>
      <c r="I21" s="110"/>
      <c r="J21" s="110"/>
    </row>
    <row r="22" customFormat="false" ht="13.5" hidden="false" customHeight="false" outlineLevel="0" collapsed="false">
      <c r="A22" s="54"/>
      <c r="B22" s="54"/>
      <c r="C22" s="116"/>
      <c r="D22" s="120"/>
      <c r="E22" s="120"/>
      <c r="F22" s="117"/>
      <c r="G22" s="115"/>
      <c r="H22" s="110"/>
      <c r="I22" s="110"/>
      <c r="J22" s="110"/>
    </row>
    <row r="23" customFormat="false" ht="12.75" hidden="false" customHeight="false" outlineLevel="0" collapsed="false">
      <c r="A23" s="54" t="s">
        <v>76</v>
      </c>
      <c r="B23" s="54"/>
      <c r="C23" s="116"/>
      <c r="D23" s="120"/>
      <c r="E23" s="120"/>
      <c r="F23" s="117"/>
      <c r="G23" s="115"/>
      <c r="H23" s="110"/>
      <c r="I23" s="110"/>
      <c r="J23" s="110"/>
    </row>
    <row r="24" customFormat="false" ht="12.75" hidden="false" customHeight="false" outlineLevel="0" collapsed="false">
      <c r="A24" s="118" t="s">
        <v>77</v>
      </c>
      <c r="B24" s="54"/>
      <c r="C24" s="119" t="n">
        <v>0</v>
      </c>
      <c r="D24" s="120"/>
      <c r="E24" s="120"/>
      <c r="F24" s="117" t="n">
        <f aca="false">-[2]SUMMARY!$I$109</f>
        <v>-0</v>
      </c>
      <c r="G24" s="115"/>
      <c r="H24" s="110"/>
      <c r="I24" s="110"/>
      <c r="J24" s="110"/>
    </row>
    <row r="25" customFormat="false" ht="12.75" hidden="false" customHeight="false" outlineLevel="0" collapsed="false">
      <c r="A25" s="54"/>
      <c r="B25" s="54"/>
      <c r="C25" s="130"/>
      <c r="D25" s="120"/>
      <c r="E25" s="120" t="n">
        <v>0</v>
      </c>
      <c r="F25" s="117"/>
      <c r="G25" s="115"/>
      <c r="H25" s="110"/>
      <c r="I25" s="110"/>
      <c r="J25" s="110"/>
    </row>
    <row r="26" customFormat="false" ht="12.75" hidden="false" customHeight="false" outlineLevel="0" collapsed="false">
      <c r="A26" s="54"/>
      <c r="B26" s="54"/>
      <c r="C26" s="116"/>
      <c r="D26" s="123"/>
      <c r="E26" s="123"/>
      <c r="F26" s="117"/>
      <c r="G26" s="115"/>
      <c r="H26" s="110"/>
      <c r="I26" s="110"/>
      <c r="J26" s="110"/>
    </row>
    <row r="27" customFormat="false" ht="13.5" hidden="false" customHeight="false" outlineLevel="0" collapsed="false">
      <c r="A27" s="54"/>
      <c r="B27" s="54"/>
      <c r="C27" s="116"/>
      <c r="D27" s="120" t="n">
        <f aca="false">SUM(D25:D26)</f>
        <v>0</v>
      </c>
      <c r="E27" s="120" t="n">
        <f aca="false">SUM(E25:E26)</f>
        <v>0</v>
      </c>
      <c r="F27" s="124" t="n">
        <f aca="false">+C24-D27-E27</f>
        <v>0</v>
      </c>
      <c r="G27" s="125" t="n">
        <f aca="false">+F27-F24</f>
        <v>0</v>
      </c>
      <c r="H27" s="110"/>
      <c r="I27" s="110"/>
      <c r="J27" s="110"/>
    </row>
    <row r="28" customFormat="false" ht="13.5" hidden="false" customHeight="false" outlineLevel="0" collapsed="false">
      <c r="A28" s="54"/>
      <c r="B28" s="54"/>
      <c r="C28" s="116"/>
      <c r="D28" s="120"/>
      <c r="E28" s="120"/>
      <c r="F28" s="117"/>
      <c r="G28" s="115"/>
      <c r="H28" s="110"/>
      <c r="I28" s="110"/>
      <c r="J28" s="110"/>
    </row>
    <row r="29" customFormat="false" ht="12.75" hidden="false" customHeight="false" outlineLevel="0" collapsed="false">
      <c r="A29" s="54"/>
      <c r="B29" s="54"/>
      <c r="C29" s="116"/>
      <c r="D29" s="120"/>
      <c r="E29" s="120"/>
      <c r="F29" s="117"/>
      <c r="G29" s="115"/>
      <c r="H29" s="110"/>
      <c r="I29" s="110"/>
      <c r="J29" s="110"/>
    </row>
    <row r="30" customFormat="false" ht="12.75" hidden="false" customHeight="false" outlineLevel="0" collapsed="false">
      <c r="A30" s="118" t="s">
        <v>78</v>
      </c>
      <c r="B30" s="54"/>
      <c r="C30" s="119" t="n">
        <v>262649</v>
      </c>
      <c r="D30" s="120"/>
      <c r="E30" s="120"/>
      <c r="F30" s="117"/>
      <c r="G30" s="115"/>
      <c r="H30" s="110"/>
      <c r="I30" s="110"/>
      <c r="J30" s="110"/>
    </row>
    <row r="31" customFormat="false" ht="12.75" hidden="false" customHeight="false" outlineLevel="0" collapsed="false">
      <c r="A31" s="118" t="s">
        <v>79</v>
      </c>
      <c r="B31" s="54"/>
      <c r="C31" s="119" t="n">
        <v>-240224</v>
      </c>
      <c r="D31" s="120"/>
      <c r="E31" s="120"/>
      <c r="F31" s="117" t="n">
        <f aca="false">-[2]SUMMARY!$I$105</f>
        <v>22425.01</v>
      </c>
      <c r="G31" s="115"/>
      <c r="H31" s="110"/>
      <c r="I31" s="110"/>
      <c r="J31" s="110"/>
    </row>
    <row r="32" customFormat="false" ht="12.75" hidden="false" customHeight="false" outlineLevel="0" collapsed="false">
      <c r="A32" s="118"/>
      <c r="B32" s="54"/>
      <c r="C32" s="119"/>
      <c r="D32" s="120"/>
      <c r="E32" s="120"/>
      <c r="F32" s="117"/>
      <c r="G32" s="115"/>
      <c r="H32" s="110"/>
      <c r="I32" s="110"/>
      <c r="J32" s="110"/>
    </row>
    <row r="33" customFormat="false" ht="12.75" hidden="false" customHeight="false" outlineLevel="0" collapsed="false">
      <c r="A33" s="54"/>
      <c r="B33" s="54"/>
      <c r="C33" s="122"/>
      <c r="D33" s="123"/>
      <c r="E33" s="123"/>
      <c r="F33" s="117"/>
      <c r="G33" s="115"/>
      <c r="H33" s="110"/>
      <c r="I33" s="110"/>
      <c r="J33" s="110"/>
    </row>
    <row r="34" customFormat="false" ht="13.5" hidden="false" customHeight="false" outlineLevel="0" collapsed="false">
      <c r="A34" s="54"/>
      <c r="B34" s="54"/>
      <c r="C34" s="116"/>
      <c r="D34" s="120" t="n">
        <f aca="false">SUM(D30:D33)</f>
        <v>0</v>
      </c>
      <c r="E34" s="120" t="n">
        <f aca="false">SUM(E33)</f>
        <v>0</v>
      </c>
      <c r="F34" s="124" t="n">
        <f aca="false">+C31+C30-D34-E34</f>
        <v>22425</v>
      </c>
      <c r="G34" s="125" t="n">
        <f aca="false">+F34-F31</f>
        <v>-0.00999999999839929</v>
      </c>
      <c r="H34" s="110"/>
      <c r="I34" s="110"/>
      <c r="J34" s="110"/>
    </row>
    <row r="35" customFormat="false" ht="13.5" hidden="false" customHeight="false" outlineLevel="0" collapsed="false">
      <c r="A35" s="54"/>
      <c r="B35" s="54"/>
      <c r="C35" s="116"/>
      <c r="D35" s="120"/>
      <c r="E35" s="120"/>
      <c r="F35" s="117"/>
      <c r="G35" s="115"/>
      <c r="H35" s="110"/>
      <c r="I35" s="110"/>
      <c r="J35" s="110"/>
    </row>
    <row r="36" customFormat="false" ht="12.75" hidden="false" customHeight="false" outlineLevel="0" collapsed="false">
      <c r="A36" s="118" t="s">
        <v>80</v>
      </c>
      <c r="B36" s="54"/>
      <c r="C36" s="119" t="n">
        <v>0</v>
      </c>
      <c r="D36" s="120"/>
      <c r="E36" s="120"/>
      <c r="F36" s="117"/>
      <c r="G36" s="115"/>
      <c r="H36" s="110"/>
      <c r="I36" s="110"/>
      <c r="J36" s="110"/>
    </row>
    <row r="37" customFormat="false" ht="12.75" hidden="false" customHeight="false" outlineLevel="0" collapsed="false">
      <c r="A37" s="54"/>
      <c r="B37" s="54"/>
      <c r="C37" s="130"/>
      <c r="D37" s="120"/>
      <c r="E37" s="120"/>
      <c r="F37" s="117"/>
      <c r="G37" s="115"/>
      <c r="H37" s="110"/>
      <c r="I37" s="110"/>
      <c r="J37" s="110"/>
    </row>
    <row r="38" customFormat="false" ht="12.75" hidden="false" customHeight="false" outlineLevel="0" collapsed="false">
      <c r="A38" s="54"/>
      <c r="B38" s="54"/>
      <c r="C38" s="116"/>
      <c r="D38" s="123"/>
      <c r="E38" s="123"/>
      <c r="F38" s="117"/>
      <c r="G38" s="115"/>
      <c r="H38" s="110"/>
      <c r="I38" s="110"/>
      <c r="J38" s="110"/>
    </row>
    <row r="39" customFormat="false" ht="13.5" hidden="false" customHeight="false" outlineLevel="0" collapsed="false">
      <c r="A39" s="54"/>
      <c r="B39" s="54"/>
      <c r="C39" s="116"/>
      <c r="D39" s="120" t="n">
        <f aca="false">SUM(D37:D38)</f>
        <v>0</v>
      </c>
      <c r="E39" s="120" t="n">
        <f aca="false">SUM(E37:E38)</f>
        <v>0</v>
      </c>
      <c r="F39" s="124" t="n">
        <f aca="false">+C36-D39-E39</f>
        <v>0</v>
      </c>
      <c r="G39" s="125" t="n">
        <f aca="false">+F39-F36</f>
        <v>0</v>
      </c>
      <c r="H39" s="110"/>
      <c r="I39" s="110"/>
      <c r="J39" s="110"/>
    </row>
    <row r="40" customFormat="false" ht="13.5" hidden="false" customHeight="false" outlineLevel="0" collapsed="false">
      <c r="A40" s="54"/>
      <c r="B40" s="54"/>
      <c r="C40" s="116"/>
      <c r="D40" s="120"/>
      <c r="E40" s="120"/>
      <c r="F40" s="117"/>
      <c r="G40" s="115"/>
      <c r="H40" s="110"/>
      <c r="I40" s="110"/>
      <c r="J40" s="110"/>
    </row>
    <row r="41" customFormat="false" ht="12.75" hidden="false" customHeight="false" outlineLevel="0" collapsed="false">
      <c r="A41" s="118" t="s">
        <v>81</v>
      </c>
      <c r="B41" s="54"/>
      <c r="C41" s="119" t="n">
        <v>0</v>
      </c>
      <c r="D41" s="120"/>
      <c r="E41" s="120"/>
      <c r="F41" s="117" t="n">
        <f aca="false">-[2]SUMMARY!$I$111</f>
        <v>-0</v>
      </c>
      <c r="G41" s="115"/>
      <c r="H41" s="110"/>
      <c r="I41" s="110"/>
      <c r="J41" s="110"/>
    </row>
    <row r="42" customFormat="false" ht="12.75" hidden="false" customHeight="false" outlineLevel="0" collapsed="false">
      <c r="A42" s="54"/>
      <c r="B42" s="54"/>
      <c r="C42" s="130"/>
      <c r="D42" s="120"/>
      <c r="E42" s="120" t="n">
        <v>0</v>
      </c>
      <c r="F42" s="117"/>
      <c r="G42" s="115"/>
      <c r="H42" s="110"/>
      <c r="I42" s="110"/>
      <c r="J42" s="110"/>
    </row>
    <row r="43" customFormat="false" ht="12.75" hidden="false" customHeight="false" outlineLevel="0" collapsed="false">
      <c r="A43" s="54"/>
      <c r="B43" s="54"/>
      <c r="C43" s="116"/>
      <c r="D43" s="123"/>
      <c r="E43" s="123"/>
      <c r="F43" s="117"/>
      <c r="G43" s="115"/>
      <c r="H43" s="110"/>
      <c r="I43" s="110"/>
      <c r="J43" s="110"/>
    </row>
    <row r="44" customFormat="false" ht="13.5" hidden="false" customHeight="false" outlineLevel="0" collapsed="false">
      <c r="A44" s="54"/>
      <c r="B44" s="54"/>
      <c r="C44" s="116"/>
      <c r="D44" s="120" t="n">
        <f aca="false">SUM(D42:D43)</f>
        <v>0</v>
      </c>
      <c r="E44" s="120" t="n">
        <f aca="false">SUM(E42:E43)</f>
        <v>0</v>
      </c>
      <c r="F44" s="124" t="n">
        <f aca="false">+C41-D44-E44</f>
        <v>0</v>
      </c>
      <c r="G44" s="125" t="n">
        <f aca="false">F44-F41</f>
        <v>0</v>
      </c>
      <c r="H44" s="110"/>
      <c r="I44" s="110"/>
      <c r="J44" s="110"/>
    </row>
    <row r="45" customFormat="false" ht="13.5" hidden="false" customHeight="false" outlineLevel="0" collapsed="false">
      <c r="A45" s="54"/>
      <c r="B45" s="54"/>
      <c r="C45" s="116"/>
      <c r="D45" s="120"/>
      <c r="E45" s="120"/>
      <c r="F45" s="117"/>
      <c r="G45" s="115"/>
      <c r="H45" s="110"/>
      <c r="I45" s="110"/>
      <c r="J45" s="110"/>
    </row>
    <row r="46" customFormat="false" ht="12.75" hidden="false" customHeight="false" outlineLevel="0" collapsed="false">
      <c r="A46" s="118" t="s">
        <v>82</v>
      </c>
      <c r="B46" s="54"/>
      <c r="C46" s="119" t="n">
        <v>0</v>
      </c>
      <c r="D46" s="120"/>
      <c r="E46" s="120"/>
      <c r="F46" s="117"/>
      <c r="G46" s="115"/>
      <c r="H46" s="128"/>
      <c r="I46" s="110"/>
      <c r="J46" s="110"/>
    </row>
    <row r="47" customFormat="false" ht="12.75" hidden="false" customHeight="false" outlineLevel="0" collapsed="false">
      <c r="A47" s="54"/>
      <c r="B47" s="54"/>
      <c r="C47" s="130"/>
      <c r="D47" s="120"/>
      <c r="E47" s="120"/>
      <c r="F47" s="117"/>
      <c r="G47" s="115"/>
      <c r="H47" s="110"/>
      <c r="I47" s="110"/>
      <c r="J47" s="110"/>
    </row>
    <row r="48" customFormat="false" ht="12.75" hidden="false" customHeight="false" outlineLevel="0" collapsed="false">
      <c r="A48" s="54"/>
      <c r="B48" s="54"/>
      <c r="C48" s="116"/>
      <c r="D48" s="123"/>
      <c r="E48" s="123"/>
      <c r="F48" s="117"/>
      <c r="G48" s="115"/>
      <c r="H48" s="110"/>
      <c r="I48" s="110"/>
      <c r="J48" s="110"/>
    </row>
    <row r="49" customFormat="false" ht="13.5" hidden="false" customHeight="false" outlineLevel="0" collapsed="false">
      <c r="A49" s="54"/>
      <c r="B49" s="54"/>
      <c r="C49" s="116"/>
      <c r="D49" s="120" t="n">
        <f aca="false">SUM(D47:D48)</f>
        <v>0</v>
      </c>
      <c r="E49" s="120" t="n">
        <f aca="false">SUM(E47:E48)</f>
        <v>0</v>
      </c>
      <c r="F49" s="124" t="n">
        <f aca="false">+C46-D49</f>
        <v>0</v>
      </c>
      <c r="G49" s="125" t="n">
        <f aca="false">+F49-F46</f>
        <v>0</v>
      </c>
      <c r="H49" s="110"/>
      <c r="I49" s="110"/>
      <c r="J49" s="110"/>
    </row>
    <row r="50" customFormat="false" ht="13.5" hidden="false" customHeight="false" outlineLevel="0" collapsed="false">
      <c r="A50" s="54"/>
      <c r="B50" s="54"/>
      <c r="C50" s="116"/>
      <c r="D50" s="120"/>
      <c r="E50" s="120"/>
      <c r="F50" s="117"/>
      <c r="G50" s="115"/>
      <c r="H50" s="110"/>
      <c r="I50" s="110"/>
      <c r="J50" s="110"/>
    </row>
    <row r="51" customFormat="false" ht="12.75" hidden="false" customHeight="false" outlineLevel="0" collapsed="false">
      <c r="A51" s="104" t="s">
        <v>83</v>
      </c>
      <c r="C51" s="131" t="n">
        <v>1020390</v>
      </c>
      <c r="D51" s="132"/>
      <c r="E51" s="133"/>
      <c r="F51" s="104" t="n">
        <f aca="false">-([2]SUMMARY!$I$104+[2]SUMMARY!$I$106)</f>
        <v>1040390</v>
      </c>
      <c r="G51" s="115"/>
      <c r="H51" s="134"/>
    </row>
    <row r="52" customFormat="false" ht="12.75" hidden="false" customHeight="false" outlineLevel="0" collapsed="false">
      <c r="B52" s="135"/>
      <c r="C52" s="136"/>
      <c r="D52" s="120" t="n">
        <v>-20000</v>
      </c>
      <c r="E52" s="120"/>
      <c r="F52" s="117"/>
      <c r="G52" s="115"/>
    </row>
    <row r="53" customFormat="false" ht="12.75" hidden="false" customHeight="false" outlineLevel="0" collapsed="false">
      <c r="B53" s="135"/>
      <c r="C53" s="137"/>
      <c r="D53" s="120"/>
      <c r="E53" s="120"/>
      <c r="F53" s="117"/>
      <c r="G53" s="115"/>
    </row>
    <row r="54" customFormat="false" ht="12.75" hidden="false" customHeight="false" outlineLevel="0" collapsed="false">
      <c r="C54" s="136"/>
      <c r="D54" s="123"/>
      <c r="E54" s="123"/>
      <c r="F54" s="117"/>
      <c r="G54" s="115"/>
    </row>
    <row r="55" customFormat="false" ht="13.5" hidden="false" customHeight="false" outlineLevel="0" collapsed="false">
      <c r="A55" s="54" t="s">
        <v>84</v>
      </c>
      <c r="D55" s="120" t="n">
        <f aca="false">SUM(D52:D54)</f>
        <v>-20000</v>
      </c>
      <c r="E55" s="120" t="n">
        <f aca="false">SUM(E51:E54)</f>
        <v>0</v>
      </c>
      <c r="F55" s="124" t="n">
        <f aca="false">+C51-D55-E55</f>
        <v>1040390</v>
      </c>
      <c r="G55" s="125" t="n">
        <f aca="false">+F55-F51</f>
        <v>0</v>
      </c>
    </row>
    <row r="56" customFormat="false" ht="13.5" hidden="false" customHeight="false" outlineLevel="0" collapsed="false">
      <c r="A56" s="54"/>
      <c r="D56" s="120"/>
      <c r="E56" s="120"/>
      <c r="F56" s="117"/>
      <c r="G56" s="115"/>
    </row>
    <row r="57" customFormat="false" ht="12.75" hidden="false" customHeight="false" outlineLevel="0" collapsed="false">
      <c r="A57" s="118" t="s">
        <v>85</v>
      </c>
      <c r="B57" s="118" t="n">
        <v>500000663</v>
      </c>
      <c r="C57" s="131" t="n">
        <v>7797</v>
      </c>
      <c r="D57" s="120"/>
      <c r="E57" s="120"/>
      <c r="F57" s="117"/>
      <c r="G57" s="115"/>
    </row>
    <row r="58" customFormat="false" ht="12.75" hidden="false" customHeight="false" outlineLevel="0" collapsed="false">
      <c r="A58" s="118" t="s">
        <v>83</v>
      </c>
      <c r="B58" s="118" t="n">
        <v>500000663</v>
      </c>
      <c r="C58" s="131" t="n">
        <v>-913</v>
      </c>
      <c r="D58" s="132"/>
      <c r="E58" s="132"/>
      <c r="F58" s="121" t="n">
        <f aca="false">[1]Report!$AQ$57+[1]Report!$AQ$58</f>
        <v>6883.5157</v>
      </c>
    </row>
    <row r="59" customFormat="false" ht="12.75" hidden="false" customHeight="false" outlineLevel="0" collapsed="false">
      <c r="B59" s="106"/>
      <c r="D59" s="138"/>
      <c r="E59" s="120"/>
      <c r="F59" s="117"/>
      <c r="G59" s="115"/>
    </row>
    <row r="60" customFormat="false" ht="12.75" hidden="false" customHeight="false" outlineLevel="0" collapsed="false">
      <c r="B60" s="106"/>
      <c r="C60" s="136"/>
      <c r="D60" s="123"/>
      <c r="E60" s="123"/>
      <c r="F60" s="117"/>
      <c r="G60" s="115"/>
    </row>
    <row r="61" customFormat="false" ht="13.5" hidden="false" customHeight="false" outlineLevel="0" collapsed="false">
      <c r="B61" s="106"/>
      <c r="D61" s="120" t="n">
        <f aca="false">SUM(D59:D60)</f>
        <v>0</v>
      </c>
      <c r="E61" s="120" t="n">
        <f aca="false">SUM(E59:E60)</f>
        <v>0</v>
      </c>
      <c r="F61" s="124" t="n">
        <f aca="false">+C57+C58-D61-E61</f>
        <v>6884</v>
      </c>
      <c r="G61" s="125" t="n">
        <f aca="false">+F61-F58</f>
        <v>0.484299999999166</v>
      </c>
    </row>
    <row r="62" customFormat="false" ht="13.5" hidden="false" customHeight="false" outlineLevel="0" collapsed="false">
      <c r="B62" s="106"/>
      <c r="D62" s="132"/>
      <c r="E62" s="132"/>
    </row>
    <row r="63" customFormat="false" ht="12.75" hidden="false" customHeight="false" outlineLevel="0" collapsed="false">
      <c r="A63" s="54" t="s">
        <v>86</v>
      </c>
      <c r="B63" s="106"/>
      <c r="D63" s="132"/>
      <c r="E63" s="132"/>
    </row>
    <row r="64" customFormat="false" ht="12.75" hidden="false" customHeight="false" outlineLevel="0" collapsed="false">
      <c r="A64" s="118" t="s">
        <v>87</v>
      </c>
      <c r="B64" s="118" t="n">
        <v>500000530</v>
      </c>
      <c r="C64" s="131" t="n">
        <v>-1629302</v>
      </c>
      <c r="D64" s="133" t="n">
        <v>0</v>
      </c>
      <c r="E64" s="133" t="n">
        <v>0</v>
      </c>
      <c r="F64" s="121" t="n">
        <f aca="false">-[10]Report!$AQ$56+[10]Report!$AQ$33</f>
        <v>-1629302.8843</v>
      </c>
    </row>
    <row r="65" customFormat="false" ht="12.75" hidden="false" customHeight="false" outlineLevel="0" collapsed="false">
      <c r="A65" s="118"/>
      <c r="B65" s="139"/>
      <c r="C65" s="136"/>
      <c r="D65" s="123"/>
      <c r="E65" s="123"/>
      <c r="F65" s="117"/>
      <c r="G65" s="115"/>
    </row>
    <row r="66" customFormat="false" ht="13.5" hidden="false" customHeight="false" outlineLevel="0" collapsed="false">
      <c r="A66" s="118"/>
      <c r="B66" s="139"/>
      <c r="C66" s="131"/>
      <c r="D66" s="120" t="n">
        <f aca="false">SUM(D64:D65)</f>
        <v>0</v>
      </c>
      <c r="E66" s="120" t="n">
        <f aca="false">SUM(E64:E65)</f>
        <v>0</v>
      </c>
      <c r="F66" s="124" t="n">
        <f aca="false">+C64-D66-E66</f>
        <v>-1629302</v>
      </c>
      <c r="G66" s="125" t="n">
        <f aca="false">+F66-F64</f>
        <v>0.884300000267103</v>
      </c>
    </row>
    <row r="67" customFormat="false" ht="13.5" hidden="false" customHeight="false" outlineLevel="0" collapsed="false">
      <c r="C67" s="131"/>
      <c r="D67" s="132"/>
      <c r="E67" s="132"/>
    </row>
    <row r="68" customFormat="false" ht="12.75" hidden="false" customHeight="false" outlineLevel="0" collapsed="false">
      <c r="A68" s="140" t="s">
        <v>88</v>
      </c>
      <c r="C68" s="131"/>
      <c r="D68" s="120" t="n">
        <v>0</v>
      </c>
      <c r="E68" s="132"/>
      <c r="F68" s="104" t="n">
        <f aca="false">+C68</f>
        <v>0</v>
      </c>
    </row>
    <row r="69" customFormat="false" ht="13.5" hidden="false" customHeight="false" outlineLevel="0" collapsed="false">
      <c r="A69" s="140" t="s">
        <v>89</v>
      </c>
      <c r="C69" s="141" t="n">
        <f aca="false">SUM(C11:C68)</f>
        <v>-742157</v>
      </c>
      <c r="D69" s="141" t="n">
        <f aca="false">+D66+D61+D55+D49+D44+D34+D27+D21+D13+D68+D39</f>
        <v>323</v>
      </c>
      <c r="E69" s="141" t="n">
        <f aca="false">+E66+E61+E55+E49+E44+E34+E27+E21+E13</f>
        <v>70778</v>
      </c>
      <c r="F69" s="142" t="n">
        <f aca="false">+F11+F19+F24+F46+F51+F58+F64+F68+F36+F31+F41</f>
        <v>-813259.3586</v>
      </c>
      <c r="H69" s="143"/>
    </row>
    <row r="70" customFormat="false" ht="13.5" hidden="false" customHeight="false" outlineLevel="0" collapsed="false">
      <c r="C70" s="137" t="n">
        <f aca="false">ROUND(+C69-C71,0)</f>
        <v>0</v>
      </c>
      <c r="F70" s="137" t="n">
        <f aca="false">F71-F69</f>
        <v>71102.3586000003</v>
      </c>
      <c r="H70" s="143"/>
    </row>
    <row r="71" customFormat="false" ht="13.5" hidden="false" customHeight="false" outlineLevel="0" collapsed="false">
      <c r="A71" s="140" t="s">
        <v>90</v>
      </c>
      <c r="C71" s="144" t="n">
        <f aca="false">Reconciliation!N44</f>
        <v>-742157</v>
      </c>
      <c r="F71" s="142" t="n">
        <f aca="false">+C71</f>
        <v>-742157</v>
      </c>
      <c r="H71" s="143"/>
    </row>
    <row r="72" customFormat="false" ht="13.5" hidden="false" customHeight="false" outlineLevel="0" collapsed="false"/>
    <row r="73" customFormat="false" ht="12.75" hidden="false" customHeight="false" outlineLevel="0" collapsed="false">
      <c r="C73" s="145"/>
      <c r="D73" s="146" t="s">
        <v>91</v>
      </c>
      <c r="E73" s="147" t="n">
        <f aca="false">-[2]RollTie!$G$16</f>
        <v>-6757.49600000167</v>
      </c>
    </row>
    <row r="74" customFormat="false" ht="12.75" hidden="false" customHeight="false" outlineLevel="0" collapsed="false">
      <c r="C74" s="148"/>
      <c r="D74" s="138" t="s">
        <v>75</v>
      </c>
      <c r="E74" s="149" t="n">
        <f aca="false">+D69</f>
        <v>323</v>
      </c>
    </row>
    <row r="75" customFormat="false" ht="12.75" hidden="false" customHeight="false" outlineLevel="0" collapsed="false">
      <c r="C75" s="150"/>
      <c r="D75" s="151" t="s">
        <v>92</v>
      </c>
      <c r="E75" s="152" t="n">
        <f aca="false">+E69</f>
        <v>70778</v>
      </c>
      <c r="F75" s="104" t="n">
        <f aca="false">SUM(E73:E75)</f>
        <v>64343.5039999983</v>
      </c>
    </row>
    <row r="77" customFormat="false" ht="12.75" hidden="false" customHeight="false" outlineLevel="0" collapsed="false">
      <c r="F77" s="153" t="n">
        <f aca="false">Reconciliation!N46</f>
        <v>64345</v>
      </c>
    </row>
    <row r="78" customFormat="false" ht="13.5" hidden="false" customHeight="false" outlineLevel="0" collapsed="false">
      <c r="E78" s="154" t="s">
        <v>93</v>
      </c>
      <c r="F78" s="155" t="n">
        <f aca="false">+F77-F75</f>
        <v>1.49600000167266</v>
      </c>
    </row>
    <row r="79" customFormat="false" ht="13.5" hidden="false" customHeight="false" outlineLevel="0" collapsed="false"/>
  </sheetData>
  <mergeCells count="5">
    <mergeCell ref="B1:C1"/>
    <mergeCell ref="B2:C2"/>
    <mergeCell ref="B3:C3"/>
    <mergeCell ref="B4:C4"/>
    <mergeCell ref="B5:C5"/>
  </mergeCells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5" ySplit="14" topLeftCell="K15" activePane="bottomRight" state="frozen"/>
      <selection pane="topLeft" activeCell="A1" activeCellId="0" sqref="A1"/>
      <selection pane="topRight" activeCell="K1" activeCellId="0" sqref="K1"/>
      <selection pane="bottomLeft" activeCell="A15" activeCellId="0" sqref="A15"/>
      <selection pane="bottomRight" activeCell="E4" activeCellId="0" sqref="E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7.7"/>
    <col collapsed="false" customWidth="true" hidden="false" outlineLevel="0" max="3" min="3" style="0" width="5.99"/>
    <col collapsed="false" customWidth="true" hidden="false" outlineLevel="0" max="4" min="4" style="0" width="5.56"/>
    <col collapsed="false" customWidth="true" hidden="false" outlineLevel="0" max="5" min="5" style="0" width="29.85"/>
    <col collapsed="false" customWidth="true" hidden="false" outlineLevel="0" max="6" min="6" style="0" width="13.85"/>
    <col collapsed="false" customWidth="true" hidden="false" outlineLevel="0" max="8" min="7" style="0" width="11.13"/>
    <col collapsed="false" customWidth="true" hidden="false" outlineLevel="0" max="9" min="9" style="0" width="11.7"/>
    <col collapsed="false" customWidth="true" hidden="false" outlineLevel="0" max="10" min="10" style="0" width="12.56"/>
    <col collapsed="false" customWidth="true" hidden="false" outlineLevel="0" max="11" min="11" style="0" width="13.41"/>
    <col collapsed="false" customWidth="true" hidden="false" outlineLevel="0" max="13" min="12" style="0" width="13.7"/>
    <col collapsed="false" customWidth="true" hidden="false" outlineLevel="0" max="14" min="14" style="0" width="12.42"/>
    <col collapsed="false" customWidth="true" hidden="false" outlineLevel="0" max="15" min="15" style="0" width="12.7"/>
    <col collapsed="false" customWidth="true" hidden="false" outlineLevel="0" max="16" min="16" style="0" width="11.7"/>
    <col collapsed="false" customWidth="true" hidden="false" outlineLevel="0" max="17" min="17" style="0" width="11.28"/>
    <col collapsed="false" customWidth="true" hidden="true" outlineLevel="0" max="18" min="18" style="0" width="12.28"/>
    <col collapsed="false" customWidth="true" hidden="false" outlineLevel="0" max="19" min="19" style="0" width="15.85"/>
    <col collapsed="false" customWidth="true" hidden="false" outlineLevel="0" max="20" min="20" style="0" width="1.56"/>
    <col collapsed="false" customWidth="true" hidden="false" outlineLevel="0" max="21" min="21" style="0" width="13.28"/>
  </cols>
  <sheetData>
    <row r="1" customFormat="false" ht="18" hidden="false" customHeight="false" outlineLevel="0" collapsed="false">
      <c r="B1" s="3" t="s">
        <v>0</v>
      </c>
      <c r="C1" s="1"/>
    </row>
    <row r="2" customFormat="false" ht="18" hidden="false" customHeight="false" outlineLevel="0" collapsed="false">
      <c r="B2" s="3" t="s">
        <v>1</v>
      </c>
      <c r="C2" s="1"/>
    </row>
    <row r="3" customFormat="false" ht="18" hidden="false" customHeight="false" outlineLevel="0" collapsed="false">
      <c r="B3" s="3" t="s">
        <v>28</v>
      </c>
      <c r="C3" s="1"/>
    </row>
    <row r="5" customFormat="false" ht="15.75" hidden="false" customHeight="false" outlineLevel="0" collapsed="false">
      <c r="C5" s="62" t="s">
        <v>29</v>
      </c>
      <c r="E5" s="156" t="str">
        <f aca="false">Reconciliation!D6</f>
        <v>FT Katy</v>
      </c>
    </row>
    <row r="6" customFormat="false" ht="15.75" hidden="false" customHeight="false" outlineLevel="0" collapsed="false">
      <c r="C6" s="62" t="s">
        <v>94</v>
      </c>
      <c r="E6" s="156" t="n">
        <f aca="false">Reconciliation!D7</f>
        <v>27094</v>
      </c>
    </row>
    <row r="7" customFormat="false" ht="15.75" hidden="false" customHeight="false" outlineLevel="0" collapsed="false">
      <c r="C7" s="62" t="s">
        <v>5</v>
      </c>
      <c r="E7" s="157" t="n">
        <f aca="false">Reconciliation!D8</f>
        <v>37225</v>
      </c>
    </row>
    <row r="8" customFormat="false" ht="7.5" hidden="false" customHeight="true" outlineLevel="0" collapsed="false"/>
    <row r="9" customFormat="false" ht="12.75" hidden="false" customHeight="false" outlineLevel="0" collapsed="false">
      <c r="B9" s="4" t="s">
        <v>95</v>
      </c>
    </row>
    <row r="10" customFormat="false" ht="12.75" hidden="false" customHeight="false" outlineLevel="0" collapsed="false">
      <c r="B10" s="4" t="s">
        <v>96</v>
      </c>
    </row>
    <row r="13" customFormat="false" ht="13.5" hidden="false" customHeight="true" outlineLevel="0" collapsed="false">
      <c r="B13" s="12"/>
      <c r="C13" s="14" t="s">
        <v>97</v>
      </c>
      <c r="D13" s="14"/>
      <c r="E13" s="14"/>
      <c r="F13" s="14" t="s">
        <v>98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customFormat="false" ht="12.75" hidden="false" customHeight="false" outlineLevel="0" collapsed="false">
      <c r="A14" s="129" t="s">
        <v>99</v>
      </c>
      <c r="B14" s="16" t="s">
        <v>58</v>
      </c>
      <c r="C14" s="18" t="s">
        <v>100</v>
      </c>
      <c r="D14" s="18" t="s">
        <v>101</v>
      </c>
      <c r="E14" s="18" t="s">
        <v>102</v>
      </c>
      <c r="F14" s="158" t="s">
        <v>103</v>
      </c>
      <c r="G14" s="158" t="s">
        <v>104</v>
      </c>
      <c r="H14" s="158" t="s">
        <v>105</v>
      </c>
      <c r="I14" s="158" t="s">
        <v>106</v>
      </c>
      <c r="J14" s="158" t="s">
        <v>107</v>
      </c>
      <c r="K14" s="158" t="s">
        <v>108</v>
      </c>
      <c r="L14" s="158" t="s">
        <v>109</v>
      </c>
      <c r="M14" s="158" t="s">
        <v>110</v>
      </c>
      <c r="N14" s="158" t="s">
        <v>111</v>
      </c>
      <c r="O14" s="158" t="s">
        <v>112</v>
      </c>
      <c r="P14" s="158" t="s">
        <v>113</v>
      </c>
      <c r="Q14" s="158" t="s">
        <v>114</v>
      </c>
      <c r="R14" s="158" t="s">
        <v>115</v>
      </c>
      <c r="S14" s="18" t="s">
        <v>116</v>
      </c>
      <c r="T14" s="55"/>
    </row>
    <row r="15" customFormat="false" ht="25.5" hidden="false" customHeight="false" outlineLevel="0" collapsed="false">
      <c r="A15" s="159" t="str">
        <f aca="false">+IF(B15="","",$E$5)</f>
        <v>FT Katy</v>
      </c>
      <c r="B15" s="160" t="s">
        <v>117</v>
      </c>
      <c r="C15" s="161" t="s">
        <v>118</v>
      </c>
      <c r="D15" s="161" t="s">
        <v>119</v>
      </c>
      <c r="E15" s="162" t="s">
        <v>120</v>
      </c>
      <c r="F15" s="163"/>
      <c r="G15" s="163"/>
      <c r="H15" s="163"/>
      <c r="I15" s="163"/>
      <c r="J15" s="163"/>
      <c r="K15" s="164" t="n">
        <v>-380</v>
      </c>
      <c r="L15" s="164" t="n">
        <v>380</v>
      </c>
      <c r="M15" s="164"/>
      <c r="N15" s="164"/>
      <c r="O15" s="164"/>
      <c r="P15" s="164"/>
      <c r="Q15" s="165"/>
      <c r="R15" s="164"/>
      <c r="S15" s="166" t="n">
        <f aca="false">SUM(F15:R15)</f>
        <v>0</v>
      </c>
      <c r="T15" s="167"/>
      <c r="U15" s="159"/>
    </row>
    <row r="16" customFormat="false" ht="12.75" hidden="false" customHeight="false" outlineLevel="0" collapsed="false">
      <c r="A16" s="159" t="str">
        <f aca="false">+IF(B16="","",$E$5)</f>
        <v>FT Katy</v>
      </c>
      <c r="B16" s="160" t="s">
        <v>117</v>
      </c>
      <c r="C16" s="161" t="s">
        <v>118</v>
      </c>
      <c r="D16" s="161" t="s">
        <v>121</v>
      </c>
      <c r="E16" s="162" t="s">
        <v>122</v>
      </c>
      <c r="F16" s="163"/>
      <c r="G16" s="163"/>
      <c r="H16" s="163"/>
      <c r="I16" s="163"/>
      <c r="J16" s="163"/>
      <c r="K16" s="164" t="n">
        <v>-77</v>
      </c>
      <c r="L16" s="164" t="n">
        <v>596</v>
      </c>
      <c r="M16" s="164" t="n">
        <f aca="false">-65.92+0.5+32</f>
        <v>-33.42</v>
      </c>
      <c r="N16" s="164" t="n">
        <f aca="false">-10.51-2.93</f>
        <v>-13.44</v>
      </c>
      <c r="O16" s="164" t="n">
        <f aca="false">3.2+0.66</f>
        <v>3.86</v>
      </c>
      <c r="P16" s="164" t="n">
        <v>20</v>
      </c>
      <c r="Q16" s="165" t="n">
        <f aca="false">-496-861.5+1.5</f>
        <v>-1356</v>
      </c>
      <c r="R16" s="164"/>
      <c r="S16" s="166" t="n">
        <f aca="false">SUM(F16:R16)</f>
        <v>-860</v>
      </c>
      <c r="T16" s="167"/>
      <c r="U16" s="159"/>
    </row>
    <row r="17" customFormat="false" ht="26.25" hidden="false" customHeight="true" outlineLevel="0" collapsed="false">
      <c r="A17" s="159" t="str">
        <f aca="false">+IF(B17="","",$E$5)</f>
        <v>FT Katy</v>
      </c>
      <c r="B17" s="160" t="s">
        <v>123</v>
      </c>
      <c r="C17" s="161" t="s">
        <v>124</v>
      </c>
      <c r="D17" s="161" t="s">
        <v>121</v>
      </c>
      <c r="E17" s="162" t="s">
        <v>125</v>
      </c>
      <c r="F17" s="163"/>
      <c r="G17" s="163"/>
      <c r="H17" s="163"/>
      <c r="I17" s="163"/>
      <c r="J17" s="163"/>
      <c r="K17" s="164"/>
      <c r="L17" s="164" t="n">
        <v>-66096</v>
      </c>
      <c r="M17" s="164" t="n">
        <v>66096</v>
      </c>
      <c r="N17" s="164"/>
      <c r="O17" s="164"/>
      <c r="P17" s="164"/>
      <c r="Q17" s="165"/>
      <c r="R17" s="164"/>
      <c r="S17" s="166" t="n">
        <f aca="false">SUM(F17:R17)</f>
        <v>0</v>
      </c>
      <c r="T17" s="167"/>
      <c r="U17" s="159"/>
    </row>
    <row r="18" customFormat="false" ht="26.25" hidden="false" customHeight="true" outlineLevel="0" collapsed="false">
      <c r="A18" s="159" t="str">
        <f aca="false">+IF(B18="","",$E$5)</f>
        <v>FT Katy</v>
      </c>
      <c r="B18" s="160" t="s">
        <v>123</v>
      </c>
      <c r="C18" s="161" t="s">
        <v>124</v>
      </c>
      <c r="D18" s="161" t="s">
        <v>121</v>
      </c>
      <c r="E18" s="162" t="s">
        <v>126</v>
      </c>
      <c r="F18" s="163"/>
      <c r="G18" s="163"/>
      <c r="H18" s="163"/>
      <c r="I18" s="163"/>
      <c r="J18" s="163"/>
      <c r="K18" s="164"/>
      <c r="L18" s="164" t="n">
        <v>74550</v>
      </c>
      <c r="M18" s="164" t="n">
        <v>-74550</v>
      </c>
      <c r="N18" s="164"/>
      <c r="O18" s="164"/>
      <c r="P18" s="164"/>
      <c r="Q18" s="165"/>
      <c r="R18" s="164"/>
      <c r="S18" s="166" t="n">
        <f aca="false">SUM(F18:R18)</f>
        <v>0</v>
      </c>
      <c r="T18" s="167"/>
      <c r="U18" s="159"/>
    </row>
    <row r="19" customFormat="false" ht="51" hidden="false" customHeight="false" outlineLevel="0" collapsed="false">
      <c r="A19" s="168" t="str">
        <f aca="false">+IF(B19="","",$E$5)</f>
        <v>FT Katy</v>
      </c>
      <c r="B19" s="169" t="s">
        <v>127</v>
      </c>
      <c r="C19" s="170" t="s">
        <v>128</v>
      </c>
      <c r="D19" s="170" t="s">
        <v>121</v>
      </c>
      <c r="E19" s="171" t="s">
        <v>129</v>
      </c>
      <c r="F19" s="172"/>
      <c r="G19" s="172"/>
      <c r="H19" s="172"/>
      <c r="I19" s="172"/>
      <c r="J19" s="172"/>
      <c r="K19" s="173"/>
      <c r="L19" s="173"/>
      <c r="M19" s="173" t="n">
        <v>945</v>
      </c>
      <c r="N19" s="173"/>
      <c r="O19" s="173" t="n">
        <v>-4455</v>
      </c>
      <c r="P19" s="173" t="n">
        <v>8910</v>
      </c>
      <c r="Q19" s="174" t="n">
        <v>-5400</v>
      </c>
      <c r="R19" s="173"/>
      <c r="S19" s="175" t="n">
        <f aca="false">SUM(F19:R19)</f>
        <v>0</v>
      </c>
      <c r="T19" s="176"/>
      <c r="U19" s="168"/>
    </row>
    <row r="20" customFormat="false" ht="27" hidden="false" customHeight="true" outlineLevel="0" collapsed="false">
      <c r="A20" s="168" t="str">
        <f aca="false">+IF(B20="","",$E$5)</f>
        <v>FT Katy</v>
      </c>
      <c r="B20" s="169" t="s">
        <v>130</v>
      </c>
      <c r="C20" s="170" t="s">
        <v>128</v>
      </c>
      <c r="D20" s="170" t="s">
        <v>121</v>
      </c>
      <c r="E20" s="171" t="s">
        <v>131</v>
      </c>
      <c r="F20" s="172"/>
      <c r="G20" s="172"/>
      <c r="H20" s="172"/>
      <c r="I20" s="172"/>
      <c r="J20" s="172"/>
      <c r="K20" s="173"/>
      <c r="L20" s="173"/>
      <c r="M20" s="173"/>
      <c r="N20" s="173" t="n">
        <v>-3003</v>
      </c>
      <c r="O20" s="173" t="n">
        <v>3003</v>
      </c>
      <c r="P20" s="173"/>
      <c r="Q20" s="174"/>
      <c r="R20" s="173"/>
      <c r="S20" s="175" t="n">
        <f aca="false">SUM(F20:R20)</f>
        <v>0</v>
      </c>
      <c r="T20" s="176"/>
      <c r="U20" s="168"/>
    </row>
    <row r="21" customFormat="false" ht="26.25" hidden="false" customHeight="true" outlineLevel="0" collapsed="false">
      <c r="A21" s="159" t="str">
        <f aca="false">+IF(B21="","",$E$5)</f>
        <v>FT Katy</v>
      </c>
      <c r="B21" s="160" t="s">
        <v>132</v>
      </c>
      <c r="C21" s="161" t="s">
        <v>118</v>
      </c>
      <c r="D21" s="161" t="s">
        <v>121</v>
      </c>
      <c r="E21" s="162" t="s">
        <v>133</v>
      </c>
      <c r="F21" s="163"/>
      <c r="G21" s="163"/>
      <c r="H21" s="163"/>
      <c r="I21" s="163"/>
      <c r="J21" s="163"/>
      <c r="K21" s="164"/>
      <c r="L21" s="164"/>
      <c r="M21" s="164"/>
      <c r="N21" s="164"/>
      <c r="O21" s="164"/>
      <c r="P21" s="164" t="n">
        <v>-20323</v>
      </c>
      <c r="Q21" s="165" t="n">
        <v>20323</v>
      </c>
      <c r="R21" s="164"/>
      <c r="S21" s="166" t="n">
        <f aca="false">SUM(F21:R21)</f>
        <v>0</v>
      </c>
      <c r="T21" s="167"/>
      <c r="U21" s="159"/>
    </row>
    <row r="22" customFormat="false" ht="26.25" hidden="false" customHeight="true" outlineLevel="0" collapsed="false">
      <c r="A22" s="159" t="str">
        <f aca="false">+IF(B22="","",$E$5)</f>
        <v>FT Katy</v>
      </c>
      <c r="B22" s="160" t="s">
        <v>132</v>
      </c>
      <c r="C22" s="161" t="s">
        <v>118</v>
      </c>
      <c r="D22" s="161" t="s">
        <v>121</v>
      </c>
      <c r="E22" s="162" t="s">
        <v>134</v>
      </c>
      <c r="F22" s="163"/>
      <c r="G22" s="163"/>
      <c r="H22" s="163"/>
      <c r="I22" s="163"/>
      <c r="J22" s="163"/>
      <c r="K22" s="164"/>
      <c r="L22" s="164"/>
      <c r="M22" s="164"/>
      <c r="N22" s="164"/>
      <c r="O22" s="164"/>
      <c r="P22" s="164" t="n">
        <v>20000</v>
      </c>
      <c r="Q22" s="165" t="n">
        <v>-20000</v>
      </c>
      <c r="R22" s="164"/>
      <c r="S22" s="166" t="n">
        <f aca="false">SUM(F22:R22)</f>
        <v>0</v>
      </c>
      <c r="T22" s="167"/>
      <c r="U22" s="159"/>
    </row>
    <row r="23" customFormat="false" ht="12.75" hidden="false" customHeight="false" outlineLevel="0" collapsed="false">
      <c r="A23" s="159" t="str">
        <f aca="false">+IF(B23="","",$E$5)</f>
        <v>FT Katy</v>
      </c>
      <c r="B23" s="160" t="s">
        <v>135</v>
      </c>
      <c r="C23" s="161" t="s">
        <v>124</v>
      </c>
      <c r="D23" s="161" t="s">
        <v>121</v>
      </c>
      <c r="E23" s="162" t="s">
        <v>136</v>
      </c>
      <c r="F23" s="163"/>
      <c r="G23" s="163"/>
      <c r="H23" s="163"/>
      <c r="I23" s="163"/>
      <c r="J23" s="163"/>
      <c r="K23" s="164"/>
      <c r="L23" s="164"/>
      <c r="M23" s="164"/>
      <c r="N23" s="164"/>
      <c r="O23" s="164"/>
      <c r="P23" s="164"/>
      <c r="Q23" s="165" t="n">
        <v>70778</v>
      </c>
      <c r="R23" s="164"/>
      <c r="S23" s="166" t="n">
        <f aca="false">SUM(F23:R23)</f>
        <v>70778</v>
      </c>
      <c r="T23" s="167"/>
      <c r="U23" s="159"/>
    </row>
    <row r="24" customFormat="false" ht="12.75" hidden="false" customHeight="false" outlineLevel="0" collapsed="false">
      <c r="A24" s="177" t="str">
        <f aca="false">+IF(B24="","",$E$5)</f>
        <v/>
      </c>
      <c r="B24" s="178"/>
      <c r="C24" s="179"/>
      <c r="D24" s="180"/>
      <c r="E24" s="181"/>
      <c r="F24" s="182"/>
      <c r="G24" s="182"/>
      <c r="H24" s="182"/>
      <c r="I24" s="182"/>
      <c r="J24" s="182"/>
      <c r="K24" s="183"/>
      <c r="L24" s="183"/>
      <c r="M24" s="183"/>
      <c r="N24" s="183"/>
      <c r="O24" s="183"/>
      <c r="P24" s="183"/>
      <c r="Q24" s="184"/>
      <c r="R24" s="183"/>
      <c r="S24" s="185" t="n">
        <f aca="false">SUM(F24:R24)</f>
        <v>0</v>
      </c>
      <c r="T24" s="186"/>
      <c r="U24" s="177"/>
    </row>
    <row r="25" customFormat="false" ht="12" hidden="false" customHeight="true" outlineLevel="0" collapsed="false">
      <c r="A25" s="177" t="str">
        <f aca="false">+IF(B25="","",$E$5)</f>
        <v/>
      </c>
      <c r="B25" s="178"/>
      <c r="C25" s="179"/>
      <c r="D25" s="180"/>
      <c r="E25" s="181"/>
      <c r="F25" s="182"/>
      <c r="G25" s="182"/>
      <c r="H25" s="182"/>
      <c r="I25" s="182"/>
      <c r="J25" s="182"/>
      <c r="K25" s="183"/>
      <c r="L25" s="183"/>
      <c r="M25" s="183"/>
      <c r="N25" s="183"/>
      <c r="O25" s="183"/>
      <c r="P25" s="183"/>
      <c r="Q25" s="184"/>
      <c r="R25" s="183"/>
      <c r="S25" s="185" t="n">
        <f aca="false">SUM(F25:R25)</f>
        <v>0</v>
      </c>
      <c r="T25" s="186"/>
      <c r="U25" s="177"/>
    </row>
    <row r="26" customFormat="false" ht="12.75" hidden="false" customHeight="false" outlineLevel="0" collapsed="false">
      <c r="B26" s="187"/>
      <c r="C26" s="188"/>
      <c r="D26" s="188"/>
      <c r="E26" s="18" t="s">
        <v>137</v>
      </c>
      <c r="F26" s="189" t="n">
        <f aca="false">SUM(F15:F25)</f>
        <v>0</v>
      </c>
      <c r="G26" s="189" t="n">
        <f aca="false">SUM(G15:G25)</f>
        <v>0</v>
      </c>
      <c r="H26" s="189" t="n">
        <f aca="false">SUM(H15:H25)</f>
        <v>0</v>
      </c>
      <c r="I26" s="189" t="n">
        <f aca="false">SUM(I15:I25)</f>
        <v>0</v>
      </c>
      <c r="J26" s="189" t="n">
        <f aca="false">SUM(J15:J25)</f>
        <v>0</v>
      </c>
      <c r="K26" s="189" t="n">
        <f aca="false">SUM(K15:K25)</f>
        <v>-457</v>
      </c>
      <c r="L26" s="189" t="n">
        <f aca="false">SUM(L15:L25)</f>
        <v>9430</v>
      </c>
      <c r="M26" s="189" t="n">
        <f aca="false">SUM(M15:M25)</f>
        <v>-7542.42</v>
      </c>
      <c r="N26" s="189" t="n">
        <f aca="false">SUM(N15:N25)</f>
        <v>-3016.44</v>
      </c>
      <c r="O26" s="189" t="n">
        <f aca="false">SUM(O15:O25)</f>
        <v>-1448.14</v>
      </c>
      <c r="P26" s="189" t="n">
        <f aca="false">SUM(P15:P25)</f>
        <v>8607</v>
      </c>
      <c r="Q26" s="190" t="n">
        <f aca="false">SUM(Q15:Q25)</f>
        <v>64345</v>
      </c>
      <c r="R26" s="189" t="n">
        <f aca="false">SUM(R15:R25)</f>
        <v>0</v>
      </c>
      <c r="S26" s="189" t="n">
        <f aca="false">SUM(S15:S25)</f>
        <v>69918</v>
      </c>
      <c r="T26" s="96"/>
    </row>
    <row r="27" customFormat="false" ht="12.75" hidden="false" customHeight="false" outlineLevel="0" collapsed="false">
      <c r="B27" s="187"/>
      <c r="C27" s="188"/>
      <c r="D27" s="188"/>
      <c r="E27" s="188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90"/>
      <c r="R27" s="189"/>
      <c r="S27" s="191"/>
      <c r="T27" s="96"/>
    </row>
    <row r="28" customFormat="false" ht="12.75" hidden="false" customHeight="false" outlineLevel="0" collapsed="false">
      <c r="B28" s="187"/>
      <c r="C28" s="188"/>
      <c r="D28" s="188"/>
      <c r="E28" s="188"/>
      <c r="F28" s="189"/>
      <c r="G28" s="189"/>
      <c r="H28" s="189"/>
      <c r="I28" s="192"/>
      <c r="J28" s="189"/>
      <c r="K28" s="189"/>
      <c r="L28" s="189"/>
      <c r="M28" s="189"/>
      <c r="N28" s="189"/>
      <c r="O28" s="189"/>
      <c r="P28" s="189"/>
      <c r="Q28" s="190"/>
      <c r="R28" s="189"/>
      <c r="S28" s="191"/>
      <c r="T28" s="96"/>
    </row>
    <row r="29" customFormat="false" ht="12.75" hidden="false" customHeight="false" outlineLevel="0" collapsed="false">
      <c r="B29" s="193" t="s">
        <v>138</v>
      </c>
      <c r="C29" s="188"/>
      <c r="D29" s="188"/>
      <c r="E29" s="188"/>
      <c r="F29" s="189"/>
      <c r="G29" s="189"/>
      <c r="H29" s="189"/>
      <c r="I29" s="192"/>
      <c r="J29" s="189"/>
      <c r="K29" s="189"/>
      <c r="L29" s="189"/>
      <c r="M29" s="189"/>
      <c r="N29" s="189"/>
      <c r="O29" s="189"/>
      <c r="P29" s="189"/>
      <c r="Q29" s="190"/>
      <c r="R29" s="189"/>
      <c r="S29" s="191" t="n">
        <f aca="false">SUM(F29:R29)</f>
        <v>0</v>
      </c>
      <c r="T29" s="96"/>
    </row>
    <row r="30" customFormat="false" ht="12.75" hidden="false" customHeight="false" outlineLevel="0" collapsed="false">
      <c r="B30" s="193" t="s">
        <v>139</v>
      </c>
      <c r="C30" s="188"/>
      <c r="D30" s="188"/>
      <c r="E30" s="188"/>
      <c r="F30" s="189"/>
      <c r="G30" s="189"/>
      <c r="H30" s="189"/>
      <c r="I30" s="192"/>
      <c r="J30" s="189"/>
      <c r="K30" s="189"/>
      <c r="L30" s="189"/>
      <c r="M30" s="189"/>
      <c r="N30" s="189"/>
      <c r="O30" s="189"/>
      <c r="P30" s="189"/>
      <c r="Q30" s="190"/>
      <c r="R30" s="189"/>
      <c r="S30" s="194" t="n">
        <f aca="false">SUM(F30:R30)</f>
        <v>0</v>
      </c>
      <c r="T30" s="96"/>
    </row>
    <row r="31" customFormat="false" ht="12.75" hidden="false" customHeight="false" outlineLevel="0" collapsed="false">
      <c r="B31" s="16" t="s">
        <v>140</v>
      </c>
      <c r="C31" s="16"/>
      <c r="D31" s="16"/>
      <c r="E31" s="16"/>
      <c r="F31" s="192" t="n">
        <f aca="false">SUM(F27:F30)</f>
        <v>0</v>
      </c>
      <c r="G31" s="192" t="n">
        <f aca="false">SUM(G27:G30)</f>
        <v>0</v>
      </c>
      <c r="H31" s="192" t="n">
        <f aca="false">SUM(H27:H30)</f>
        <v>0</v>
      </c>
      <c r="I31" s="192" t="n">
        <f aca="false">SUM(I27:I30)</f>
        <v>0</v>
      </c>
      <c r="J31" s="192" t="n">
        <f aca="false">SUM(J27:J30)</f>
        <v>0</v>
      </c>
      <c r="K31" s="192" t="n">
        <f aca="false">SUM(K27:K30)</f>
        <v>0</v>
      </c>
      <c r="L31" s="192" t="n">
        <f aca="false">SUM(L27:L30)</f>
        <v>0</v>
      </c>
      <c r="M31" s="192" t="n">
        <f aca="false">SUM(M27:M30)</f>
        <v>0</v>
      </c>
      <c r="N31" s="192" t="n">
        <f aca="false">SUM(N27:N30)</f>
        <v>0</v>
      </c>
      <c r="O31" s="192" t="n">
        <f aca="false">SUM(O27:O30)</f>
        <v>0</v>
      </c>
      <c r="P31" s="192" t="n">
        <f aca="false">SUM(P27:P30)</f>
        <v>0</v>
      </c>
      <c r="Q31" s="195" t="n">
        <f aca="false">SUM(Q27:Q30)</f>
        <v>0</v>
      </c>
      <c r="R31" s="192" t="n">
        <f aca="false">SUM(R27:R30)</f>
        <v>0</v>
      </c>
      <c r="S31" s="196" t="n">
        <f aca="false">SUM(S26:S30)</f>
        <v>69918</v>
      </c>
      <c r="T31" s="197"/>
    </row>
    <row r="32" customFormat="false" ht="13.5" hidden="false" customHeight="false" outlineLevel="0" collapsed="false">
      <c r="B32" s="198"/>
      <c r="C32" s="199"/>
      <c r="D32" s="199"/>
      <c r="E32" s="200"/>
      <c r="F32" s="201"/>
      <c r="G32" s="201"/>
      <c r="H32" s="201"/>
      <c r="I32" s="202"/>
      <c r="J32" s="201"/>
      <c r="K32" s="201"/>
      <c r="L32" s="201"/>
      <c r="M32" s="201"/>
      <c r="N32" s="201"/>
      <c r="O32" s="201"/>
      <c r="P32" s="201"/>
      <c r="Q32" s="203"/>
      <c r="R32" s="201"/>
      <c r="S32" s="204"/>
      <c r="T32" s="197"/>
    </row>
    <row r="33" customFormat="false" ht="13.5" hidden="false" customHeight="false" outlineLevel="0" collapsed="false">
      <c r="B33" s="205"/>
      <c r="C33" s="206"/>
      <c r="D33" s="206"/>
      <c r="E33" s="206"/>
      <c r="F33" s="207"/>
      <c r="G33" s="207"/>
      <c r="H33" s="207"/>
      <c r="I33" s="208"/>
      <c r="J33" s="207"/>
      <c r="K33" s="207"/>
      <c r="L33" s="207"/>
      <c r="M33" s="207"/>
      <c r="N33" s="207"/>
      <c r="O33" s="207"/>
      <c r="P33" s="207"/>
      <c r="Q33" s="209"/>
      <c r="R33" s="207"/>
      <c r="S33" s="210"/>
      <c r="T33" s="197"/>
    </row>
    <row r="34" customFormat="false" ht="15" hidden="false" customHeight="false" outlineLevel="0" collapsed="false">
      <c r="B34" s="211" t="s">
        <v>141</v>
      </c>
      <c r="C34" s="206"/>
      <c r="D34" s="206"/>
      <c r="E34" s="206"/>
      <c r="F34" s="207"/>
      <c r="G34" s="207"/>
      <c r="H34" s="207"/>
      <c r="I34" s="208"/>
      <c r="J34" s="207"/>
      <c r="K34" s="207"/>
      <c r="L34" s="207"/>
      <c r="M34" s="207"/>
      <c r="N34" s="207"/>
      <c r="O34" s="207"/>
      <c r="P34" s="207"/>
      <c r="Q34" s="209"/>
      <c r="R34" s="207"/>
      <c r="S34" s="210"/>
      <c r="T34" s="197"/>
    </row>
    <row r="35" customFormat="false" ht="12.75" hidden="false" customHeight="false" outlineLevel="0" collapsed="false">
      <c r="B35" s="205"/>
      <c r="C35" s="206"/>
      <c r="D35" s="206"/>
      <c r="E35" s="206"/>
      <c r="F35" s="207"/>
      <c r="G35" s="207"/>
      <c r="H35" s="207"/>
      <c r="I35" s="208"/>
      <c r="J35" s="207"/>
      <c r="K35" s="207"/>
      <c r="L35" s="207"/>
      <c r="M35" s="207"/>
      <c r="N35" s="207"/>
      <c r="O35" s="207"/>
      <c r="P35" s="207"/>
      <c r="Q35" s="209"/>
      <c r="R35" s="207"/>
      <c r="S35" s="210"/>
      <c r="T35" s="197"/>
    </row>
    <row r="36" customFormat="false" ht="12.75" hidden="false" customHeight="false" outlineLevel="0" collapsed="false">
      <c r="B36" s="212" t="s">
        <v>142</v>
      </c>
      <c r="C36" s="213"/>
      <c r="D36" s="213"/>
      <c r="E36" s="213"/>
      <c r="F36" s="207"/>
      <c r="G36" s="207"/>
      <c r="H36" s="207"/>
      <c r="I36" s="208"/>
      <c r="J36" s="207"/>
      <c r="K36" s="207"/>
      <c r="L36" s="207"/>
      <c r="M36" s="207"/>
      <c r="N36" s="207"/>
      <c r="O36" s="207"/>
      <c r="P36" s="207"/>
      <c r="Q36" s="209"/>
      <c r="R36" s="207"/>
      <c r="S36" s="210"/>
      <c r="T36" s="197"/>
    </row>
    <row r="37" customFormat="false" ht="12.75" hidden="false" customHeight="false" outlineLevel="0" collapsed="false">
      <c r="B37" s="214" t="s">
        <v>143</v>
      </c>
      <c r="C37" s="215"/>
      <c r="D37" s="215"/>
      <c r="E37" s="215"/>
      <c r="F37" s="216"/>
      <c r="G37" s="216"/>
      <c r="H37" s="216"/>
      <c r="I37" s="216"/>
      <c r="J37" s="207"/>
      <c r="K37" s="207"/>
      <c r="L37" s="207"/>
      <c r="M37" s="207"/>
      <c r="N37" s="207"/>
      <c r="O37" s="207"/>
      <c r="P37" s="207"/>
      <c r="Q37" s="209"/>
      <c r="R37" s="207"/>
      <c r="S37" s="207" t="n">
        <f aca="false">SUM(F37:R37)</f>
        <v>0</v>
      </c>
      <c r="T37" s="197"/>
    </row>
    <row r="38" customFormat="false" ht="12.75" hidden="false" customHeight="false" outlineLevel="0" collapsed="false">
      <c r="B38" s="214" t="s">
        <v>144</v>
      </c>
      <c r="C38" s="55"/>
      <c r="D38" s="55"/>
      <c r="E38" s="55"/>
      <c r="F38" s="207"/>
      <c r="G38" s="207"/>
      <c r="H38" s="207"/>
      <c r="I38" s="207"/>
      <c r="J38" s="207"/>
      <c r="K38" s="207" t="n">
        <f aca="false">K15+K16+L15</f>
        <v>-77</v>
      </c>
      <c r="L38" s="207" t="n">
        <f aca="false">L17+L18+L16</f>
        <v>9050</v>
      </c>
      <c r="M38" s="207" t="n">
        <f aca="false">SUM(M15:M19)</f>
        <v>-7542.42</v>
      </c>
      <c r="N38" s="207" t="n">
        <f aca="false">+N16</f>
        <v>-13.44</v>
      </c>
      <c r="O38" s="207" t="n">
        <f aca="false">+O16+O19</f>
        <v>-4451.14</v>
      </c>
      <c r="P38" s="207" t="n">
        <f aca="false">+P22+P21+P16</f>
        <v>-303</v>
      </c>
      <c r="Q38" s="209" t="n">
        <f aca="false">+Q16+Q21+Q22+Q23</f>
        <v>69745</v>
      </c>
      <c r="R38" s="207"/>
      <c r="S38" s="207" t="n">
        <f aca="false">SUM(F38:R38)</f>
        <v>66408</v>
      </c>
      <c r="T38" s="96"/>
    </row>
    <row r="39" customFormat="false" ht="12.75" hidden="false" customHeight="false" outlineLevel="0" collapsed="false">
      <c r="B39" s="53" t="s">
        <v>145</v>
      </c>
      <c r="C39" s="53"/>
      <c r="D39" s="53"/>
      <c r="E39" s="53"/>
      <c r="F39" s="217" t="n">
        <f aca="false">F37+F38</f>
        <v>0</v>
      </c>
      <c r="G39" s="217" t="n">
        <f aca="false">SUM(G38)</f>
        <v>0</v>
      </c>
      <c r="H39" s="217" t="n">
        <f aca="false">SUM(H38)</f>
        <v>0</v>
      </c>
      <c r="I39" s="217" t="n">
        <f aca="false">SUM(I38)</f>
        <v>0</v>
      </c>
      <c r="J39" s="217" t="n">
        <f aca="false">SUM(J38)</f>
        <v>0</v>
      </c>
      <c r="K39" s="217" t="n">
        <f aca="false">SUM(K38)</f>
        <v>-77</v>
      </c>
      <c r="L39" s="217" t="n">
        <f aca="false">SUM(L38)</f>
        <v>9050</v>
      </c>
      <c r="M39" s="217" t="n">
        <f aca="false">SUM(M38)</f>
        <v>-7542.42</v>
      </c>
      <c r="N39" s="217" t="n">
        <f aca="false">SUM(N38)</f>
        <v>-13.44</v>
      </c>
      <c r="O39" s="217" t="n">
        <f aca="false">SUM(O38)</f>
        <v>-4451.14</v>
      </c>
      <c r="P39" s="217" t="n">
        <f aca="false">SUM(P38)</f>
        <v>-303</v>
      </c>
      <c r="Q39" s="218" t="n">
        <f aca="false">SUM(Q38)</f>
        <v>69745</v>
      </c>
      <c r="R39" s="217" t="n">
        <f aca="false">SUM(R38)</f>
        <v>0</v>
      </c>
      <c r="S39" s="219" t="n">
        <f aca="false">SUM(S37:S38)</f>
        <v>66408</v>
      </c>
      <c r="T39" s="197"/>
    </row>
    <row r="40" customFormat="false" ht="12.75" hidden="false" customHeight="false" outlineLevel="0" collapsed="false">
      <c r="B40" s="205"/>
      <c r="C40" s="206"/>
      <c r="D40" s="206"/>
      <c r="E40" s="206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9"/>
      <c r="R40" s="207"/>
      <c r="S40" s="207"/>
      <c r="T40" s="96"/>
    </row>
    <row r="41" customFormat="false" ht="12.75" hidden="false" customHeight="false" outlineLevel="0" collapsed="false">
      <c r="B41" s="205"/>
      <c r="C41" s="206"/>
      <c r="D41" s="206"/>
      <c r="E41" s="206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9"/>
      <c r="R41" s="207"/>
      <c r="S41" s="207"/>
      <c r="T41" s="96"/>
    </row>
    <row r="42" customFormat="false" ht="12.75" hidden="false" customHeight="false" outlineLevel="0" collapsed="false">
      <c r="B42" s="205"/>
      <c r="C42" s="206"/>
      <c r="D42" s="206"/>
      <c r="E42" s="206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9"/>
      <c r="R42" s="207"/>
      <c r="S42" s="207"/>
      <c r="T42" s="96"/>
    </row>
    <row r="43" customFormat="false" ht="12.75" hidden="false" customHeight="false" outlineLevel="0" collapsed="false">
      <c r="B43" s="220" t="s">
        <v>146</v>
      </c>
      <c r="C43" s="221"/>
      <c r="D43" s="221"/>
      <c r="E43" s="221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9"/>
      <c r="R43" s="207"/>
      <c r="S43" s="207"/>
      <c r="T43" s="96"/>
    </row>
    <row r="44" customFormat="false" ht="12.75" hidden="false" customHeight="false" outlineLevel="0" collapsed="false">
      <c r="B44" s="222" t="s">
        <v>147</v>
      </c>
      <c r="C44" s="215"/>
      <c r="D44" s="215"/>
      <c r="E44" s="215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9"/>
      <c r="R44" s="207"/>
      <c r="S44" s="207" t="n">
        <f aca="false">SUM(F44:R44)</f>
        <v>0</v>
      </c>
      <c r="T44" s="96"/>
    </row>
    <row r="45" customFormat="false" ht="12.75" hidden="false" customHeight="false" outlineLevel="0" collapsed="false">
      <c r="B45" s="214" t="s">
        <v>148</v>
      </c>
      <c r="C45" s="206"/>
      <c r="D45" s="206"/>
      <c r="E45" s="206"/>
      <c r="F45" s="207"/>
      <c r="G45" s="207"/>
      <c r="H45" s="207"/>
      <c r="I45" s="207"/>
      <c r="J45" s="207"/>
      <c r="K45" s="207"/>
      <c r="L45" s="207"/>
      <c r="M45" s="207"/>
      <c r="N45" s="207" t="n">
        <f aca="false">+N20</f>
        <v>-3003</v>
      </c>
      <c r="O45" s="207" t="n">
        <f aca="false">+O20</f>
        <v>3003</v>
      </c>
      <c r="P45" s="207" t="n">
        <f aca="false">+P19</f>
        <v>8910</v>
      </c>
      <c r="Q45" s="223" t="n">
        <f aca="false">+Q19</f>
        <v>-5400</v>
      </c>
      <c r="R45" s="207"/>
      <c r="S45" s="207" t="n">
        <f aca="false">SUM(F45:R45)</f>
        <v>3510</v>
      </c>
      <c r="T45" s="96"/>
    </row>
    <row r="46" customFormat="false" ht="12.75" hidden="false" customHeight="false" outlineLevel="0" collapsed="false">
      <c r="B46" s="53" t="s">
        <v>149</v>
      </c>
      <c r="C46" s="53"/>
      <c r="D46" s="53"/>
      <c r="E46" s="53"/>
      <c r="F46" s="217" t="n">
        <f aca="false">F44+F45</f>
        <v>0</v>
      </c>
      <c r="G46" s="217" t="n">
        <f aca="false">SUM(G45)</f>
        <v>0</v>
      </c>
      <c r="H46" s="217" t="n">
        <f aca="false">SUM(H45)</f>
        <v>0</v>
      </c>
      <c r="I46" s="217" t="n">
        <f aca="false">SUM(I45)</f>
        <v>0</v>
      </c>
      <c r="J46" s="217" t="n">
        <f aca="false">SUM(J45)</f>
        <v>0</v>
      </c>
      <c r="K46" s="217" t="n">
        <f aca="false">SUM(K45)</f>
        <v>0</v>
      </c>
      <c r="L46" s="217" t="n">
        <f aca="false">SUM(L45)</f>
        <v>0</v>
      </c>
      <c r="M46" s="217" t="n">
        <f aca="false">SUM(M45)</f>
        <v>0</v>
      </c>
      <c r="N46" s="217" t="n">
        <f aca="false">SUM(N45)</f>
        <v>-3003</v>
      </c>
      <c r="O46" s="217" t="n">
        <f aca="false">SUM(O45)</f>
        <v>3003</v>
      </c>
      <c r="P46" s="217" t="n">
        <f aca="false">SUM(P45)</f>
        <v>8910</v>
      </c>
      <c r="Q46" s="218" t="n">
        <f aca="false">SUM(Q45)</f>
        <v>-5400</v>
      </c>
      <c r="R46" s="217" t="n">
        <f aca="false">SUM(R45)</f>
        <v>0</v>
      </c>
      <c r="S46" s="219" t="n">
        <f aca="false">SUM(S44:S45)</f>
        <v>3510</v>
      </c>
      <c r="T46" s="224"/>
      <c r="U46" s="225" t="n">
        <f aca="false">+S38+S45</f>
        <v>69918</v>
      </c>
      <c r="V46" s="98" t="s">
        <v>150</v>
      </c>
    </row>
    <row r="47" customFormat="false" ht="12.75" hidden="false" customHeight="false" outlineLevel="0" collapsed="false">
      <c r="B47" s="205"/>
      <c r="C47" s="206"/>
      <c r="D47" s="206"/>
      <c r="E47" s="206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9"/>
      <c r="R47" s="207"/>
      <c r="S47" s="207"/>
      <c r="T47" s="96"/>
    </row>
    <row r="48" customFormat="false" ht="13.5" hidden="false" customHeight="false" outlineLevel="0" collapsed="false">
      <c r="B48" s="226"/>
      <c r="C48" s="227"/>
      <c r="D48" s="227"/>
      <c r="E48" s="22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228"/>
      <c r="R48" s="67"/>
      <c r="S48" s="67"/>
      <c r="T48" s="96"/>
    </row>
    <row r="49" customFormat="false" ht="13.5" hidden="false" customHeight="false" outlineLevel="0" collapsed="false">
      <c r="B49" s="229" t="s">
        <v>151</v>
      </c>
      <c r="C49" s="229"/>
      <c r="D49" s="229"/>
      <c r="E49" s="229"/>
      <c r="F49" s="230" t="n">
        <f aca="false">+F39+F46</f>
        <v>0</v>
      </c>
      <c r="G49" s="230" t="n">
        <f aca="false">+G39+G46</f>
        <v>0</v>
      </c>
      <c r="H49" s="230" t="n">
        <f aca="false">+H39+H46</f>
        <v>0</v>
      </c>
      <c r="I49" s="230" t="n">
        <f aca="false">+I39+I46</f>
        <v>0</v>
      </c>
      <c r="J49" s="230" t="n">
        <f aca="false">+J39+J46</f>
        <v>0</v>
      </c>
      <c r="K49" s="230" t="n">
        <f aca="false">+K39+K46</f>
        <v>-77</v>
      </c>
      <c r="L49" s="230" t="n">
        <f aca="false">+L39+L46</f>
        <v>9050</v>
      </c>
      <c r="M49" s="230" t="n">
        <f aca="false">+M39+M46</f>
        <v>-7542.42</v>
      </c>
      <c r="N49" s="230" t="n">
        <f aca="false">+N39+N46</f>
        <v>-3016.44</v>
      </c>
      <c r="O49" s="230" t="n">
        <f aca="false">+O39+O46</f>
        <v>-1448.14</v>
      </c>
      <c r="P49" s="230" t="n">
        <f aca="false">+P39+P46</f>
        <v>8607</v>
      </c>
      <c r="Q49" s="230" t="n">
        <f aca="false">+Q39+Q46</f>
        <v>64345</v>
      </c>
      <c r="R49" s="230" t="n">
        <f aca="false">+R39+R46</f>
        <v>0</v>
      </c>
      <c r="S49" s="231" t="n">
        <f aca="false">+S39+S46</f>
        <v>69918</v>
      </c>
      <c r="T49" s="224"/>
    </row>
    <row r="50" customFormat="false" ht="12.75" hidden="false" customHeight="false" outlineLevel="0" collapsed="false">
      <c r="B50" s="99"/>
      <c r="C50" s="99"/>
      <c r="D50" s="99"/>
      <c r="E50" s="99"/>
      <c r="S50" s="232"/>
      <c r="T50" s="40"/>
    </row>
    <row r="51" customFormat="false" ht="13.5" hidden="false" customHeight="false" outlineLevel="0" collapsed="false">
      <c r="B51" s="156" t="s">
        <v>152</v>
      </c>
      <c r="C51" s="99"/>
      <c r="D51" s="99"/>
      <c r="E51" s="99"/>
      <c r="M51" s="233" t="s">
        <v>153</v>
      </c>
      <c r="N51" s="99"/>
      <c r="O51" s="99"/>
      <c r="P51" s="99"/>
      <c r="Q51" s="110"/>
      <c r="R51" s="99"/>
      <c r="S51" s="234" t="n">
        <f aca="false">+S49</f>
        <v>69918</v>
      </c>
      <c r="T51" s="197"/>
    </row>
    <row r="52" customFormat="false" ht="13.5" hidden="false" customHeight="false" outlineLevel="0" collapsed="false">
      <c r="B52" s="156" t="s">
        <v>154</v>
      </c>
      <c r="C52" s="99"/>
      <c r="D52" s="99"/>
      <c r="E52" s="99"/>
      <c r="S52" s="235"/>
      <c r="T52" s="235"/>
    </row>
    <row r="53" customFormat="false" ht="12.75" hidden="false" customHeight="false" outlineLevel="0" collapsed="false">
      <c r="B53" s="99"/>
      <c r="C53" s="99"/>
      <c r="D53" s="99"/>
      <c r="E53" s="99"/>
    </row>
    <row r="54" customFormat="false" ht="12.75" hidden="false" customHeight="false" outlineLevel="0" collapsed="false">
      <c r="B54" s="156" t="s">
        <v>155</v>
      </c>
      <c r="C54" s="99"/>
      <c r="D54" s="99"/>
      <c r="E54" s="99"/>
      <c r="L54" s="96"/>
      <c r="M54" s="129" t="s">
        <v>156</v>
      </c>
      <c r="N54" s="96"/>
      <c r="O54" s="96"/>
      <c r="P54" s="96"/>
      <c r="Q54" s="96"/>
      <c r="R54" s="96"/>
      <c r="S54" s="219" t="n">
        <f aca="false">-'[11]ENTRY-CALC'!$F$18</f>
        <v>-69918</v>
      </c>
    </row>
    <row r="55" customFormat="false" ht="12.75" hidden="false" customHeight="false" outlineLevel="0" collapsed="false">
      <c r="B55" s="156" t="s">
        <v>157</v>
      </c>
      <c r="C55" s="99"/>
      <c r="D55" s="99"/>
      <c r="E55" s="99"/>
      <c r="L55" s="96"/>
      <c r="N55" s="96"/>
      <c r="O55" s="96"/>
      <c r="P55" s="96"/>
      <c r="Q55" s="96"/>
      <c r="R55" s="96"/>
      <c r="S55" s="96"/>
    </row>
    <row r="56" customFormat="false" ht="12.75" hidden="false" customHeight="false" outlineLevel="0" collapsed="false">
      <c r="B56" s="156" t="s">
        <v>158</v>
      </c>
      <c r="C56" s="99"/>
      <c r="D56" s="99"/>
      <c r="E56" s="99"/>
      <c r="L56" s="96"/>
      <c r="M56" s="129" t="s">
        <v>159</v>
      </c>
      <c r="N56" s="96"/>
      <c r="O56" s="96"/>
      <c r="P56" s="96"/>
      <c r="Q56" s="96"/>
      <c r="R56" s="96"/>
      <c r="S56" s="219" t="n">
        <f aca="false">+S54+S49</f>
        <v>0</v>
      </c>
    </row>
    <row r="57" customFormat="false" ht="12.75" hidden="false" customHeight="false" outlineLevel="0" collapsed="false">
      <c r="B57" s="99"/>
      <c r="C57" s="99"/>
      <c r="D57" s="99"/>
      <c r="E57" s="99"/>
      <c r="J57" s="1"/>
      <c r="K57" s="83"/>
      <c r="L57" s="83"/>
      <c r="M57" s="83"/>
      <c r="N57" s="83"/>
      <c r="O57" s="83"/>
      <c r="P57" s="83"/>
      <c r="Q57" s="83"/>
      <c r="R57" s="83"/>
      <c r="S57" s="83"/>
    </row>
    <row r="58" customFormat="false" ht="12.75" hidden="false" customHeight="false" outlineLevel="0" collapsed="false">
      <c r="B58" s="236" t="str">
        <f aca="true">CELL("filename")</f>
        <v>'file:///mnt/12tb/@roms/datasets/enron/EDRM Enron Email Data Set v2 XML/filtered-attachments/xls/Reco_J11.xls'#$Accrual</v>
      </c>
      <c r="C58" s="99"/>
      <c r="D58" s="99"/>
      <c r="E58" s="99"/>
      <c r="K58" s="83"/>
      <c r="L58" s="83"/>
      <c r="M58" s="83"/>
      <c r="N58" s="83"/>
      <c r="O58" s="83"/>
      <c r="P58" s="83"/>
      <c r="Q58" s="83"/>
      <c r="R58" s="83"/>
      <c r="S58" s="83"/>
    </row>
    <row r="59" customFormat="false" ht="12.75" hidden="false" customHeight="false" outlineLevel="0" collapsed="false">
      <c r="B59" s="99"/>
      <c r="C59" s="99"/>
      <c r="D59" s="99"/>
      <c r="E59" s="99"/>
      <c r="K59" s="83"/>
      <c r="L59" s="83"/>
      <c r="M59" s="83"/>
      <c r="N59" s="83"/>
      <c r="O59" s="83"/>
      <c r="P59" s="83"/>
      <c r="Q59" s="83"/>
      <c r="R59" s="83"/>
      <c r="S59" s="83"/>
    </row>
  </sheetData>
  <mergeCells count="4">
    <mergeCell ref="B31:E31"/>
    <mergeCell ref="B39:E39"/>
    <mergeCell ref="B46:E46"/>
    <mergeCell ref="B49:E49"/>
  </mergeCells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1998-03-16T11:53:03Z</dcterms:created>
  <dc:creator>MLRuffer</dc:creator>
  <dc:description/>
  <dc:language>en-US</dc:language>
  <cp:lastModifiedBy>Amanda Schultz</cp:lastModifiedBy>
  <cp:lastPrinted>2001-12-17T13:31:58Z</cp:lastPrinted>
  <dcterms:modified xsi:type="dcterms:W3CDTF">2001-12-20T19:33:49Z</dcterms:modified>
  <cp:revision>0</cp:revision>
  <dc:subject/>
  <dc:title/>
</cp:coreProperties>
</file>