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MCF PRA (99)12-month" sheetId="1" state="visible" r:id="rId3"/>
    <sheet name="NNG DTH PRA (99)12-month" sheetId="2" state="visible" r:id="rId4"/>
    <sheet name="NNG CYTD MCF 2000" sheetId="3" state="visible" r:id="rId5"/>
    <sheet name="NNG CYTD DTH 2000" sheetId="4" state="visible" r:id="rId6"/>
    <sheet name="NNG MCF PRA (01)12-month" sheetId="5" state="visible" r:id="rId7"/>
    <sheet name="NNG DTH PRA (01)12-month" sheetId="6" state="visible" r:id="rId8"/>
    <sheet name="NNG CYTD MCF2001" sheetId="7" state="visible" r:id="rId9"/>
    <sheet name="NNG CYTD DTH 2001" sheetId="8" state="visible" r:id="rId10"/>
    <sheet name="NNG Corrections" sheetId="9" state="visible" r:id="rId11"/>
    <sheet name="TW MCF PRA (99)12-Month" sheetId="10" state="visible" r:id="rId12"/>
    <sheet name="TW DTH PRA (99)12-Month" sheetId="11" state="visible" r:id="rId13"/>
    <sheet name="TW CYTD MCF 2000" sheetId="12" state="visible" r:id="rId14"/>
    <sheet name="TW CYTD DTH 2000" sheetId="13" state="visible" r:id="rId15"/>
    <sheet name="TW MCF PRA (00)12-Month" sheetId="14" state="visible" r:id="rId16"/>
    <sheet name="TW DTH PRA (00)12-Month" sheetId="15" state="visible" r:id="rId17"/>
    <sheet name="TW CYTD MCF 2001" sheetId="16" state="visible" r:id="rId18"/>
    <sheet name="TW CYTD DTH 2001" sheetId="17" state="visible" r:id="rId19"/>
    <sheet name="TW Corrections" sheetId="18" state="visible" r:id="rId20"/>
    <sheet name="Sheet11" sheetId="19" state="visible" r:id="rId21"/>
    <sheet name="Sheet12" sheetId="20" state="visible" r:id="rId22"/>
    <sheet name="Sheet13" sheetId="21" state="visible" r:id="rId23"/>
    <sheet name="Sheet14" sheetId="22" state="visible" r:id="rId24"/>
    <sheet name="Sheet15" sheetId="23" state="visible" r:id="rId25"/>
    <sheet name="Sheet16" sheetId="24" state="visible" r:id="rId26"/>
  </sheets>
  <definedNames>
    <definedName function="false" hidden="false" localSheetId="8" name="_xlnm.Print_Titles" vbProcedure="false">'NNG Corrections'!$1:$2</definedName>
    <definedName function="false" hidden="false" localSheetId="2" name="_xlnm.Print_Area" vbProcedure="false">'NNG CYTD MCF 2000'!$A$1:$N$24</definedName>
    <definedName function="false" hidden="false" localSheetId="5" name="_xlnm.Print_Area" vbProcedure="false">'NNG DTH PRA (01)12-month'!$A$1:$W$25</definedName>
    <definedName function="false" hidden="false" localSheetId="1" name="_xlnm.Print_Area" vbProcedure="false">'NNG DTH PRA (99)12-month'!$A$1:$N$25</definedName>
    <definedName function="false" hidden="false" localSheetId="4" name="_xlnm.Print_Area" vbProcedure="false">'NNG MCF PRA (01)12-month'!$A$1:$W$25</definedName>
    <definedName function="false" hidden="false" localSheetId="0" name="_xlnm.Print_Area" vbProcedure="false">'NNG MCF PRA (99)12-month'!$A$1:$N$25</definedName>
    <definedName function="false" hidden="false" localSheetId="14" name="_xlnm.Print_Area" vbProcedure="false">'TW DTH PRA (00)12-Month'!$A$1:$W$25</definedName>
    <definedName function="false" hidden="false" localSheetId="10" name="_xlnm.Print_Area" vbProcedure="false">'TW DTH PRA (99)12-Month'!$A$1:$N$25</definedName>
    <definedName function="false" hidden="false" localSheetId="13" name="_xlnm.Print_Area" vbProcedure="false">'TW MCF PRA (00)12-Month'!$A$1:$W$25</definedName>
    <definedName function="false" hidden="false" localSheetId="9" name="_xlnm.Print_Area" vbProcedure="false">'TW MCF PRA (99)12-Month'!$A$1:$N$25</definedName>
    <definedName function="false" hidden="false" localSheetId="8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<sst xmlns="http://schemas.openxmlformats.org/spreadsheetml/2006/main" count="651" uniqueCount="69">
  <si>
    <t xml:space="preserve">NORTHERN NATURAL GAS</t>
  </si>
  <si>
    <t xml:space="preserve"> </t>
  </si>
  <si>
    <t xml:space="preserve">             Revised: </t>
  </si>
  <si>
    <t xml:space="preserve">Calculation of System Gain or (Loss) - in MCF</t>
  </si>
  <si>
    <t xml:space="preserve">               R. Panzer</t>
  </si>
  <si>
    <t xml:space="preserve">12 Month History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</si>
  <si>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</si>
  <si>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</si>
  <si>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</si>
  <si>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</si>
  <si>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</si>
  <si>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</si>
  <si>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</si>
  <si>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</si>
  <si>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</si>
  <si>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</si>
  <si>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</si>
  <si>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</si>
  <si>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12 MONTH</t>
  </si>
  <si>
    <t xml:space="preserve">TOTAL</t>
  </si>
  <si>
    <t xml:space="preserve">Measured Rec.</t>
  </si>
  <si>
    <t xml:space="preserve">Measured Del.</t>
  </si>
  <si>
    <t xml:space="preserve">Del. Subtotal</t>
  </si>
  <si>
    <t xml:space="preserve">Measured Imbal.</t>
  </si>
  <si>
    <t xml:space="preserve">%</t>
  </si>
  <si>
    <t xml:space="preserve">Measured Adj. Imbal</t>
  </si>
  <si>
    <t xml:space="preserve">Pipeline Receipts</t>
  </si>
  <si>
    <t xml:space="preserve">Pipeline Deliveries</t>
  </si>
  <si>
    <t xml:space="preserve">Pipeline Company Use</t>
  </si>
  <si>
    <t xml:space="preserve">Pipeline Line Pack</t>
  </si>
  <si>
    <t xml:space="preserve">Shrinkage</t>
  </si>
  <si>
    <t xml:space="preserve">Starting Imbal MCF</t>
  </si>
  <si>
    <t xml:space="preserve">Calculation of System Gain or (Loss) - in Dth</t>
  </si>
  <si>
    <t xml:space="preserve">Starting Imbal Dth</t>
  </si>
  <si>
    <t xml:space="preserve">Calculation of System Gain or (Loss) - in DTH</t>
  </si>
  <si>
    <t xml:space="preserve">R. Panzer</t>
  </si>
  <si>
    <t xml:space="preserve">R.Panzer</t>
  </si>
  <si>
    <t xml:space="preserve">MCF @ 14.73</t>
  </si>
  <si>
    <t xml:space="preserve">MMBTU @ 14.73</t>
  </si>
  <si>
    <t xml:space="preserve">Corr</t>
  </si>
  <si>
    <t xml:space="preserve">Reason for Correction</t>
  </si>
  <si>
    <t xml:space="preserve">Station #</t>
  </si>
  <si>
    <t xml:space="preserve">POI</t>
  </si>
  <si>
    <t xml:space="preserve">R/D</t>
  </si>
  <si>
    <t xml:space="preserve">Station Name</t>
  </si>
  <si>
    <t xml:space="preserve">Original</t>
  </si>
  <si>
    <t xml:space="preserve">Corrrected</t>
  </si>
  <si>
    <t xml:space="preserve">Difference</t>
  </si>
  <si>
    <t xml:space="preserve">Corrected</t>
  </si>
  <si>
    <t xml:space="preserve">Hrs</t>
  </si>
  <si>
    <t xml:space="preserve">MM/YY</t>
  </si>
  <si>
    <t xml:space="preserve">By</t>
  </si>
  <si>
    <t xml:space="preserve">Code and Description</t>
  </si>
  <si>
    <t xml:space="preserve">D</t>
  </si>
  <si>
    <t xml:space="preserve">BUSHTON #4 FUEL COMPRESSOR</t>
  </si>
  <si>
    <t xml:space="preserve">A. MENDEZ</t>
  </si>
  <si>
    <t xml:space="preserve">IPI-F INT SCAN PROCESS INCORRECT</t>
  </si>
  <si>
    <t xml:space="preserve">CARDINAL IG PLANT</t>
  </si>
  <si>
    <t xml:space="preserve">D. BOSWELL</t>
  </si>
  <si>
    <t xml:space="preserve">ERA-O ESTIMATE REPCD WITH ACTUAL LATE</t>
  </si>
  <si>
    <t xml:space="preserve">TESCOTT #2 COMP STA TRANS</t>
  </si>
  <si>
    <t xml:space="preserve">C. SOMMER</t>
  </si>
  <si>
    <t xml:space="preserve">ICT-F INVALID CALCULATION TYPE</t>
  </si>
  <si>
    <t xml:space="preserve">?</t>
  </si>
  <si>
    <t xml:space="preserve">Transwestern Pipeline</t>
  </si>
  <si>
    <t xml:space="preserve">Starting Imbalance MCF</t>
  </si>
  <si>
    <t xml:space="preserve">Starting Imbalance Dth</t>
  </si>
  <si>
    <t xml:space="preserve">JANAURY</t>
  </si>
  <si>
    <t xml:space="preserve">Station ID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</si>
</sst>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m/d/yyyy"/>
    <numFmt numFmtId="167" formatCode="[$-409]#,##0_);\(#,##0\)"/>
    <numFmt numFmtId="168" formatCode="0.00%"/>
    <numFmt numFmtId="169" formatCode="_(* #,##0.00_);_(* \(#,##0.00\);_(* \-??_);_(@_)"/>
    <numFmt numFmtId="170" formatCode="_(* #,##0_);_(* \(#,##0\);_(* \-??_);_(@_)"/>
    <numFmt numFmtId="171" formatCode="0_);[RED]\(0\)"/>
    <numFmt numFmtId="172" formatCode="0.0"/>
    <numFmt numFmtId="173" formatCode="[$-409]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 Narrow"/>
      <family val="2"/>
    </font>
    <font>
      <b val="true"/>
      <sz val="8"/>
      <color rgb="FF000000"/>
      <name val="Arial Narrow"/>
      <family val="2"/>
    </font>
    <font>
      <sz val="10"/>
      <color rgb="FF000000"/>
      <name val="Arial Narrow"/>
      <family val="2"/>
    </font>
    <font>
      <sz val="6"/>
      <color rgb="FF000000"/>
      <name val="Arial Narrow"/>
      <family val="2"/>
    </font>
    <font>
      <sz val="8"/>
      <color rgb="FF000000"/>
      <name val="Arial"/>
      <family val="2"/>
    </font>
    <font>
      <sz val="8"/>
      <name val="Arial"/>
      <family val="0"/>
    </font>
    <font>
      <sz val="8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 val="true"/>
      <sz val="8"/>
      <name val="Arial Narrow"/>
      <family val="2"/>
    </font>
    <font>
      <sz val="6"/>
      <name val="Arial Narrow"/>
      <family val="2"/>
    </font>
    <font>
      <sz val="8"/>
      <name val="Arial Narrow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1.7"/>
    <col collapsed="false" customWidth="true" hidden="false" outlineLevel="0" max="5" min="5" style="2" width="12.14"/>
    <col collapsed="false" customWidth="true" hidden="false" outlineLevel="0" max="6" min="6" style="2" width="11.42"/>
    <col collapsed="false" customWidth="true" hidden="false" outlineLevel="0" max="7" min="7" style="2" width="11.85"/>
    <col collapsed="false" customWidth="true" hidden="false" outlineLevel="0" max="8" min="8" style="2" width="11.42"/>
    <col collapsed="false" customWidth="true" hidden="false" outlineLevel="0" max="9" min="9" style="2" width="10.99"/>
    <col collapsed="false" customWidth="true" hidden="false" outlineLevel="0" max="10" min="10" style="2" width="11.42"/>
    <col collapsed="false" customWidth="true" hidden="false" outlineLevel="0" max="11" min="11" style="2" width="9.99"/>
    <col collapsed="false" customWidth="true" hidden="false" outlineLevel="0" max="12" min="12" style="2" width="10.56"/>
    <col collapsed="false" customWidth="true" hidden="false" outlineLevel="0" max="13" min="13" style="2" width="9.85"/>
    <col collapsed="false" customWidth="true" hidden="false" outlineLevel="0" max="14" min="14" style="2" width="12.99"/>
    <col collapsed="false" customWidth="false" hidden="false" outlineLevel="0" max="257" min="15" style="2" width="9.14"/>
  </cols>
  <sheetData>
    <row r="1" customFormat="false" ht="12" hidden="false" customHeight="true" outlineLevel="0" collapsed="false">
      <c r="A1" s="1" t="s">
        <v>0</v>
      </c>
      <c r="F1" s="2" t="s">
        <v>1</v>
      </c>
      <c r="I1" s="2" t="s">
        <v>2</v>
      </c>
      <c r="J1" s="3" t="n">
        <f aca="true">NOW()</f>
        <v>45926.9288974736</v>
      </c>
    </row>
    <row r="2" customFormat="false" ht="12" hidden="false" customHeight="true" outlineLevel="0" collapsed="false">
      <c r="A2" s="1" t="s">
        <v>3</v>
      </c>
      <c r="I2" s="4" t="s">
        <v>4</v>
      </c>
    </row>
    <row r="3" customFormat="false" ht="12" hidden="false" customHeight="true" outlineLevel="0" collapsed="false">
      <c r="A3" s="1" t="s">
        <v>5</v>
      </c>
    </row>
    <row r="4" customFormat="false" ht="12" hidden="false" customHeight="true" outlineLevel="0" collapsed="false"/>
    <row r="5" customFormat="false" ht="12" hidden="false" customHeight="true" outlineLevel="0" collapsed="false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18</v>
      </c>
    </row>
    <row r="6" customFormat="false" ht="12" hidden="false" customHeight="true" outlineLevel="0" collapsed="false">
      <c r="B6" s="5" t="n">
        <v>1999</v>
      </c>
      <c r="C6" s="5" t="n">
        <v>1999</v>
      </c>
      <c r="D6" s="5" t="n">
        <v>1999</v>
      </c>
      <c r="E6" s="5" t="n">
        <v>1999</v>
      </c>
      <c r="F6" s="5" t="n">
        <v>1999</v>
      </c>
      <c r="G6" s="5" t="n">
        <v>1999</v>
      </c>
      <c r="H6" s="5" t="n">
        <v>1999</v>
      </c>
      <c r="I6" s="5" t="n">
        <v>1999</v>
      </c>
      <c r="J6" s="5" t="n">
        <v>1999</v>
      </c>
      <c r="K6" s="5" t="n">
        <v>2000</v>
      </c>
      <c r="L6" s="5" t="n">
        <v>2000</v>
      </c>
      <c r="M6" s="5" t="n">
        <v>2000</v>
      </c>
      <c r="N6" s="6" t="s">
        <v>19</v>
      </c>
    </row>
    <row r="7" customFormat="false" ht="12" hidden="false" customHeight="tru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12" hidden="false" customHeight="true" outlineLevel="0" collapsed="false">
      <c r="A8" s="8" t="s">
        <v>20</v>
      </c>
      <c r="B8" s="9" t="n">
        <v>282180035</v>
      </c>
      <c r="C8" s="9" t="n">
        <v>230053858</v>
      </c>
      <c r="D8" s="9" t="n">
        <v>222660443</v>
      </c>
      <c r="E8" s="9" t="n">
        <v>235809332</v>
      </c>
      <c r="F8" s="9" t="n">
        <v>232185020</v>
      </c>
      <c r="G8" s="9" t="n">
        <v>237064261</v>
      </c>
      <c r="H8" s="9" t="n">
        <v>291533210</v>
      </c>
      <c r="I8" s="9" t="n">
        <v>282076452</v>
      </c>
      <c r="J8" s="9" t="n">
        <v>327415955</v>
      </c>
      <c r="K8" s="9" t="n">
        <v>383648778</v>
      </c>
      <c r="L8" s="9" t="n">
        <v>322883049</v>
      </c>
      <c r="M8" s="9" t="n">
        <v>282853628</v>
      </c>
      <c r="N8" s="2" t="n">
        <f aca="false">SUM(B8:M8)</f>
        <v>3330364021</v>
      </c>
    </row>
    <row r="9" customFormat="false" ht="12" hidden="false" customHeight="true" outlineLevel="0" collapsed="false">
      <c r="A9" s="8" t="s">
        <v>21</v>
      </c>
      <c r="B9" s="9" t="n">
        <v>280370927</v>
      </c>
      <c r="C9" s="9" t="n">
        <v>228677794</v>
      </c>
      <c r="D9" s="9" t="n">
        <v>220996654</v>
      </c>
      <c r="E9" s="9" t="n">
        <v>233544408</v>
      </c>
      <c r="F9" s="9" t="n">
        <v>230123416</v>
      </c>
      <c r="G9" s="9" t="n">
        <v>234796114</v>
      </c>
      <c r="H9" s="9" t="n">
        <v>289267141</v>
      </c>
      <c r="I9" s="9" t="n">
        <v>279843043</v>
      </c>
      <c r="J9" s="9" t="n">
        <v>324868107</v>
      </c>
      <c r="K9" s="9" t="n">
        <v>380965837</v>
      </c>
      <c r="L9" s="9" t="n">
        <v>319742774</v>
      </c>
      <c r="M9" s="9" t="n">
        <v>280808213</v>
      </c>
      <c r="N9" s="2" t="n">
        <f aca="false">SUM(B9:M9)</f>
        <v>3304004428</v>
      </c>
    </row>
    <row r="10" customFormat="false" ht="12" hidden="false" customHeight="true" outlineLevel="0" collapsed="false">
      <c r="A10" s="8" t="s">
        <v>22</v>
      </c>
      <c r="B10" s="2" t="n">
        <f aca="false">+B9+B19+B20+B21</f>
        <v>282459020</v>
      </c>
      <c r="C10" s="2" t="n">
        <f aca="false">+C9+C19+C20+C21</f>
        <v>230175755</v>
      </c>
      <c r="D10" s="2" t="n">
        <f aca="false">+D9+D19+D20+D21</f>
        <v>222561094</v>
      </c>
      <c r="E10" s="2" t="n">
        <f aca="false">+E9+E19+E20+E21</f>
        <v>235325293</v>
      </c>
      <c r="F10" s="2" t="n">
        <f aca="false">+F9+F19+F20+F21</f>
        <v>231726532</v>
      </c>
      <c r="G10" s="2" t="n">
        <f aca="false">+G9+G19+G20+G21</f>
        <v>236731528</v>
      </c>
      <c r="H10" s="2" t="n">
        <f aca="false">+H9+H19+H20+H21</f>
        <v>291397958</v>
      </c>
      <c r="I10" s="2" t="n">
        <f aca="false">+I9+I19+I20+I21</f>
        <v>281937654</v>
      </c>
      <c r="J10" s="2" t="n">
        <f aca="false">+J9+J19+J20+J21</f>
        <v>327280253</v>
      </c>
      <c r="K10" s="2" t="n">
        <f aca="false">+K9+K19+K20+K21</f>
        <v>383510647</v>
      </c>
      <c r="L10" s="2" t="n">
        <f aca="false">+L9+L19+L20+L21</f>
        <v>322373162</v>
      </c>
      <c r="M10" s="2" t="n">
        <f aca="false">+M9+M19+M20+M21</f>
        <v>282828865</v>
      </c>
      <c r="N10" s="2" t="n">
        <f aca="false">SUM(B10:M10)</f>
        <v>3328307761</v>
      </c>
    </row>
    <row r="11" customFormat="false" ht="12" hidden="false" customHeight="true" outlineLevel="0" collapsed="false">
      <c r="A11" s="8" t="s">
        <v>23</v>
      </c>
      <c r="B11" s="2" t="n">
        <f aca="false">-B8+B10</f>
        <v>278985</v>
      </c>
      <c r="C11" s="2" t="n">
        <f aca="false">-C8+C10</f>
        <v>121897</v>
      </c>
      <c r="D11" s="2" t="n">
        <f aca="false">-D8+D10</f>
        <v>-99349</v>
      </c>
      <c r="E11" s="2" t="n">
        <f aca="false">-E8+E10</f>
        <v>-484039</v>
      </c>
      <c r="F11" s="2" t="n">
        <f aca="false">-F8+F10</f>
        <v>-458488</v>
      </c>
      <c r="G11" s="2" t="n">
        <f aca="false">-G8+G10</f>
        <v>-332733</v>
      </c>
      <c r="H11" s="2" t="n">
        <f aca="false">-H8+H10</f>
        <v>-135252</v>
      </c>
      <c r="I11" s="2" t="n">
        <f aca="false">-I8+I10</f>
        <v>-138798</v>
      </c>
      <c r="J11" s="2" t="n">
        <f aca="false">-J8+J10</f>
        <v>-135702</v>
      </c>
      <c r="K11" s="2" t="n">
        <f aca="false">-K8+K10</f>
        <v>-138131</v>
      </c>
      <c r="L11" s="2" t="n">
        <f aca="false">-L8+L10</f>
        <v>-509887</v>
      </c>
      <c r="M11" s="2" t="n">
        <f aca="false">-M8+M10</f>
        <v>-24763</v>
      </c>
      <c r="N11" s="2" t="n">
        <f aca="false">SUM(B11:M11)</f>
        <v>-2056260</v>
      </c>
      <c r="O11" s="2" t="s">
        <v>1</v>
      </c>
    </row>
    <row r="12" customFormat="false" ht="12" hidden="false" customHeight="true" outlineLevel="0" collapsed="false">
      <c r="A12" s="10" t="s">
        <v>24</v>
      </c>
      <c r="B12" s="11" t="n">
        <f aca="false">B11/B8</f>
        <v>0.000988677317302055</v>
      </c>
      <c r="C12" s="11" t="n">
        <f aca="false">C11/C8</f>
        <v>0.000529862881065007</v>
      </c>
      <c r="D12" s="11" t="n">
        <f aca="false">D11/D8</f>
        <v>-0.000446190615007444</v>
      </c>
      <c r="E12" s="11" t="n">
        <f aca="false">E11/E8</f>
        <v>-0.00205267109615492</v>
      </c>
      <c r="F12" s="11" t="n">
        <f aca="false">F11/F8</f>
        <v>-0.00197466658271063</v>
      </c>
      <c r="G12" s="11" t="n">
        <f aca="false">G11/G8</f>
        <v>-0.00140355614379175</v>
      </c>
      <c r="H12" s="11" t="n">
        <f aca="false">H11/H8</f>
        <v>-0.000463933422885166</v>
      </c>
      <c r="I12" s="11" t="n">
        <f aca="false">I11/I8</f>
        <v>-0.000492058089272904</v>
      </c>
      <c r="J12" s="11" t="n">
        <f aca="false">J11/J8</f>
        <v>-0.000414463614028828</v>
      </c>
      <c r="K12" s="11" t="n">
        <f aca="false">K11/K8</f>
        <v>-0.0003600454580361</v>
      </c>
      <c r="L12" s="11" t="n">
        <f aca="false">L11/L8</f>
        <v>-0.00157916930473485</v>
      </c>
      <c r="M12" s="11" t="n">
        <f aca="false">M11/M8</f>
        <v>-8.75470474785637E-005</v>
      </c>
      <c r="N12" s="11" t="n">
        <f aca="false">N11/N8</f>
        <v>-0.000617428000973471</v>
      </c>
      <c r="O12" s="11" t="s">
        <v>1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" hidden="false" customHeight="true" outlineLevel="0" collapsed="false">
      <c r="A13" s="8" t="s">
        <v>25</v>
      </c>
      <c r="B13" s="2" t="n">
        <f aca="false">-B8+B10</f>
        <v>278985</v>
      </c>
      <c r="C13" s="2" t="n">
        <f aca="false">-C8+C10</f>
        <v>121897</v>
      </c>
      <c r="D13" s="2" t="n">
        <f aca="false">-D8+D10</f>
        <v>-99349</v>
      </c>
      <c r="E13" s="2" t="n">
        <f aca="false">-E8+E10</f>
        <v>-484039</v>
      </c>
      <c r="F13" s="2" t="n">
        <f aca="false">-F8+F10</f>
        <v>-458488</v>
      </c>
      <c r="G13" s="2" t="n">
        <f aca="false">-G8+G10</f>
        <v>-332733</v>
      </c>
      <c r="H13" s="2" t="n">
        <f aca="false">-H8+H10</f>
        <v>-135252</v>
      </c>
      <c r="I13" s="2" t="n">
        <f aca="false">-I8+I10</f>
        <v>-138798</v>
      </c>
      <c r="J13" s="2" t="n">
        <f aca="false">-J8+J10</f>
        <v>-135702</v>
      </c>
      <c r="K13" s="2" t="n">
        <f aca="false">-K8+K10</f>
        <v>-138131</v>
      </c>
      <c r="L13" s="2" t="n">
        <f aca="false">-L8+L10</f>
        <v>-509887</v>
      </c>
      <c r="M13" s="2" t="n">
        <f aca="false">-M8+M10</f>
        <v>-24763</v>
      </c>
      <c r="N13" s="2" t="n">
        <f aca="false">SUM(B13:M13)</f>
        <v>-2056260</v>
      </c>
    </row>
    <row r="14" customFormat="false" ht="12" hidden="false" customHeight="true" outlineLevel="0" collapsed="false">
      <c r="A14" s="10" t="s">
        <v>24</v>
      </c>
      <c r="B14" s="11" t="n">
        <f aca="false">B13/B8</f>
        <v>0.000988677317302055</v>
      </c>
      <c r="C14" s="11" t="n">
        <f aca="false">C13/C8</f>
        <v>0.000529862881065007</v>
      </c>
      <c r="D14" s="11" t="n">
        <f aca="false">D13/D8</f>
        <v>-0.000446190615007444</v>
      </c>
      <c r="E14" s="11" t="n">
        <f aca="false">E13/E8</f>
        <v>-0.00205267109615492</v>
      </c>
      <c r="F14" s="11" t="n">
        <f aca="false">F13/F8</f>
        <v>-0.00197466658271063</v>
      </c>
      <c r="G14" s="11" t="n">
        <f aca="false">G13/G8</f>
        <v>-0.00140355614379175</v>
      </c>
      <c r="H14" s="11" t="n">
        <f aca="false">H13/H8</f>
        <v>-0.000463933422885166</v>
      </c>
      <c r="I14" s="11" t="n">
        <f aca="false">I13/I8</f>
        <v>-0.000492058089272904</v>
      </c>
      <c r="J14" s="11" t="n">
        <f aca="false">J13/J8</f>
        <v>-0.000414463614028828</v>
      </c>
      <c r="K14" s="11" t="n">
        <f aca="false">K13/K8</f>
        <v>-0.0003600454580361</v>
      </c>
      <c r="L14" s="11" t="n">
        <f aca="false">L13/L8</f>
        <v>-0.00157916930473485</v>
      </c>
      <c r="M14" s="11" t="n">
        <f aca="false">M13/M8</f>
        <v>-8.75470474785637E-005</v>
      </c>
      <c r="N14" s="11" t="n">
        <f aca="false">N13/N8</f>
        <v>-0.000617428000973471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" hidden="false" customHeight="true" outlineLevel="0" collapsed="false">
      <c r="A15" s="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2" t="s">
        <v>1</v>
      </c>
    </row>
    <row r="16" customFormat="false" ht="12" hidden="false" customHeight="true" outlineLevel="0" collapsed="false">
      <c r="A16" s="8" t="s">
        <v>26</v>
      </c>
      <c r="B16" s="2" t="n">
        <v>109118092</v>
      </c>
      <c r="C16" s="2" t="n">
        <v>98900412</v>
      </c>
      <c r="D16" s="2" t="n">
        <v>100061596</v>
      </c>
      <c r="E16" s="2" t="n">
        <v>104883300</v>
      </c>
      <c r="F16" s="2" t="n">
        <v>106974650</v>
      </c>
      <c r="G16" s="2" t="n">
        <v>103518717</v>
      </c>
      <c r="H16" s="2" t="n">
        <v>111420726</v>
      </c>
      <c r="I16" s="2" t="n">
        <v>111854198</v>
      </c>
      <c r="J16" s="2" t="n">
        <v>132480974</v>
      </c>
      <c r="K16" s="2" t="n">
        <v>146830605</v>
      </c>
      <c r="L16" s="2" t="n">
        <v>125650260</v>
      </c>
      <c r="M16" s="2" t="n">
        <v>117994083</v>
      </c>
      <c r="N16" s="2" t="n">
        <f aca="false">SUM(B16:M16)</f>
        <v>1369687613</v>
      </c>
    </row>
    <row r="17" customFormat="false" ht="12" hidden="false" customHeight="true" outlineLevel="0" collapsed="false">
      <c r="A17" s="8"/>
      <c r="N17" s="2" t="s">
        <v>1</v>
      </c>
    </row>
    <row r="18" customFormat="false" ht="12" hidden="false" customHeight="true" outlineLevel="0" collapsed="false">
      <c r="A18" s="8" t="s">
        <v>27</v>
      </c>
      <c r="B18" s="2" t="n">
        <v>107308984</v>
      </c>
      <c r="C18" s="2" t="n">
        <v>97524348</v>
      </c>
      <c r="D18" s="2" t="n">
        <v>98397807</v>
      </c>
      <c r="E18" s="2" t="n">
        <v>102618376</v>
      </c>
      <c r="F18" s="2" t="n">
        <v>104913046</v>
      </c>
      <c r="G18" s="2" t="n">
        <v>101250570</v>
      </c>
      <c r="H18" s="2" t="n">
        <v>109154657</v>
      </c>
      <c r="I18" s="2" t="n">
        <v>109620789</v>
      </c>
      <c r="J18" s="2" t="n">
        <v>129933126</v>
      </c>
      <c r="K18" s="2" t="n">
        <v>144147664</v>
      </c>
      <c r="L18" s="2" t="n">
        <v>122509985</v>
      </c>
      <c r="M18" s="2" t="n">
        <v>115948668</v>
      </c>
      <c r="N18" s="2" t="n">
        <f aca="false">SUM(B18:M18)</f>
        <v>1343328020</v>
      </c>
    </row>
    <row r="19" customFormat="false" ht="12" hidden="false" customHeight="true" outlineLevel="0" collapsed="false">
      <c r="A19" s="8" t="s">
        <v>28</v>
      </c>
      <c r="B19" s="2" t="n">
        <v>2092773</v>
      </c>
      <c r="C19" s="2" t="n">
        <v>1726935</v>
      </c>
      <c r="D19" s="2" t="n">
        <v>1630061</v>
      </c>
      <c r="E19" s="2" t="n">
        <v>1674308</v>
      </c>
      <c r="F19" s="2" t="n">
        <v>1679098</v>
      </c>
      <c r="G19" s="2" t="n">
        <v>1759875</v>
      </c>
      <c r="H19" s="2" t="n">
        <v>2113874</v>
      </c>
      <c r="I19" s="2" t="n">
        <v>2065810</v>
      </c>
      <c r="J19" s="2" t="n">
        <v>2293507</v>
      </c>
      <c r="K19" s="2" t="n">
        <v>2790141</v>
      </c>
      <c r="L19" s="2" t="n">
        <v>2491772</v>
      </c>
      <c r="M19" s="2" t="n">
        <v>2207421</v>
      </c>
      <c r="N19" s="2" t="n">
        <f aca="false">SUM(B19:M19)</f>
        <v>24525575</v>
      </c>
    </row>
    <row r="20" customFormat="false" ht="12" hidden="false" customHeight="true" outlineLevel="0" collapsed="false">
      <c r="A20" s="8" t="s">
        <v>29</v>
      </c>
      <c r="B20" s="2" t="n">
        <v>-41000</v>
      </c>
      <c r="C20" s="2" t="n">
        <v>-244000</v>
      </c>
      <c r="D20" s="2" t="n">
        <v>-93000</v>
      </c>
      <c r="E20" s="2" t="n">
        <v>84000</v>
      </c>
      <c r="F20" s="2" t="n">
        <v>-101000</v>
      </c>
      <c r="G20" s="2" t="n">
        <v>149000</v>
      </c>
      <c r="H20" s="2" t="n">
        <v>-5490</v>
      </c>
      <c r="I20" s="2" t="n">
        <v>5209</v>
      </c>
      <c r="J20" s="2" t="n">
        <v>93250</v>
      </c>
      <c r="K20" s="2" t="n">
        <v>-273610</v>
      </c>
      <c r="L20" s="2" t="n">
        <v>107270</v>
      </c>
      <c r="M20" s="2" t="n">
        <v>-216580</v>
      </c>
      <c r="N20" s="2" t="n">
        <f aca="false">SUM(B20:M20)</f>
        <v>-535951</v>
      </c>
    </row>
    <row r="21" customFormat="false" ht="12" hidden="false" customHeight="true" outlineLevel="0" collapsed="false">
      <c r="A21" s="8" t="s">
        <v>30</v>
      </c>
      <c r="B21" s="2" t="n">
        <v>36320</v>
      </c>
      <c r="C21" s="2" t="n">
        <v>15026</v>
      </c>
      <c r="D21" s="2" t="n">
        <v>27379</v>
      </c>
      <c r="E21" s="2" t="n">
        <v>22577</v>
      </c>
      <c r="F21" s="2" t="n">
        <v>25018</v>
      </c>
      <c r="G21" s="2" t="n">
        <v>26539</v>
      </c>
      <c r="H21" s="2" t="n">
        <v>22433</v>
      </c>
      <c r="I21" s="2" t="n">
        <v>23592</v>
      </c>
      <c r="J21" s="2" t="n">
        <v>25389</v>
      </c>
      <c r="K21" s="2" t="n">
        <v>28279</v>
      </c>
      <c r="L21" s="2" t="n">
        <v>31346</v>
      </c>
      <c r="M21" s="2" t="n">
        <v>29811</v>
      </c>
      <c r="N21" s="2" t="n">
        <f aca="false">SUM(B21:M21)</f>
        <v>313709</v>
      </c>
    </row>
    <row r="22" customFormat="false" ht="12" hidden="false" customHeight="true" outlineLevel="0" collapsed="false">
      <c r="A22" s="8" t="s">
        <v>22</v>
      </c>
      <c r="B22" s="2" t="n">
        <f aca="false">SUM(B18:B21)</f>
        <v>109397077</v>
      </c>
      <c r="C22" s="2" t="n">
        <f aca="false">SUM(C18:C21)</f>
        <v>99022309</v>
      </c>
      <c r="D22" s="2" t="n">
        <f aca="false">SUM(D18:D21)</f>
        <v>99962247</v>
      </c>
      <c r="E22" s="2" t="n">
        <f aca="false">SUM(E18:E21)</f>
        <v>104399261</v>
      </c>
      <c r="F22" s="2" t="n">
        <f aca="false">SUM(F18:F21)</f>
        <v>106516162</v>
      </c>
      <c r="G22" s="2" t="n">
        <f aca="false">SUM(G18:G21)</f>
        <v>103185984</v>
      </c>
      <c r="H22" s="2" t="n">
        <f aca="false">SUM(H18:H21)</f>
        <v>111285474</v>
      </c>
      <c r="I22" s="2" t="n">
        <f aca="false">SUM(I18:I21)</f>
        <v>111715400</v>
      </c>
      <c r="J22" s="2" t="n">
        <f aca="false">SUM(J18:J21)</f>
        <v>132345272</v>
      </c>
      <c r="K22" s="2" t="n">
        <f aca="false">SUM(K18:K21)</f>
        <v>146692474</v>
      </c>
      <c r="L22" s="2" t="n">
        <f aca="false">SUM(L18:L21)</f>
        <v>125140373</v>
      </c>
      <c r="M22" s="2" t="n">
        <f aca="false">SUM(M18:M21)</f>
        <v>117969320</v>
      </c>
      <c r="N22" s="2" t="n">
        <f aca="false">SUM(B22:M22)</f>
        <v>1367631353</v>
      </c>
    </row>
    <row r="23" customFormat="false" ht="12" hidden="false" customHeight="true" outlineLevel="0" collapsed="false">
      <c r="A23" s="8" t="s">
        <v>31</v>
      </c>
      <c r="B23" s="2" t="n">
        <f aca="false">-B16+B22</f>
        <v>278985</v>
      </c>
      <c r="C23" s="2" t="n">
        <f aca="false">-C16+C22</f>
        <v>121897</v>
      </c>
      <c r="D23" s="2" t="n">
        <f aca="false">-D16+D22</f>
        <v>-99349</v>
      </c>
      <c r="E23" s="2" t="n">
        <f aca="false">-E16+E22</f>
        <v>-484039</v>
      </c>
      <c r="F23" s="2" t="n">
        <f aca="false">-F16+F22</f>
        <v>-458488</v>
      </c>
      <c r="G23" s="2" t="n">
        <f aca="false">-G16+G22</f>
        <v>-332733</v>
      </c>
      <c r="H23" s="2" t="n">
        <f aca="false">-H16+H22</f>
        <v>-135252</v>
      </c>
      <c r="I23" s="2" t="n">
        <f aca="false">-I16+I22</f>
        <v>-138798</v>
      </c>
      <c r="J23" s="2" t="n">
        <f aca="false">-J16+J22</f>
        <v>-135702</v>
      </c>
      <c r="K23" s="2" t="n">
        <f aca="false">-K16+K22</f>
        <v>-138131</v>
      </c>
      <c r="L23" s="2" t="n">
        <f aca="false">-L16+L22</f>
        <v>-509887</v>
      </c>
      <c r="M23" s="2" t="n">
        <f aca="false">-M16+M22</f>
        <v>-24763</v>
      </c>
      <c r="N23" s="2" t="n">
        <f aca="false">SUM(B23:M23)</f>
        <v>-2056260</v>
      </c>
    </row>
    <row r="24" customFormat="false" ht="12" hidden="false" customHeight="true" outlineLevel="0" collapsed="false">
      <c r="A24" s="10" t="s">
        <v>24</v>
      </c>
      <c r="B24" s="11" t="n">
        <f aca="false">B23/B16</f>
        <v>0.00255672542368135</v>
      </c>
      <c r="C24" s="11" t="n">
        <f aca="false">C23/C16</f>
        <v>0.0012325226713919</v>
      </c>
      <c r="D24" s="11" t="n">
        <f aca="false">D23/D16</f>
        <v>-0.000992878426604349</v>
      </c>
      <c r="E24" s="11" t="n">
        <f aca="false">E23/E16</f>
        <v>-0.00461502450819149</v>
      </c>
      <c r="F24" s="11" t="n">
        <f aca="false">F23/F16</f>
        <v>-0.0042859499890862</v>
      </c>
      <c r="G24" s="11" t="n">
        <f aca="false">G23/G16</f>
        <v>-0.00321423033092653</v>
      </c>
      <c r="H24" s="11" t="n">
        <f aca="false">H23/H16</f>
        <v>-0.00121388546687445</v>
      </c>
      <c r="I24" s="11" t="n">
        <f aca="false">I23/I16</f>
        <v>-0.00124088324338082</v>
      </c>
      <c r="J24" s="11" t="n">
        <f aca="false">J23/J16</f>
        <v>-0.00102431312136941</v>
      </c>
      <c r="K24" s="11" t="n">
        <f aca="false">K23/K16</f>
        <v>-0.000940750737899636</v>
      </c>
      <c r="L24" s="11" t="n">
        <f aca="false">L23/L16</f>
        <v>-0.00405798603202254</v>
      </c>
      <c r="M24" s="11" t="n">
        <f aca="false">M23/M16</f>
        <v>-0.000209866455761176</v>
      </c>
      <c r="N24" s="11" t="n">
        <f aca="false">N23/N16</f>
        <v>-0.00150126202535789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" hidden="false" customHeight="true" outlineLevel="0" collapsed="false"/>
    <row r="26" customFormat="false" ht="12" hidden="false" customHeight="true" outlineLevel="0" collapsed="false"/>
    <row r="27" customFormat="false" ht="12" hidden="false" customHeight="true" outlineLevel="0" collapsed="false"/>
    <row r="32" customFormat="false" ht="12.7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customFormat="false" ht="12.75" hidden="false" customHeight="fals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customFormat="false" ht="12.75" hidden="false" customHeight="fals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customFormat="false" ht="12.75" hidden="false" customHeight="fals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customFormat="false" ht="12.75" hidden="false" customHeight="fals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customFormat="false" ht="12.75" hidden="false" customHeight="fals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customFormat="false" ht="12.7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customFormat="false" ht="12.7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customFormat="false" ht="12.75" hidden="false" customHeight="fals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" t="s">
        <v>1</v>
      </c>
    </row>
    <row r="47" customFormat="false" ht="12.75" hidden="false" customHeight="fals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customFormat="false" ht="12.75" hidden="false" customHeight="fals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12.75" hidden="false" customHeight="fals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customFormat="false" ht="12.75" hidden="false" customHeight="fals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12.75" hidden="false" customHeight="fals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12.75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customFormat="false" ht="12.75" hidden="false" customHeight="fals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customFormat="false" ht="12.75" hidden="false" customHeight="fals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2.75" hidden="false" customHeight="fals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customFormat="false" ht="12.75" hidden="false" customHeight="fals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12.75" hidden="false" customHeight="fals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12.75" hidden="false" customHeight="fals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customFormat="false" ht="12.75" hidden="false" customHeight="fals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12.75" hidden="false" customHeight="fals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12.75" hidden="false" customHeight="fals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customFormat="false" ht="12.75" hidden="false" customHeight="fals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Italic"&amp;12NNG MCF PRA (99)12 Month Historical</oddHeader>
    <oddFooter>&amp;L&amp;F&amp;CPage &amp;P&amp;R&amp;D 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9.56"/>
    <col collapsed="false" customWidth="true" hidden="false" outlineLevel="0" max="13" min="2" style="40" width="11.56"/>
    <col collapsed="false" customWidth="true" hidden="false" outlineLevel="0" max="14" min="14" style="40" width="11.7"/>
    <col collapsed="false" customWidth="true" hidden="false" outlineLevel="0" max="15" min="15" style="40" width="11.28"/>
    <col collapsed="false" customWidth="false" hidden="false" outlineLevel="0" max="257" min="16" style="40" width="9.14"/>
  </cols>
  <sheetData>
    <row r="1" customFormat="false" ht="12" hidden="false" customHeight="true" outlineLevel="0" collapsed="false">
      <c r="A1" s="41" t="s">
        <v>64</v>
      </c>
      <c r="B1" s="18"/>
      <c r="C1" s="18"/>
      <c r="D1" s="18"/>
      <c r="E1" s="18"/>
      <c r="F1" s="18" t="s">
        <v>1</v>
      </c>
      <c r="G1" s="18"/>
      <c r="H1" s="18"/>
      <c r="I1" s="42"/>
      <c r="J1" s="42"/>
      <c r="K1" s="18"/>
      <c r="L1" s="18" t="s">
        <v>2</v>
      </c>
      <c r="M1" s="43" t="n">
        <f aca="true">NOW()</f>
        <v>45926.9288976731</v>
      </c>
      <c r="N1" s="18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3</v>
      </c>
      <c r="B2" s="18"/>
      <c r="C2" s="18"/>
      <c r="D2" s="18"/>
      <c r="E2" s="18"/>
      <c r="F2" s="18"/>
      <c r="G2" s="18"/>
      <c r="H2" s="18"/>
      <c r="I2" s="42"/>
      <c r="J2" s="42"/>
      <c r="K2" s="18"/>
      <c r="L2" s="18" t="s">
        <v>4</v>
      </c>
      <c r="M2" s="18"/>
      <c r="N2" s="18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2" hidden="false" customHeight="true" outlineLevel="0" collapsed="false">
      <c r="A4" s="4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1"/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4" t="s">
        <v>17</v>
      </c>
      <c r="N5" s="45" t="s">
        <v>18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1"/>
      <c r="B6" s="44" t="n">
        <v>1999</v>
      </c>
      <c r="C6" s="44" t="n">
        <v>1999</v>
      </c>
      <c r="D6" s="44" t="n">
        <v>1999</v>
      </c>
      <c r="E6" s="44" t="n">
        <v>1999</v>
      </c>
      <c r="F6" s="44" t="n">
        <v>1999</v>
      </c>
      <c r="G6" s="44" t="n">
        <v>1999</v>
      </c>
      <c r="H6" s="44" t="n">
        <v>1999</v>
      </c>
      <c r="I6" s="44" t="n">
        <v>1999</v>
      </c>
      <c r="J6" s="44" t="n">
        <v>1999</v>
      </c>
      <c r="K6" s="44" t="n">
        <v>2000</v>
      </c>
      <c r="L6" s="44" t="n">
        <v>2000</v>
      </c>
      <c r="M6" s="44" t="n">
        <v>2000</v>
      </c>
      <c r="N6" s="45" t="s">
        <v>19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2" hidden="false" customHeight="true" outlineLevel="0" collapsed="false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18"/>
      <c r="O7" s="1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2" hidden="false" customHeight="true" outlineLevel="0" collapsed="false">
      <c r="A8" s="41" t="s">
        <v>20</v>
      </c>
      <c r="B8" s="46" t="n">
        <v>84068089</v>
      </c>
      <c r="C8" s="46" t="n">
        <v>79653964</v>
      </c>
      <c r="D8" s="46" t="n">
        <v>81961162</v>
      </c>
      <c r="E8" s="46" t="n">
        <v>89085709</v>
      </c>
      <c r="F8" s="46" t="n">
        <v>104280237</v>
      </c>
      <c r="G8" s="46" t="n">
        <v>84199018</v>
      </c>
      <c r="H8" s="46" t="n">
        <v>72814726</v>
      </c>
      <c r="I8" s="46" t="n">
        <v>76368520</v>
      </c>
      <c r="J8" s="46" t="n">
        <v>84773217</v>
      </c>
      <c r="K8" s="46" t="n">
        <v>84997926</v>
      </c>
      <c r="L8" s="46" t="n">
        <v>84279045</v>
      </c>
      <c r="M8" s="46" t="n">
        <v>88970912</v>
      </c>
      <c r="N8" s="18" t="n">
        <f aca="false">SUM(B8:M8)</f>
        <v>1015452525</v>
      </c>
      <c r="O8" s="46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2" hidden="false" customHeight="true" outlineLevel="0" collapsed="false">
      <c r="A9" s="41" t="s">
        <v>21</v>
      </c>
      <c r="B9" s="46" t="n">
        <v>83581705</v>
      </c>
      <c r="C9" s="46" t="n">
        <v>79246874</v>
      </c>
      <c r="D9" s="46" t="n">
        <v>81467786</v>
      </c>
      <c r="E9" s="46" t="n">
        <v>88644391</v>
      </c>
      <c r="F9" s="46" t="n">
        <v>103564062</v>
      </c>
      <c r="G9" s="46" t="n">
        <v>83649081</v>
      </c>
      <c r="H9" s="46" t="n">
        <v>72259716</v>
      </c>
      <c r="I9" s="46" t="n">
        <v>75591685</v>
      </c>
      <c r="J9" s="46" t="n">
        <v>84064929</v>
      </c>
      <c r="K9" s="46" t="n">
        <v>84608002</v>
      </c>
      <c r="L9" s="46" t="n">
        <v>83698206</v>
      </c>
      <c r="M9" s="46" t="n">
        <v>88462856</v>
      </c>
      <c r="N9" s="18" t="n">
        <f aca="false">SUM(B9:M9)</f>
        <v>1008839293</v>
      </c>
      <c r="O9" s="46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2" hidden="false" customHeight="true" outlineLevel="0" collapsed="false">
      <c r="A10" s="41" t="s">
        <v>22</v>
      </c>
      <c r="B10" s="18" t="n">
        <f aca="false">+B9+B19+B20+B21</f>
        <v>83982182</v>
      </c>
      <c r="C10" s="18" t="n">
        <f aca="false">+C9+C19+C20+C21</f>
        <v>79647577</v>
      </c>
      <c r="D10" s="18" t="n">
        <f aca="false">+D9+D19+D20+D21</f>
        <v>81895682</v>
      </c>
      <c r="E10" s="18" t="n">
        <f aca="false">+E9+E19+E20+E21</f>
        <v>89100942</v>
      </c>
      <c r="F10" s="18" t="n">
        <f aca="false">+F9+F19+F20+F21</f>
        <v>104073684</v>
      </c>
      <c r="G10" s="18" t="n">
        <f aca="false">+G9+G19+G20+G21</f>
        <v>84149049</v>
      </c>
      <c r="H10" s="18" t="n">
        <f aca="false">+H9+H19+H20+H21</f>
        <v>72676388</v>
      </c>
      <c r="I10" s="18" t="n">
        <f aca="false">+I9+I19+I20+I21</f>
        <v>76317124</v>
      </c>
      <c r="J10" s="18" t="n">
        <f aca="false">+J9+J19+J20+J21</f>
        <v>84684373</v>
      </c>
      <c r="K10" s="18" t="n">
        <f aca="false">+K9+K19+K20+K21</f>
        <v>84913350</v>
      </c>
      <c r="L10" s="18" t="n">
        <f aca="false">+L9+L19+L20+L21</f>
        <v>84229734</v>
      </c>
      <c r="M10" s="18" t="n">
        <f aca="false">+M9+M19+M20+M21</f>
        <v>88980727</v>
      </c>
      <c r="N10" s="18" t="n">
        <f aca="false">SUM(B10:M10)</f>
        <v>1014650812</v>
      </c>
      <c r="O10" s="18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2" hidden="false" customHeight="true" outlineLevel="0" collapsed="false">
      <c r="A11" s="41" t="s">
        <v>23</v>
      </c>
      <c r="B11" s="18" t="n">
        <f aca="false">-B8+B10</f>
        <v>-85907</v>
      </c>
      <c r="C11" s="18" t="n">
        <f aca="false">-C8+C10</f>
        <v>-6387</v>
      </c>
      <c r="D11" s="18" t="n">
        <f aca="false">-D8+D10</f>
        <v>-65480</v>
      </c>
      <c r="E11" s="18" t="n">
        <f aca="false">-E8+E10</f>
        <v>15233</v>
      </c>
      <c r="F11" s="18" t="n">
        <f aca="false">-F8+F10</f>
        <v>-206553</v>
      </c>
      <c r="G11" s="18" t="n">
        <f aca="false">-G8+G10</f>
        <v>-49969</v>
      </c>
      <c r="H11" s="18" t="n">
        <f aca="false">-H8+H10</f>
        <v>-138338</v>
      </c>
      <c r="I11" s="18" t="n">
        <f aca="false">-I8+I10</f>
        <v>-51396</v>
      </c>
      <c r="J11" s="18" t="n">
        <f aca="false">-J8+J10</f>
        <v>-88844</v>
      </c>
      <c r="K11" s="18" t="n">
        <f aca="false">-K8+K10</f>
        <v>-84576</v>
      </c>
      <c r="L11" s="18" t="n">
        <f aca="false">-L8+L10</f>
        <v>-49311</v>
      </c>
      <c r="M11" s="18" t="n">
        <f aca="false">-M8+M10</f>
        <v>9815</v>
      </c>
      <c r="N11" s="18" t="n">
        <f aca="false">SUM(B11:M11)</f>
        <v>-801713</v>
      </c>
      <c r="O11" s="1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2" hidden="false" customHeight="true" outlineLevel="0" collapsed="false">
      <c r="A12" s="47" t="s">
        <v>24</v>
      </c>
      <c r="B12" s="19" t="n">
        <f aca="false">B11/B8</f>
        <v>-0.00102187406686501</v>
      </c>
      <c r="C12" s="19" t="n">
        <f aca="false">C11/C8</f>
        <v>-8.01843333245788E-005</v>
      </c>
      <c r="D12" s="19" t="n">
        <f aca="false">D11/D8</f>
        <v>-0.000798914978779827</v>
      </c>
      <c r="E12" s="19" t="n">
        <f aca="false">E11/E8</f>
        <v>0.000170992633622077</v>
      </c>
      <c r="F12" s="19" t="n">
        <f aca="false">F11/F8</f>
        <v>-0.00198074923822814</v>
      </c>
      <c r="G12" s="19" t="n">
        <f aca="false">G11/G8</f>
        <v>-0.000593462978392456</v>
      </c>
      <c r="H12" s="19" t="n">
        <f aca="false">H11/H8</f>
        <v>-0.00189986294805257</v>
      </c>
      <c r="I12" s="19" t="n">
        <f aca="false">I11/I8</f>
        <v>-0.000672999817202167</v>
      </c>
      <c r="J12" s="19" t="n">
        <f aca="false">J11/J8</f>
        <v>-0.00104801968291471</v>
      </c>
      <c r="K12" s="19" t="n">
        <f aca="false">K11/K8</f>
        <v>-0.000995036043585346</v>
      </c>
      <c r="L12" s="19" t="n">
        <f aca="false">L11/L8</f>
        <v>-0.000585092059360663</v>
      </c>
      <c r="M12" s="19" t="n">
        <f aca="false">M11/M8</f>
        <v>0.000110316953927594</v>
      </c>
      <c r="N12" s="19" t="n">
        <f aca="false">N11/N8</f>
        <v>-0.000789513030163572</v>
      </c>
      <c r="O12" s="19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2" hidden="false" customHeight="true" outlineLevel="0" collapsed="false">
      <c r="A13" s="41" t="s">
        <v>25</v>
      </c>
      <c r="B13" s="18" t="n">
        <f aca="false">-B8+B10</f>
        <v>-85907</v>
      </c>
      <c r="C13" s="18" t="n">
        <f aca="false">-C8+C10</f>
        <v>-6387</v>
      </c>
      <c r="D13" s="18" t="n">
        <f aca="false">-D8+D10</f>
        <v>-65480</v>
      </c>
      <c r="E13" s="18" t="n">
        <f aca="false">-E8+E10</f>
        <v>15233</v>
      </c>
      <c r="F13" s="18" t="n">
        <f aca="false">-F8+F10</f>
        <v>-206553</v>
      </c>
      <c r="G13" s="18" t="n">
        <f aca="false">-G8+G10</f>
        <v>-49969</v>
      </c>
      <c r="H13" s="18" t="n">
        <f aca="false">-H8+H10</f>
        <v>-138338</v>
      </c>
      <c r="I13" s="18" t="n">
        <f aca="false">-I8+I10</f>
        <v>-51396</v>
      </c>
      <c r="J13" s="18" t="n">
        <f aca="false">-J8+J10</f>
        <v>-88844</v>
      </c>
      <c r="K13" s="18" t="n">
        <f aca="false">-K8+K10</f>
        <v>-84576</v>
      </c>
      <c r="L13" s="18" t="n">
        <f aca="false">-L8+L10</f>
        <v>-49311</v>
      </c>
      <c r="M13" s="18" t="n">
        <f aca="false">-M8+M10</f>
        <v>9815</v>
      </c>
      <c r="N13" s="18" t="n">
        <f aca="false">SUM(B13:M13)</f>
        <v>-801713</v>
      </c>
      <c r="O13" s="18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7" t="s">
        <v>24</v>
      </c>
      <c r="B14" s="19" t="n">
        <f aca="false">B13/B8</f>
        <v>-0.00102187406686501</v>
      </c>
      <c r="C14" s="19" t="n">
        <f aca="false">C13/C8</f>
        <v>-8.01843333245788E-005</v>
      </c>
      <c r="D14" s="19" t="n">
        <f aca="false">D13/D8</f>
        <v>-0.000798914978779827</v>
      </c>
      <c r="E14" s="19" t="n">
        <f aca="false">E13/E8</f>
        <v>0.000170992633622077</v>
      </c>
      <c r="F14" s="19" t="n">
        <f aca="false">F13/F8</f>
        <v>-0.00198074923822814</v>
      </c>
      <c r="G14" s="19" t="n">
        <f aca="false">G13/G8</f>
        <v>-0.000593462978392456</v>
      </c>
      <c r="H14" s="19" t="n">
        <f aca="false">H13/H8</f>
        <v>-0.00189986294805257</v>
      </c>
      <c r="I14" s="19" t="n">
        <f aca="false">I13/I8</f>
        <v>-0.000672999817202167</v>
      </c>
      <c r="J14" s="19" t="n">
        <f aca="false">J13/J8</f>
        <v>-0.00104801968291471</v>
      </c>
      <c r="K14" s="19" t="n">
        <f aca="false">K13/K8</f>
        <v>-0.000995036043585346</v>
      </c>
      <c r="L14" s="19" t="n">
        <f aca="false">L13/L8</f>
        <v>-0.000585092059360663</v>
      </c>
      <c r="M14" s="19" t="n">
        <f aca="false">M13/M8</f>
        <v>0.000110316953927594</v>
      </c>
      <c r="N14" s="19" t="n">
        <f aca="false">N13/N8</f>
        <v>-0.000789513030163572</v>
      </c>
      <c r="O14" s="19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2" hidden="false" customHeight="true" outlineLevel="0" collapsed="false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18" t="s">
        <v>1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2" hidden="false" customHeight="true" outlineLevel="0" collapsed="false">
      <c r="A16" s="41" t="s">
        <v>26</v>
      </c>
      <c r="B16" s="18" t="n">
        <v>46410999</v>
      </c>
      <c r="C16" s="18" t="n">
        <v>44964324</v>
      </c>
      <c r="D16" s="18" t="n">
        <v>46152213</v>
      </c>
      <c r="E16" s="18" t="n">
        <v>50557221</v>
      </c>
      <c r="F16" s="18" t="n">
        <v>53605580</v>
      </c>
      <c r="G16" s="18" t="n">
        <v>47295701</v>
      </c>
      <c r="H16" s="18" t="n">
        <v>44709017</v>
      </c>
      <c r="I16" s="18" t="n">
        <v>45346399</v>
      </c>
      <c r="J16" s="18" t="n">
        <v>49411995</v>
      </c>
      <c r="K16" s="18" t="n">
        <v>48333294</v>
      </c>
      <c r="L16" s="18" t="n">
        <v>48613874</v>
      </c>
      <c r="M16" s="18" t="n">
        <v>51590330</v>
      </c>
      <c r="N16" s="18" t="n">
        <f aca="false">SUM(B16:M16)</f>
        <v>576990947</v>
      </c>
      <c r="O16" s="18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2" hidden="false" customHeight="true" outlineLevel="0" collapsed="false">
      <c r="A17" s="4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  <c r="O17" s="18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2" hidden="false" customHeight="true" outlineLevel="0" collapsed="false">
      <c r="A18" s="41" t="s">
        <v>27</v>
      </c>
      <c r="B18" s="18" t="n">
        <v>45924615</v>
      </c>
      <c r="C18" s="18" t="n">
        <v>44557234</v>
      </c>
      <c r="D18" s="18" t="n">
        <v>45658837</v>
      </c>
      <c r="E18" s="18" t="n">
        <v>50115903</v>
      </c>
      <c r="F18" s="18" t="n">
        <v>52889405</v>
      </c>
      <c r="G18" s="18" t="n">
        <v>46745764</v>
      </c>
      <c r="H18" s="18" t="n">
        <v>44154007</v>
      </c>
      <c r="I18" s="18" t="n">
        <v>44569564</v>
      </c>
      <c r="J18" s="18" t="n">
        <v>48703707</v>
      </c>
      <c r="K18" s="18" t="n">
        <v>47943370</v>
      </c>
      <c r="L18" s="18" t="n">
        <v>48033035</v>
      </c>
      <c r="M18" s="18" t="n">
        <v>51082274</v>
      </c>
      <c r="N18" s="18" t="n">
        <f aca="false">SUM(B18:M18)</f>
        <v>570377715</v>
      </c>
      <c r="O18" s="18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2" hidden="false" customHeight="true" outlineLevel="0" collapsed="false">
      <c r="A19" s="41" t="s">
        <v>28</v>
      </c>
      <c r="B19" s="18" t="n">
        <v>437760</v>
      </c>
      <c r="C19" s="18" t="n">
        <v>405549</v>
      </c>
      <c r="D19" s="18" t="n">
        <v>449351</v>
      </c>
      <c r="E19" s="18" t="n">
        <v>473816</v>
      </c>
      <c r="F19" s="18" t="n">
        <v>501205</v>
      </c>
      <c r="G19" s="18" t="n">
        <v>427228</v>
      </c>
      <c r="H19" s="18" t="n">
        <v>499472</v>
      </c>
      <c r="I19" s="18" t="n">
        <v>531090</v>
      </c>
      <c r="J19" s="18" t="n">
        <v>539240</v>
      </c>
      <c r="K19" s="18" t="n">
        <v>539382</v>
      </c>
      <c r="L19" s="18" t="n">
        <v>496370</v>
      </c>
      <c r="M19" s="18" t="n">
        <v>534632</v>
      </c>
      <c r="N19" s="18" t="n">
        <f aca="false">SUM(B19:M19)</f>
        <v>5835095</v>
      </c>
      <c r="O19" s="18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2" hidden="false" customHeight="true" outlineLevel="0" collapsed="false">
      <c r="A20" s="41" t="s">
        <v>29</v>
      </c>
      <c r="B20" s="18" t="n">
        <v>-38384</v>
      </c>
      <c r="C20" s="18" t="n">
        <v>-6077</v>
      </c>
      <c r="D20" s="18" t="n">
        <v>-23867</v>
      </c>
      <c r="E20" s="18" t="n">
        <v>-19231</v>
      </c>
      <c r="F20" s="18" t="n">
        <v>6796</v>
      </c>
      <c r="G20" s="18" t="n">
        <v>71197</v>
      </c>
      <c r="H20" s="18" t="n">
        <v>-85485</v>
      </c>
      <c r="I20" s="18" t="n">
        <v>192698</v>
      </c>
      <c r="J20" s="18" t="n">
        <v>79337</v>
      </c>
      <c r="K20" s="18" t="n">
        <v>-235288</v>
      </c>
      <c r="L20" s="18" t="n">
        <v>34451</v>
      </c>
      <c r="M20" s="18" t="n">
        <v>-16761</v>
      </c>
      <c r="N20" s="18" t="n">
        <f aca="false">SUM(B20:M20)</f>
        <v>-40614</v>
      </c>
      <c r="O20" s="18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2" hidden="false" customHeight="true" outlineLevel="0" collapsed="false">
      <c r="A21" s="41" t="s">
        <v>30</v>
      </c>
      <c r="B21" s="18" t="n">
        <v>1101</v>
      </c>
      <c r="C21" s="18" t="n">
        <v>1231</v>
      </c>
      <c r="D21" s="18" t="n">
        <v>2412</v>
      </c>
      <c r="E21" s="18" t="n">
        <v>1966</v>
      </c>
      <c r="F21" s="18" t="n">
        <v>1621</v>
      </c>
      <c r="G21" s="18" t="n">
        <v>1543</v>
      </c>
      <c r="H21" s="18" t="n">
        <v>2685</v>
      </c>
      <c r="I21" s="18" t="n">
        <v>1651</v>
      </c>
      <c r="J21" s="18" t="n">
        <v>867</v>
      </c>
      <c r="K21" s="18" t="n">
        <v>1254</v>
      </c>
      <c r="L21" s="18" t="n">
        <v>707</v>
      </c>
      <c r="M21" s="18" t="n">
        <v>0</v>
      </c>
      <c r="N21" s="18" t="n">
        <f aca="false">SUM(B21:M21)</f>
        <v>17038</v>
      </c>
      <c r="O21" s="18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2" hidden="false" customHeight="true" outlineLevel="0" collapsed="false">
      <c r="A22" s="41" t="s">
        <v>22</v>
      </c>
      <c r="B22" s="18" t="n">
        <f aca="false">SUM(B18:B21)</f>
        <v>46325092</v>
      </c>
      <c r="C22" s="18" t="n">
        <f aca="false">SUM(C18:C21)</f>
        <v>44957937</v>
      </c>
      <c r="D22" s="18" t="n">
        <f aca="false">SUM(D18:D21)</f>
        <v>46086733</v>
      </c>
      <c r="E22" s="18" t="n">
        <f aca="false">SUM(E18:E21)</f>
        <v>50572454</v>
      </c>
      <c r="F22" s="18" t="n">
        <f aca="false">SUM(F18:F21)</f>
        <v>53399027</v>
      </c>
      <c r="G22" s="18" t="n">
        <f aca="false">SUM(G18:G21)</f>
        <v>47245732</v>
      </c>
      <c r="H22" s="18" t="n">
        <f aca="false">SUM(H18:H21)</f>
        <v>44570679</v>
      </c>
      <c r="I22" s="18" t="n">
        <f aca="false">SUM(I18:I21)</f>
        <v>45295003</v>
      </c>
      <c r="J22" s="18" t="n">
        <f aca="false">SUM(J18:J21)</f>
        <v>49323151</v>
      </c>
      <c r="K22" s="18" t="n">
        <f aca="false">SUM(K18:K21)</f>
        <v>48248718</v>
      </c>
      <c r="L22" s="18" t="n">
        <f aca="false">SUM(L18:L21)</f>
        <v>48564563</v>
      </c>
      <c r="M22" s="18" t="n">
        <f aca="false">SUM(M18:M21)</f>
        <v>51600145</v>
      </c>
      <c r="N22" s="18" t="n">
        <f aca="false">SUM(B22:M22)</f>
        <v>576189234</v>
      </c>
      <c r="O22" s="18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2" hidden="false" customHeight="true" outlineLevel="0" collapsed="false">
      <c r="A23" s="41" t="s">
        <v>65</v>
      </c>
      <c r="B23" s="18" t="n">
        <f aca="false">-B16+B22</f>
        <v>-85907</v>
      </c>
      <c r="C23" s="18" t="n">
        <f aca="false">-C16+C22</f>
        <v>-6387</v>
      </c>
      <c r="D23" s="18" t="n">
        <f aca="false">-D16+D22</f>
        <v>-65480</v>
      </c>
      <c r="E23" s="18" t="n">
        <f aca="false">-E16+E22</f>
        <v>15233</v>
      </c>
      <c r="F23" s="18" t="n">
        <f aca="false">-F16+F22</f>
        <v>-206553</v>
      </c>
      <c r="G23" s="18" t="n">
        <f aca="false">-G16+G22</f>
        <v>-49969</v>
      </c>
      <c r="H23" s="18" t="n">
        <f aca="false">-H16+H22</f>
        <v>-138338</v>
      </c>
      <c r="I23" s="18" t="n">
        <f aca="false">-I16+I22</f>
        <v>-51396</v>
      </c>
      <c r="J23" s="18" t="n">
        <f aca="false">-J16+J22</f>
        <v>-88844</v>
      </c>
      <c r="K23" s="18" t="n">
        <f aca="false">-K16+K22</f>
        <v>-84576</v>
      </c>
      <c r="L23" s="18" t="n">
        <f aca="false">-L16+L22</f>
        <v>-49311</v>
      </c>
      <c r="M23" s="18" t="n">
        <f aca="false">-M16+M22</f>
        <v>9815</v>
      </c>
      <c r="N23" s="18" t="n">
        <f aca="false">SUM(B23:M23)</f>
        <v>-801713</v>
      </c>
      <c r="O23" s="18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2" hidden="false" customHeight="true" outlineLevel="0" collapsed="false">
      <c r="A24" s="47" t="s">
        <v>24</v>
      </c>
      <c r="B24" s="19" t="n">
        <f aca="false">B23/B16</f>
        <v>-0.00185100518952415</v>
      </c>
      <c r="C24" s="19" t="n">
        <f aca="false">C23/C16</f>
        <v>-0.000142045947360401</v>
      </c>
      <c r="D24" s="19" t="n">
        <f aca="false">D23/D16</f>
        <v>-0.00141878353698879</v>
      </c>
      <c r="E24" s="19" t="n">
        <f aca="false">E23/E16</f>
        <v>0.000301302162158003</v>
      </c>
      <c r="F24" s="19" t="n">
        <f aca="false">F23/F16</f>
        <v>-0.00385319961093603</v>
      </c>
      <c r="G24" s="19" t="n">
        <f aca="false">G23/G16</f>
        <v>-0.00105652308652746</v>
      </c>
      <c r="H24" s="19" t="n">
        <f aca="false">H23/H16</f>
        <v>-0.00309418567623618</v>
      </c>
      <c r="I24" s="19" t="n">
        <f aca="false">I23/I16</f>
        <v>-0.00113340863074927</v>
      </c>
      <c r="J24" s="19" t="n">
        <f aca="false">J23/J16</f>
        <v>-0.00179802495325275</v>
      </c>
      <c r="K24" s="19" t="n">
        <f aca="false">K23/K16</f>
        <v>-0.00174984969987769</v>
      </c>
      <c r="L24" s="19" t="n">
        <f aca="false">L23/L16</f>
        <v>-0.00101434006267429</v>
      </c>
      <c r="M24" s="19" t="n">
        <f aca="false">M23/M16</f>
        <v>0.000190248831515519</v>
      </c>
      <c r="N24" s="19" t="n">
        <f aca="false">N23/N16</f>
        <v>-0.0013894724070948</v>
      </c>
      <c r="O24" s="19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2.75" hidden="false" customHeight="false" outlineLevel="0" collapsed="false">
      <c r="O25" s="0"/>
    </row>
    <row r="26" customFormat="false" ht="12.75" hidden="false" customHeight="false" outlineLevel="0" collapsed="false">
      <c r="O26" s="0"/>
    </row>
    <row r="27" customFormat="false" ht="12.75" hidden="false" customHeight="false" outlineLevel="0" collapsed="false">
      <c r="A27" s="0"/>
      <c r="I27" s="0"/>
      <c r="O27" s="0"/>
    </row>
    <row r="28" customFormat="false" ht="12.75" hidden="false" customHeight="false" outlineLevel="0" collapsed="false">
      <c r="A28" s="0"/>
      <c r="I28" s="0"/>
      <c r="O28" s="0"/>
    </row>
    <row r="29" customFormat="false" ht="12.75" hidden="false" customHeight="false" outlineLevel="0" collapsed="false">
      <c r="O29" s="0"/>
    </row>
    <row r="30" customFormat="false" ht="12.75" hidden="false" customHeight="false" outlineLevel="0" collapsed="false">
      <c r="O30" s="0"/>
    </row>
    <row r="31" customFormat="false" ht="12.75" hidden="false" customHeight="false" outlineLevel="0" collapsed="false">
      <c r="O31" s="0"/>
    </row>
    <row r="32" customFormat="false" ht="12.75" hidden="false" customHeight="false" outlineLevel="0" collapsed="false">
      <c r="O32" s="0"/>
    </row>
    <row r="33" customFormat="false" ht="12.75" hidden="false" customHeight="false" outlineLevel="0" collapsed="false">
      <c r="O33" s="0"/>
    </row>
    <row r="34" customFormat="false" ht="12.75" hidden="false" customHeight="false" outlineLevel="0" collapsed="false">
      <c r="O34" s="0"/>
    </row>
    <row r="35" customFormat="false" ht="12.75" hidden="false" customHeight="false" outlineLevel="0" collapsed="false">
      <c r="O35" s="0"/>
    </row>
    <row r="36" customFormat="false" ht="12.75" hidden="false" customHeight="false" outlineLevel="0" collapsed="false">
      <c r="O36" s="0"/>
    </row>
    <row r="37" customFormat="false" ht="12.75" hidden="false" customHeight="false" outlineLevel="0" collapsed="false">
      <c r="O37" s="0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MCF PRA (99)12 Month Historical</oddHeader>
    <oddFooter>&amp;L&amp;F&amp;CPage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6.13"/>
    <col collapsed="false" customWidth="true" hidden="false" outlineLevel="0" max="14" min="2" style="40" width="11.56"/>
    <col collapsed="false" customWidth="false" hidden="false" outlineLevel="0" max="257" min="15" style="40" width="9.14"/>
  </cols>
  <sheetData>
    <row r="1" customFormat="false" ht="12" hidden="false" customHeight="true" outlineLevel="0" collapsed="false">
      <c r="A1" s="41" t="s">
        <v>64</v>
      </c>
      <c r="B1" s="18"/>
      <c r="C1" s="18"/>
      <c r="D1" s="18"/>
      <c r="E1" s="18"/>
      <c r="F1" s="18"/>
      <c r="G1" s="18"/>
      <c r="H1" s="48" t="s">
        <v>2</v>
      </c>
      <c r="I1" s="43" t="n">
        <f aca="true">NOW()</f>
        <v>45926.9288977002</v>
      </c>
      <c r="J1" s="18"/>
      <c r="K1" s="18"/>
      <c r="L1" s="18"/>
      <c r="M1" s="18"/>
      <c r="N1" s="18"/>
    </row>
    <row r="2" customFormat="false" ht="12" hidden="false" customHeight="true" outlineLevel="0" collapsed="false">
      <c r="A2" s="41" t="s">
        <v>32</v>
      </c>
      <c r="B2" s="18"/>
      <c r="C2" s="18"/>
      <c r="D2" s="18"/>
      <c r="E2" s="18"/>
      <c r="F2" s="18"/>
      <c r="G2" s="18"/>
      <c r="H2" s="18" t="s">
        <v>4</v>
      </c>
      <c r="I2" s="18"/>
      <c r="J2" s="18"/>
      <c r="K2" s="18"/>
      <c r="L2" s="18"/>
      <c r="M2" s="18"/>
      <c r="N2" s="18"/>
    </row>
    <row r="3" customFormat="false" ht="12" hidden="false" customHeight="true" outlineLevel="0" collapsed="false">
      <c r="A3" s="41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customFormat="false" ht="12" hidden="false" customHeight="true" outlineLevel="0" collapsed="false">
      <c r="A4" s="4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customFormat="false" ht="12" hidden="false" customHeight="true" outlineLevel="0" collapsed="false">
      <c r="A5" s="41"/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4" t="s">
        <v>17</v>
      </c>
      <c r="N5" s="45" t="s">
        <v>18</v>
      </c>
    </row>
    <row r="6" customFormat="false" ht="12" hidden="false" customHeight="true" outlineLevel="0" collapsed="false">
      <c r="A6" s="41"/>
      <c r="B6" s="44" t="n">
        <v>1999</v>
      </c>
      <c r="C6" s="44" t="n">
        <v>1999</v>
      </c>
      <c r="D6" s="44" t="n">
        <v>1999</v>
      </c>
      <c r="E6" s="44" t="n">
        <v>1999</v>
      </c>
      <c r="F6" s="44" t="n">
        <v>1999</v>
      </c>
      <c r="G6" s="44" t="n">
        <v>1999</v>
      </c>
      <c r="H6" s="44" t="n">
        <v>1999</v>
      </c>
      <c r="I6" s="44" t="n">
        <v>1999</v>
      </c>
      <c r="J6" s="44" t="n">
        <v>1999</v>
      </c>
      <c r="K6" s="44" t="n">
        <v>2000</v>
      </c>
      <c r="L6" s="44" t="n">
        <v>2000</v>
      </c>
      <c r="M6" s="44" t="n">
        <v>2000</v>
      </c>
      <c r="N6" s="45" t="s">
        <v>19</v>
      </c>
    </row>
    <row r="7" customFormat="false" ht="12" hidden="false" customHeight="true" outlineLevel="0" collapsed="false">
      <c r="A7" s="4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customFormat="false" ht="12" hidden="false" customHeight="true" outlineLevel="0" collapsed="false">
      <c r="A8" s="49" t="s">
        <v>20</v>
      </c>
      <c r="B8" s="18" t="n">
        <v>86053104</v>
      </c>
      <c r="C8" s="18" t="n">
        <v>81833389</v>
      </c>
      <c r="D8" s="18" t="n">
        <v>83973561</v>
      </c>
      <c r="E8" s="18" t="n">
        <v>91168592</v>
      </c>
      <c r="F8" s="18" t="n">
        <v>106536073</v>
      </c>
      <c r="G8" s="18" t="n">
        <v>86136465</v>
      </c>
      <c r="H8" s="18" t="n">
        <v>74464290</v>
      </c>
      <c r="I8" s="18" t="n">
        <v>78020145</v>
      </c>
      <c r="J8" s="18" t="n">
        <v>86918292</v>
      </c>
      <c r="K8" s="18" t="n">
        <v>87286135</v>
      </c>
      <c r="L8" s="18" t="n">
        <v>86295363</v>
      </c>
      <c r="M8" s="18" t="n">
        <v>91081855</v>
      </c>
      <c r="N8" s="18" t="n">
        <f aca="false">SUM(B8:M8)</f>
        <v>1039767264</v>
      </c>
    </row>
    <row r="9" customFormat="false" ht="12" hidden="false" customHeight="true" outlineLevel="0" collapsed="false">
      <c r="A9" s="49" t="s">
        <v>21</v>
      </c>
      <c r="B9" s="18" t="n">
        <v>85624156</v>
      </c>
      <c r="C9" s="18" t="n">
        <v>81389433</v>
      </c>
      <c r="D9" s="18" t="n">
        <v>83366198</v>
      </c>
      <c r="E9" s="18" t="n">
        <v>90777204</v>
      </c>
      <c r="F9" s="18" t="n">
        <v>105856502</v>
      </c>
      <c r="G9" s="18" t="n">
        <v>85563427</v>
      </c>
      <c r="H9" s="18" t="n">
        <v>73865646</v>
      </c>
      <c r="I9" s="18" t="n">
        <v>77258482</v>
      </c>
      <c r="J9" s="18" t="n">
        <v>86203879</v>
      </c>
      <c r="K9" s="18" t="n">
        <v>86955077</v>
      </c>
      <c r="L9" s="18" t="n">
        <v>85641502</v>
      </c>
      <c r="M9" s="18" t="n">
        <v>90580498</v>
      </c>
      <c r="N9" s="18" t="n">
        <f aca="false">SUM(B9:M9)</f>
        <v>1033082004</v>
      </c>
    </row>
    <row r="10" customFormat="false" ht="12" hidden="false" customHeight="true" outlineLevel="0" collapsed="false">
      <c r="A10" s="49" t="s">
        <v>22</v>
      </c>
      <c r="B10" s="18" t="n">
        <f aca="false">+B9+B19+B20+B21</f>
        <v>86032838</v>
      </c>
      <c r="C10" s="18" t="n">
        <f aca="false">+C9+C19+C20+C21</f>
        <v>81840670</v>
      </c>
      <c r="D10" s="18" t="n">
        <f aca="false">+D9+D19+D20+D21</f>
        <v>83813731</v>
      </c>
      <c r="E10" s="18" t="n">
        <f aca="false">+E9+E19+E20+E21</f>
        <v>91251028</v>
      </c>
      <c r="F10" s="18" t="n">
        <f aca="false">+F9+F19+F20+F21</f>
        <v>106382631</v>
      </c>
      <c r="G10" s="18" t="n">
        <f aca="false">+G9+G19+G20+G21</f>
        <v>86081485</v>
      </c>
      <c r="H10" s="18" t="n">
        <f aca="false">+H9+H19+H20+H21</f>
        <v>74294314</v>
      </c>
      <c r="I10" s="18" t="n">
        <f aca="false">+I9+I19+I20+I21</f>
        <v>78010189</v>
      </c>
      <c r="J10" s="18" t="n">
        <f aca="false">+J9+J19+J20+J21</f>
        <v>86843062</v>
      </c>
      <c r="K10" s="18" t="n">
        <f aca="false">+K9+K19+K20+K21</f>
        <v>87272849</v>
      </c>
      <c r="L10" s="18" t="n">
        <f aca="false">+L9+L19+L20+L21</f>
        <v>86187024</v>
      </c>
      <c r="M10" s="18" t="n">
        <f aca="false">+M9+M19+M20+M21</f>
        <v>91108821</v>
      </c>
      <c r="N10" s="18" t="n">
        <f aca="false">SUM(B10:M10)</f>
        <v>1039118642</v>
      </c>
    </row>
    <row r="11" customFormat="false" ht="12" hidden="false" customHeight="true" outlineLevel="0" collapsed="false">
      <c r="A11" s="49" t="s">
        <v>23</v>
      </c>
      <c r="B11" s="18" t="n">
        <f aca="false">-B8+B10</f>
        <v>-20266</v>
      </c>
      <c r="C11" s="18" t="n">
        <f aca="false">-C8+C10</f>
        <v>7281</v>
      </c>
      <c r="D11" s="18" t="n">
        <f aca="false">-D8+D10</f>
        <v>-159830</v>
      </c>
      <c r="E11" s="18" t="n">
        <f aca="false">-E8+E10</f>
        <v>82436</v>
      </c>
      <c r="F11" s="18" t="n">
        <f aca="false">-F8+F10</f>
        <v>-153442</v>
      </c>
      <c r="G11" s="18" t="n">
        <f aca="false">-G8+G10</f>
        <v>-54980</v>
      </c>
      <c r="H11" s="18" t="n">
        <f aca="false">-H8+H10</f>
        <v>-169976</v>
      </c>
      <c r="I11" s="18" t="n">
        <f aca="false">-I8+I10</f>
        <v>-9956</v>
      </c>
      <c r="J11" s="18" t="n">
        <f aca="false">-J8+J10</f>
        <v>-75230</v>
      </c>
      <c r="K11" s="18" t="n">
        <f aca="false">-K8+K10</f>
        <v>-13286</v>
      </c>
      <c r="L11" s="18" t="n">
        <f aca="false">-L8+L10</f>
        <v>-108339</v>
      </c>
      <c r="M11" s="18" t="n">
        <f aca="false">-M8+M10</f>
        <v>26966</v>
      </c>
      <c r="N11" s="18" t="n">
        <f aca="false">SUM(B11:M11)</f>
        <v>-648622</v>
      </c>
    </row>
    <row r="12" customFormat="false" ht="12" hidden="false" customHeight="true" outlineLevel="0" collapsed="false">
      <c r="A12" s="50" t="s">
        <v>24</v>
      </c>
      <c r="B12" s="19" t="n">
        <f aca="false">B11/B8</f>
        <v>-0.000235505740734233</v>
      </c>
      <c r="C12" s="19" t="n">
        <f aca="false">C11/C8</f>
        <v>8.89734628978888E-005</v>
      </c>
      <c r="D12" s="19" t="n">
        <f aca="false">D11/D8</f>
        <v>-0.00190333717061255</v>
      </c>
      <c r="E12" s="19" t="n">
        <f aca="false">E11/E8</f>
        <v>0.000904214907695405</v>
      </c>
      <c r="F12" s="19" t="n">
        <f aca="false">F11/F8</f>
        <v>-0.00144028210989155</v>
      </c>
      <c r="G12" s="19" t="n">
        <f aca="false">G11/G8</f>
        <v>-0.000638289486340077</v>
      </c>
      <c r="H12" s="19" t="n">
        <f aca="false">H11/H8</f>
        <v>-0.00228265118756924</v>
      </c>
      <c r="I12" s="19" t="n">
        <f aca="false">I11/I8</f>
        <v>-0.000127608068403359</v>
      </c>
      <c r="J12" s="19" t="n">
        <f aca="false">J11/J8</f>
        <v>-0.000865525521371267</v>
      </c>
      <c r="K12" s="19" t="n">
        <f aca="false">K11/K8</f>
        <v>-0.000152212032300434</v>
      </c>
      <c r="L12" s="19" t="n">
        <f aca="false">L11/L8</f>
        <v>-0.00125544404975734</v>
      </c>
      <c r="M12" s="19" t="n">
        <f aca="false">M11/M8</f>
        <v>0.000296063359710889</v>
      </c>
      <c r="N12" s="19" t="n">
        <f aca="false">N11/N8</f>
        <v>-0.000623814600110357</v>
      </c>
    </row>
    <row r="13" customFormat="false" ht="12" hidden="false" customHeight="true" outlineLevel="0" collapsed="false">
      <c r="A13" s="49" t="s">
        <v>25</v>
      </c>
      <c r="B13" s="18" t="n">
        <f aca="false">-B8+B10</f>
        <v>-20266</v>
      </c>
      <c r="C13" s="18" t="n">
        <f aca="false">-C8+C10</f>
        <v>7281</v>
      </c>
      <c r="D13" s="18" t="n">
        <f aca="false">-D8+D10</f>
        <v>-159830</v>
      </c>
      <c r="E13" s="18" t="n">
        <f aca="false">-E8+E10</f>
        <v>82436</v>
      </c>
      <c r="F13" s="18" t="n">
        <f aca="false">-F8+F10</f>
        <v>-153442</v>
      </c>
      <c r="G13" s="18" t="n">
        <f aca="false">-G8+G10</f>
        <v>-54980</v>
      </c>
      <c r="H13" s="18" t="n">
        <f aca="false">-H8+H10</f>
        <v>-169976</v>
      </c>
      <c r="I13" s="18" t="n">
        <f aca="false">-I8+I10</f>
        <v>-9956</v>
      </c>
      <c r="J13" s="18" t="n">
        <f aca="false">-J8+J10</f>
        <v>-75230</v>
      </c>
      <c r="K13" s="18" t="n">
        <f aca="false">-K8+K10</f>
        <v>-13286</v>
      </c>
      <c r="L13" s="18" t="n">
        <f aca="false">-L8+L10</f>
        <v>-108339</v>
      </c>
      <c r="M13" s="18" t="n">
        <f aca="false">-M8+M10</f>
        <v>26966</v>
      </c>
      <c r="N13" s="18" t="n">
        <f aca="false">SUM(B13:M13)</f>
        <v>-648622</v>
      </c>
    </row>
    <row r="14" customFormat="false" ht="12" hidden="false" customHeight="true" outlineLevel="0" collapsed="false">
      <c r="A14" s="50" t="s">
        <v>24</v>
      </c>
      <c r="B14" s="19" t="n">
        <f aca="false">B13/B8</f>
        <v>-0.000235505740734233</v>
      </c>
      <c r="C14" s="19" t="n">
        <f aca="false">C13/C8</f>
        <v>8.89734628978888E-005</v>
      </c>
      <c r="D14" s="19" t="n">
        <f aca="false">D13/D8</f>
        <v>-0.00190333717061255</v>
      </c>
      <c r="E14" s="19" t="n">
        <f aca="false">E13/E8</f>
        <v>0.000904214907695405</v>
      </c>
      <c r="F14" s="19" t="n">
        <f aca="false">F13/F8</f>
        <v>-0.00144028210989155</v>
      </c>
      <c r="G14" s="19" t="n">
        <f aca="false">G13/G8</f>
        <v>-0.000638289486340077</v>
      </c>
      <c r="H14" s="19" t="n">
        <f aca="false">H13/H8</f>
        <v>-0.00228265118756924</v>
      </c>
      <c r="I14" s="19" t="n">
        <f aca="false">I13/I8</f>
        <v>-0.000127608068403359</v>
      </c>
      <c r="J14" s="19" t="n">
        <f aca="false">J13/J8</f>
        <v>-0.000865525521371267</v>
      </c>
      <c r="K14" s="19" t="n">
        <f aca="false">K13/K8</f>
        <v>-0.000152212032300434</v>
      </c>
      <c r="L14" s="19" t="n">
        <f aca="false">L13/L8</f>
        <v>-0.00125544404975734</v>
      </c>
      <c r="M14" s="19" t="n">
        <f aca="false">M13/M8</f>
        <v>0.000296063359710889</v>
      </c>
      <c r="N14" s="19" t="n">
        <f aca="false">N13/N8</f>
        <v>-0.000623814600110357</v>
      </c>
    </row>
    <row r="15" customFormat="false" ht="12" hidden="false" customHeight="true" outlineLevel="0" collapsed="false">
      <c r="A15" s="4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 t="s">
        <v>1</v>
      </c>
    </row>
    <row r="16" customFormat="false" ht="12" hidden="false" customHeight="true" outlineLevel="0" collapsed="false">
      <c r="A16" s="49" t="s">
        <v>26</v>
      </c>
      <c r="B16" s="18" t="n">
        <v>47336601</v>
      </c>
      <c r="C16" s="18" t="n">
        <v>46005987</v>
      </c>
      <c r="D16" s="18" t="n">
        <v>47062508</v>
      </c>
      <c r="E16" s="18" t="n">
        <v>51533704</v>
      </c>
      <c r="F16" s="18" t="n">
        <v>54688111</v>
      </c>
      <c r="G16" s="18" t="n">
        <v>48238978</v>
      </c>
      <c r="H16" s="18" t="n">
        <v>45460478</v>
      </c>
      <c r="I16" s="18" t="n">
        <v>46083145</v>
      </c>
      <c r="J16" s="18" t="n">
        <v>50406504</v>
      </c>
      <c r="K16" s="18" t="n">
        <v>49367618</v>
      </c>
      <c r="L16" s="18" t="n">
        <v>49500953</v>
      </c>
      <c r="M16" s="18" t="n">
        <v>52494591</v>
      </c>
      <c r="N16" s="18" t="n">
        <f aca="false">SUM(B16:M16)</f>
        <v>588179178</v>
      </c>
    </row>
    <row r="17" customFormat="false" ht="12" hidden="false" customHeight="true" outlineLevel="0" collapsed="false">
      <c r="A17" s="4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</row>
    <row r="18" customFormat="false" ht="12" hidden="false" customHeight="true" outlineLevel="0" collapsed="false">
      <c r="A18" s="49" t="s">
        <v>27</v>
      </c>
      <c r="B18" s="18" t="n">
        <v>46907653</v>
      </c>
      <c r="C18" s="18" t="n">
        <v>45562031</v>
      </c>
      <c r="D18" s="18" t="n">
        <v>46455145</v>
      </c>
      <c r="E18" s="18" t="n">
        <v>51142316</v>
      </c>
      <c r="F18" s="18" t="n">
        <v>54008540</v>
      </c>
      <c r="G18" s="18" t="n">
        <v>47665940</v>
      </c>
      <c r="H18" s="18" t="n">
        <v>44861834</v>
      </c>
      <c r="I18" s="18" t="n">
        <v>45321482</v>
      </c>
      <c r="J18" s="18" t="n">
        <v>49692091</v>
      </c>
      <c r="K18" s="18" t="n">
        <v>49036560</v>
      </c>
      <c r="L18" s="18" t="n">
        <v>48847092</v>
      </c>
      <c r="M18" s="18" t="n">
        <v>51993234</v>
      </c>
      <c r="N18" s="18" t="n">
        <f aca="false">SUM(B18:M18)</f>
        <v>581493918</v>
      </c>
    </row>
    <row r="19" customFormat="false" ht="12" hidden="false" customHeight="true" outlineLevel="0" collapsed="false">
      <c r="A19" s="49" t="s">
        <v>28</v>
      </c>
      <c r="B19" s="18" t="n">
        <v>446528</v>
      </c>
      <c r="C19" s="18" t="n">
        <v>414041</v>
      </c>
      <c r="D19" s="18" t="n">
        <v>456714</v>
      </c>
      <c r="E19" s="18" t="n">
        <v>481888</v>
      </c>
      <c r="F19" s="18" t="n">
        <v>510168</v>
      </c>
      <c r="G19" s="18" t="n">
        <v>434710</v>
      </c>
      <c r="H19" s="18" t="n">
        <v>507677</v>
      </c>
      <c r="I19" s="18" t="n">
        <v>540632</v>
      </c>
      <c r="J19" s="18" t="n">
        <v>550737</v>
      </c>
      <c r="K19" s="18" t="n">
        <v>554124</v>
      </c>
      <c r="L19" s="18" t="n">
        <v>505287</v>
      </c>
      <c r="M19" s="18" t="n">
        <v>543998</v>
      </c>
      <c r="N19" s="18" t="n">
        <f aca="false">SUM(B19:M19)</f>
        <v>5946504</v>
      </c>
    </row>
    <row r="20" customFormat="false" ht="12" hidden="false" customHeight="true" outlineLevel="0" collapsed="false">
      <c r="A20" s="49" t="s">
        <v>29</v>
      </c>
      <c r="B20" s="18" t="n">
        <v>-42263</v>
      </c>
      <c r="C20" s="18" t="n">
        <v>29707</v>
      </c>
      <c r="D20" s="18" t="n">
        <v>-23858</v>
      </c>
      <c r="E20" s="18" t="n">
        <v>-20034</v>
      </c>
      <c r="F20" s="18" t="n">
        <v>6095</v>
      </c>
      <c r="G20" s="18" t="n">
        <v>73952</v>
      </c>
      <c r="H20" s="18" t="n">
        <v>-91844</v>
      </c>
      <c r="I20" s="18" t="n">
        <v>201425</v>
      </c>
      <c r="J20" s="18" t="n">
        <v>83165</v>
      </c>
      <c r="K20" s="18" t="n">
        <v>-243979</v>
      </c>
      <c r="L20" s="18" t="n">
        <v>35932</v>
      </c>
      <c r="M20" s="18" t="n">
        <v>-15675</v>
      </c>
      <c r="N20" s="18" t="n">
        <f aca="false">SUM(B20:M20)</f>
        <v>-7377</v>
      </c>
    </row>
    <row r="21" customFormat="false" ht="12" hidden="false" customHeight="true" outlineLevel="0" collapsed="false">
      <c r="A21" s="49" t="s">
        <v>30</v>
      </c>
      <c r="B21" s="18" t="n">
        <v>4417</v>
      </c>
      <c r="C21" s="18" t="n">
        <v>7489</v>
      </c>
      <c r="D21" s="18" t="n">
        <v>14677</v>
      </c>
      <c r="E21" s="18" t="n">
        <v>11970</v>
      </c>
      <c r="F21" s="18" t="n">
        <v>9866</v>
      </c>
      <c r="G21" s="18" t="n">
        <v>9396</v>
      </c>
      <c r="H21" s="18" t="n">
        <v>12835</v>
      </c>
      <c r="I21" s="18" t="n">
        <v>9650</v>
      </c>
      <c r="J21" s="18" t="n">
        <v>5281</v>
      </c>
      <c r="K21" s="18" t="n">
        <v>7627</v>
      </c>
      <c r="L21" s="18" t="n">
        <v>4303</v>
      </c>
      <c r="M21" s="18" t="n">
        <v>0</v>
      </c>
      <c r="N21" s="18" t="n">
        <f aca="false">SUM(B21:M21)</f>
        <v>97511</v>
      </c>
    </row>
    <row r="22" customFormat="false" ht="12" hidden="false" customHeight="true" outlineLevel="0" collapsed="false">
      <c r="A22" s="49" t="s">
        <v>22</v>
      </c>
      <c r="B22" s="18" t="n">
        <f aca="false">SUM(B18:B21)</f>
        <v>47316335</v>
      </c>
      <c r="C22" s="18" t="n">
        <f aca="false">SUM(C18:C21)</f>
        <v>46013268</v>
      </c>
      <c r="D22" s="18" t="n">
        <f aca="false">SUM(D18:D21)</f>
        <v>46902678</v>
      </c>
      <c r="E22" s="18" t="n">
        <f aca="false">SUM(E18:E21)</f>
        <v>51616140</v>
      </c>
      <c r="F22" s="18" t="n">
        <f aca="false">SUM(F18:F21)</f>
        <v>54534669</v>
      </c>
      <c r="G22" s="18" t="n">
        <f aca="false">SUM(G18:G21)</f>
        <v>48183998</v>
      </c>
      <c r="H22" s="18" t="n">
        <f aca="false">SUM(H18:H21)</f>
        <v>45290502</v>
      </c>
      <c r="I22" s="18" t="n">
        <f aca="false">SUM(I18:I21)</f>
        <v>46073189</v>
      </c>
      <c r="J22" s="18" t="n">
        <f aca="false">SUM(J18:J21)</f>
        <v>50331274</v>
      </c>
      <c r="K22" s="18" t="n">
        <f aca="false">SUM(K18:K21)</f>
        <v>49354332</v>
      </c>
      <c r="L22" s="18" t="n">
        <f aca="false">SUM(L18:L21)</f>
        <v>49392614</v>
      </c>
      <c r="M22" s="18" t="n">
        <f aca="false">SUM(M18:M21)</f>
        <v>52521557</v>
      </c>
      <c r="N22" s="18" t="n">
        <f aca="false">SUM(B22:M22)</f>
        <v>587530556</v>
      </c>
    </row>
    <row r="23" customFormat="false" ht="12" hidden="false" customHeight="true" outlineLevel="0" collapsed="false">
      <c r="A23" s="49" t="s">
        <v>66</v>
      </c>
      <c r="B23" s="18" t="n">
        <f aca="false">-B16+B22</f>
        <v>-20266</v>
      </c>
      <c r="C23" s="18" t="n">
        <f aca="false">-C16+C22</f>
        <v>7281</v>
      </c>
      <c r="D23" s="18" t="n">
        <f aca="false">-D16+D22</f>
        <v>-159830</v>
      </c>
      <c r="E23" s="18" t="n">
        <f aca="false">-E16+E22</f>
        <v>82436</v>
      </c>
      <c r="F23" s="18" t="n">
        <f aca="false">-F16+F22</f>
        <v>-153442</v>
      </c>
      <c r="G23" s="18" t="n">
        <f aca="false">-G16+G22</f>
        <v>-54980</v>
      </c>
      <c r="H23" s="18" t="n">
        <f aca="false">-H16+H22</f>
        <v>-169976</v>
      </c>
      <c r="I23" s="18" t="n">
        <f aca="false">-I16+I22</f>
        <v>-9956</v>
      </c>
      <c r="J23" s="18" t="n">
        <f aca="false">-J16+J22</f>
        <v>-75230</v>
      </c>
      <c r="K23" s="18" t="n">
        <f aca="false">-K16+K22</f>
        <v>-13286</v>
      </c>
      <c r="L23" s="18" t="n">
        <f aca="false">-L16+L22</f>
        <v>-108339</v>
      </c>
      <c r="M23" s="18" t="n">
        <f aca="false">-M16+M22</f>
        <v>26966</v>
      </c>
      <c r="N23" s="18" t="n">
        <f aca="false">SUM(B23:M23)</f>
        <v>-648622</v>
      </c>
    </row>
    <row r="24" customFormat="false" ht="12" hidden="false" customHeight="true" outlineLevel="0" collapsed="false">
      <c r="A24" s="50" t="s">
        <v>24</v>
      </c>
      <c r="B24" s="19" t="n">
        <f aca="false">B23/B16</f>
        <v>-0.000428125373851832</v>
      </c>
      <c r="C24" s="19" t="n">
        <f aca="false">C23/C16</f>
        <v>0.000158262010550931</v>
      </c>
      <c r="D24" s="19" t="n">
        <f aca="false">D23/D16</f>
        <v>-0.00339612160065928</v>
      </c>
      <c r="E24" s="19" t="n">
        <f aca="false">E23/E16</f>
        <v>0.00159965214221745</v>
      </c>
      <c r="F24" s="19" t="n">
        <f aca="false">F23/F16</f>
        <v>-0.0028057652238162</v>
      </c>
      <c r="G24" s="19" t="n">
        <f aca="false">G23/G16</f>
        <v>-0.00113974222256533</v>
      </c>
      <c r="H24" s="19" t="n">
        <f aca="false">H23/H16</f>
        <v>-0.0037389840027639</v>
      </c>
      <c r="I24" s="19" t="n">
        <f aca="false">I23/I16</f>
        <v>-0.000216044282567954</v>
      </c>
      <c r="J24" s="19" t="n">
        <f aca="false">J23/J16</f>
        <v>-0.00149246613095802</v>
      </c>
      <c r="K24" s="19" t="n">
        <f aca="false">K23/K16</f>
        <v>-0.000269123780693652</v>
      </c>
      <c r="L24" s="19" t="n">
        <f aca="false">L23/L16</f>
        <v>-0.00218862453011763</v>
      </c>
      <c r="M24" s="19" t="n">
        <f aca="false">M23/M16</f>
        <v>0.000513691020090051</v>
      </c>
      <c r="N24" s="19" t="n">
        <f aca="false">N23/N16</f>
        <v>-0.00110276260068492</v>
      </c>
    </row>
    <row r="25" customFormat="false" ht="12.75" hidden="false" customHeight="false" outlineLevel="0" collapsed="false">
      <c r="A25" s="4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customFormat="false" ht="13.5" hidden="false" customHeight="false" outlineLevel="0" collapsed="false">
      <c r="A26" s="1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customFormat="false" ht="12.75" hidden="false" customHeight="false" outlineLevel="0" collapsed="false">
      <c r="A27" s="4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customFormat="false" ht="13.5" hidden="false" customHeight="false" outlineLevel="0" collapsed="false">
      <c r="A28" s="15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customFormat="false" ht="13.5" hidden="false" customHeight="false" outlineLevel="0" collapsed="false">
      <c r="A29" s="15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1" customFormat="false" ht="12.75" hidden="false" customHeight="false" outlineLevel="0" collapsed="false">
      <c r="L31" s="0"/>
    </row>
    <row r="32" customFormat="false" ht="12.75" hidden="false" customHeight="false" outlineLevel="0" collapsed="false">
      <c r="L32" s="0"/>
    </row>
    <row r="33" customFormat="false" ht="12.75" hidden="false" customHeight="false" outlineLevel="0" collapsed="false">
      <c r="L33" s="0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DTH PRA (99)12 Month Historical</oddHeader>
    <oddFooter>&amp;L&amp;F&amp;CPage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9" min="2" style="0" width="9.85"/>
    <col collapsed="false" customWidth="true" hidden="false" outlineLevel="0" max="12" min="10" style="0" width="12.14"/>
    <col collapsed="false" customWidth="true" hidden="false" outlineLevel="0" max="13" min="13" style="0" width="11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53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customFormat="false" ht="12.75" hidden="false" customHeight="false" outlineLevel="0" collapsed="false">
      <c r="A2" s="53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customFormat="false" ht="12.75" hidden="false" customHeight="false" outlineLevel="0" collapsed="false">
      <c r="A3" s="53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customFormat="false" ht="12.75" hidden="false" customHeight="false" outlineLevel="0" collapsed="false">
      <c r="A4" s="5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customFormat="false" ht="13.5" hidden="false" customHeight="false" outlineLevel="0" collapsed="false">
      <c r="A5" s="53"/>
      <c r="B5" s="44" t="s">
        <v>67</v>
      </c>
      <c r="C5" s="44" t="s">
        <v>16</v>
      </c>
      <c r="D5" s="44" t="s">
        <v>17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10</v>
      </c>
      <c r="J5" s="44" t="s">
        <v>11</v>
      </c>
      <c r="K5" s="44" t="s">
        <v>12</v>
      </c>
      <c r="L5" s="44" t="s">
        <v>13</v>
      </c>
      <c r="M5" s="44" t="s">
        <v>14</v>
      </c>
      <c r="N5" s="45"/>
    </row>
    <row r="6" customFormat="false" ht="13.5" hidden="false" customHeight="false" outlineLevel="0" collapsed="false">
      <c r="A6" s="53"/>
      <c r="B6" s="44" t="n">
        <v>2000</v>
      </c>
      <c r="C6" s="44" t="n">
        <v>2000</v>
      </c>
      <c r="D6" s="44" t="n">
        <v>2000</v>
      </c>
      <c r="E6" s="44" t="n">
        <v>2000</v>
      </c>
      <c r="F6" s="44" t="n">
        <v>2000</v>
      </c>
      <c r="G6" s="44" t="n">
        <v>2000</v>
      </c>
      <c r="H6" s="44" t="n">
        <v>2000</v>
      </c>
      <c r="I6" s="44" t="n">
        <v>2000</v>
      </c>
      <c r="J6" s="44" t="n">
        <v>2000</v>
      </c>
      <c r="K6" s="44" t="n">
        <v>2000</v>
      </c>
      <c r="L6" s="44" t="n">
        <v>2000</v>
      </c>
      <c r="M6" s="44" t="n">
        <v>2000</v>
      </c>
      <c r="N6" s="45" t="s">
        <v>19</v>
      </c>
    </row>
    <row r="7" customFormat="false" ht="12.75" hidden="false" customHeight="false" outlineLevel="0" collapsed="false">
      <c r="A7" s="5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8"/>
    </row>
    <row r="8" customFormat="false" ht="13.5" hidden="false" customHeight="false" outlineLevel="0" collapsed="false">
      <c r="A8" s="53" t="s">
        <v>20</v>
      </c>
      <c r="B8" s="46" t="n">
        <v>84997926</v>
      </c>
      <c r="C8" s="46" t="n">
        <v>84279045</v>
      </c>
      <c r="D8" s="46" t="n">
        <v>88970912</v>
      </c>
      <c r="E8" s="46" t="n">
        <v>81717385</v>
      </c>
      <c r="F8" s="46" t="n">
        <v>95960945</v>
      </c>
      <c r="G8" s="46" t="n">
        <v>86152339</v>
      </c>
      <c r="H8" s="46" t="n">
        <v>90880664</v>
      </c>
      <c r="I8" s="46" t="n">
        <v>94776094</v>
      </c>
      <c r="J8" s="46" t="n">
        <v>91841448</v>
      </c>
      <c r="K8" s="46" t="n">
        <v>92800937</v>
      </c>
      <c r="L8" s="46" t="n">
        <v>89259163</v>
      </c>
      <c r="M8" s="46" t="n">
        <v>97237997</v>
      </c>
      <c r="N8" s="18" t="n">
        <f aca="false">SUM(B8:M8)</f>
        <v>1078874855</v>
      </c>
    </row>
    <row r="9" customFormat="false" ht="13.5" hidden="false" customHeight="false" outlineLevel="0" collapsed="false">
      <c r="A9" s="53" t="s">
        <v>21</v>
      </c>
      <c r="B9" s="46" t="n">
        <v>84608002</v>
      </c>
      <c r="C9" s="46" t="n">
        <v>83698206</v>
      </c>
      <c r="D9" s="46" t="n">
        <v>88462856</v>
      </c>
      <c r="E9" s="46" t="n">
        <v>81360611</v>
      </c>
      <c r="F9" s="46" t="n">
        <v>95457532</v>
      </c>
      <c r="G9" s="46" t="n">
        <v>85493481</v>
      </c>
      <c r="H9" s="46" t="n">
        <v>90276072</v>
      </c>
      <c r="I9" s="46" t="n">
        <v>94050011</v>
      </c>
      <c r="J9" s="46" t="n">
        <v>91170003</v>
      </c>
      <c r="K9" s="46" t="n">
        <v>92163364</v>
      </c>
      <c r="L9" s="46" t="n">
        <v>88717991</v>
      </c>
      <c r="M9" s="46" t="n">
        <v>96587769</v>
      </c>
      <c r="N9" s="18" t="n">
        <f aca="false">SUM(B9:M9)</f>
        <v>1072045898</v>
      </c>
    </row>
    <row r="10" customFormat="false" ht="12.75" hidden="false" customHeight="false" outlineLevel="0" collapsed="false">
      <c r="A10" s="53" t="s">
        <v>22</v>
      </c>
      <c r="B10" s="18" t="n">
        <f aca="false">+B9+B19+B20+B21</f>
        <v>84913350</v>
      </c>
      <c r="C10" s="18" t="n">
        <f aca="false">+C9+C19+C20+C21</f>
        <v>84229734</v>
      </c>
      <c r="D10" s="18" t="n">
        <f aca="false">+D9+D19+D20+D21</f>
        <v>88980727</v>
      </c>
      <c r="E10" s="18" t="n">
        <f aca="false">+E9+E19+E20+E21</f>
        <v>81775041</v>
      </c>
      <c r="F10" s="18" t="n">
        <f aca="false">+F9+F19+F20+F21</f>
        <v>95927133</v>
      </c>
      <c r="G10" s="18" t="n">
        <f aca="false">+G9+G19+G20+G21</f>
        <v>86120635</v>
      </c>
      <c r="H10" s="18" t="n">
        <f aca="false">+H9+H19+H20+H21</f>
        <v>90820017</v>
      </c>
      <c r="I10" s="18" t="n">
        <f aca="false">+I9+I19+I20+I21</f>
        <v>94740237</v>
      </c>
      <c r="J10" s="18" t="n">
        <f aca="false">+J9+J19+J20+J21</f>
        <v>91780446</v>
      </c>
      <c r="K10" s="18" t="n">
        <f aca="false">+K9+K19+K20+K21</f>
        <v>92831299</v>
      </c>
      <c r="L10" s="18" t="n">
        <f aca="false">+L9+L19+L20+L21</f>
        <v>89186628</v>
      </c>
      <c r="M10" s="18" t="n">
        <f aca="false">+M9+M19+M20+M21</f>
        <v>97220687</v>
      </c>
      <c r="N10" s="18" t="n">
        <f aca="false">SUM(B10:M10)</f>
        <v>1078525934</v>
      </c>
    </row>
    <row r="11" customFormat="false" ht="12.75" hidden="false" customHeight="false" outlineLevel="0" collapsed="false">
      <c r="A11" s="53" t="s">
        <v>23</v>
      </c>
      <c r="B11" s="18" t="n">
        <f aca="false">-B8+B10</f>
        <v>-84576</v>
      </c>
      <c r="C11" s="18" t="n">
        <f aca="false">-C8+C10</f>
        <v>-49311</v>
      </c>
      <c r="D11" s="18" t="n">
        <f aca="false">-D8+D10</f>
        <v>9815</v>
      </c>
      <c r="E11" s="18" t="n">
        <f aca="false">-E8+E10</f>
        <v>57656</v>
      </c>
      <c r="F11" s="18" t="n">
        <f aca="false">-F8+F10</f>
        <v>-33812</v>
      </c>
      <c r="G11" s="18" t="n">
        <f aca="false">-G8+G10</f>
        <v>-31704</v>
      </c>
      <c r="H11" s="18" t="n">
        <f aca="false">-H8+H10</f>
        <v>-60647</v>
      </c>
      <c r="I11" s="18" t="n">
        <f aca="false">-I8+I10</f>
        <v>-35857</v>
      </c>
      <c r="J11" s="18" t="n">
        <f aca="false">-J8+J10</f>
        <v>-61002</v>
      </c>
      <c r="K11" s="18" t="n">
        <f aca="false">-K8+K10</f>
        <v>30362</v>
      </c>
      <c r="L11" s="18" t="n">
        <f aca="false">-L8+L10</f>
        <v>-72535</v>
      </c>
      <c r="M11" s="18" t="n">
        <f aca="false">-M8+M10</f>
        <v>-17310</v>
      </c>
      <c r="N11" s="18" t="n">
        <f aca="false">SUM(B11:M11)</f>
        <v>-348921</v>
      </c>
    </row>
    <row r="12" customFormat="false" ht="12.75" hidden="false" customHeight="false" outlineLevel="0" collapsed="false">
      <c r="A12" s="54" t="s">
        <v>24</v>
      </c>
      <c r="B12" s="19" t="n">
        <f aca="false">B11/B8</f>
        <v>-0.000995036043585346</v>
      </c>
      <c r="C12" s="19" t="n">
        <f aca="false">C11/C8</f>
        <v>-0.000585092059360663</v>
      </c>
      <c r="D12" s="19" t="n">
        <f aca="false">D11/D8</f>
        <v>0.000110316953927594</v>
      </c>
      <c r="E12" s="19" t="n">
        <f aca="false">E11/E8</f>
        <v>0.000705553659114275</v>
      </c>
      <c r="F12" s="19" t="n">
        <f aca="false">F11/F8</f>
        <v>-0.000352351678070698</v>
      </c>
      <c r="G12" s="19" t="n">
        <f aca="false">G11/G8</f>
        <v>-0.000367999294830521</v>
      </c>
      <c r="H12" s="19" t="n">
        <f aca="false">H11/H8</f>
        <v>-0.000667325670067728</v>
      </c>
      <c r="I12" s="19" t="n">
        <f aca="false">I11/I8</f>
        <v>-0.000378333802192777</v>
      </c>
      <c r="J12" s="19" t="n">
        <f aca="false">J11/J8</f>
        <v>-0.000664209910976142</v>
      </c>
      <c r="K12" s="19" t="n">
        <f aca="false">K11/K8</f>
        <v>0.000327173420673543</v>
      </c>
      <c r="L12" s="19" t="n">
        <f aca="false">L11/L8</f>
        <v>-0.000812633656446005</v>
      </c>
      <c r="M12" s="19" t="n">
        <f aca="false">M11/M8</f>
        <v>-0.000178016830190363</v>
      </c>
      <c r="N12" s="19" t="n">
        <f aca="false">N11/N8</f>
        <v>-0.000323411930849014</v>
      </c>
    </row>
    <row r="13" customFormat="false" ht="12.75" hidden="false" customHeight="false" outlineLevel="0" collapsed="false">
      <c r="A13" s="53" t="s">
        <v>25</v>
      </c>
      <c r="B13" s="18" t="n">
        <f aca="false">-B8+B10</f>
        <v>-84576</v>
      </c>
      <c r="C13" s="18" t="n">
        <f aca="false">-C8+C10</f>
        <v>-49311</v>
      </c>
      <c r="D13" s="18" t="n">
        <f aca="false">-D8+D10</f>
        <v>9815</v>
      </c>
      <c r="E13" s="18" t="n">
        <f aca="false">-E8+E10</f>
        <v>57656</v>
      </c>
      <c r="F13" s="18" t="n">
        <f aca="false">-F8+F10</f>
        <v>-33812</v>
      </c>
      <c r="G13" s="18" t="n">
        <f aca="false">-G8+G10</f>
        <v>-31704</v>
      </c>
      <c r="H13" s="18" t="n">
        <f aca="false">-H8+H10</f>
        <v>-60647</v>
      </c>
      <c r="I13" s="18" t="n">
        <f aca="false">-I8+I10</f>
        <v>-35857</v>
      </c>
      <c r="J13" s="18" t="n">
        <f aca="false">-J8+J10</f>
        <v>-61002</v>
      </c>
      <c r="K13" s="18" t="n">
        <f aca="false">-K8+K10</f>
        <v>30362</v>
      </c>
      <c r="L13" s="18" t="n">
        <f aca="false">-L8+L10</f>
        <v>-72535</v>
      </c>
      <c r="M13" s="18" t="n">
        <f aca="false">-M8+M10</f>
        <v>-17310</v>
      </c>
      <c r="N13" s="18" t="n">
        <f aca="false">SUM(B13:M13)</f>
        <v>-348921</v>
      </c>
    </row>
    <row r="14" customFormat="false" ht="12.75" hidden="false" customHeight="false" outlineLevel="0" collapsed="false">
      <c r="A14" s="54" t="s">
        <v>24</v>
      </c>
      <c r="B14" s="19" t="n">
        <f aca="false">B13/B8</f>
        <v>-0.000995036043585346</v>
      </c>
      <c r="C14" s="19" t="n">
        <f aca="false">C13/C8</f>
        <v>-0.000585092059360663</v>
      </c>
      <c r="D14" s="19" t="n">
        <f aca="false">D13/D8</f>
        <v>0.000110316953927594</v>
      </c>
      <c r="E14" s="19" t="n">
        <f aca="false">E13/E8</f>
        <v>0.000705553659114275</v>
      </c>
      <c r="F14" s="19" t="n">
        <f aca="false">F13/F8</f>
        <v>-0.000352351678070698</v>
      </c>
      <c r="G14" s="19" t="n">
        <f aca="false">G13/G8</f>
        <v>-0.000367999294830521</v>
      </c>
      <c r="H14" s="19" t="n">
        <f aca="false">H13/H8</f>
        <v>-0.000667325670067728</v>
      </c>
      <c r="I14" s="19" t="n">
        <f aca="false">I13/I8</f>
        <v>-0.000378333802192777</v>
      </c>
      <c r="J14" s="19" t="n">
        <f aca="false">J13/J8</f>
        <v>-0.000664209910976142</v>
      </c>
      <c r="K14" s="19" t="n">
        <f aca="false">K13/K8</f>
        <v>0.000327173420673543</v>
      </c>
      <c r="L14" s="19" t="n">
        <f aca="false">L13/L8</f>
        <v>-0.000812633656446005</v>
      </c>
      <c r="M14" s="19" t="n">
        <f aca="false">M13/M8</f>
        <v>-0.000178016830190363</v>
      </c>
      <c r="N14" s="19" t="n">
        <f aca="false">N13/N8</f>
        <v>-0.000323411930849014</v>
      </c>
    </row>
    <row r="15" customFormat="false" ht="12.75" hidden="false" customHeight="false" outlineLevel="0" collapsed="false">
      <c r="A15" s="5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8" t="s">
        <v>1</v>
      </c>
    </row>
    <row r="16" customFormat="false" ht="12.75" hidden="false" customHeight="false" outlineLevel="0" collapsed="false">
      <c r="A16" s="53" t="s">
        <v>26</v>
      </c>
      <c r="B16" s="18" t="n">
        <v>48333294</v>
      </c>
      <c r="C16" s="18" t="n">
        <v>48613874</v>
      </c>
      <c r="D16" s="18" t="n">
        <v>51590330</v>
      </c>
      <c r="E16" s="18" t="n">
        <v>43866235</v>
      </c>
      <c r="F16" s="18" t="n">
        <v>54191452</v>
      </c>
      <c r="G16" s="18" t="n">
        <v>50655594</v>
      </c>
      <c r="H16" s="18" t="n">
        <v>54316515</v>
      </c>
      <c r="I16" s="18" t="n">
        <v>55523833</v>
      </c>
      <c r="J16" s="18" t="n">
        <v>51981580</v>
      </c>
      <c r="K16" s="18" t="n">
        <v>52487102</v>
      </c>
      <c r="L16" s="18" t="n">
        <v>50758353</v>
      </c>
      <c r="M16" s="18" t="n">
        <v>54945696</v>
      </c>
      <c r="N16" s="18" t="n">
        <f aca="false">SUM(B16:M16)</f>
        <v>617263858</v>
      </c>
    </row>
    <row r="17" customFormat="false" ht="12.75" hidden="false" customHeight="false" outlineLevel="0" collapsed="false">
      <c r="A17" s="5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</row>
    <row r="18" customFormat="false" ht="12.75" hidden="false" customHeight="false" outlineLevel="0" collapsed="false">
      <c r="A18" s="53" t="s">
        <v>27</v>
      </c>
      <c r="B18" s="18" t="n">
        <v>47943370</v>
      </c>
      <c r="C18" s="18" t="n">
        <v>48033035</v>
      </c>
      <c r="D18" s="18" t="n">
        <v>51082274</v>
      </c>
      <c r="E18" s="18" t="n">
        <v>43509461</v>
      </c>
      <c r="F18" s="18" t="n">
        <v>53688039</v>
      </c>
      <c r="G18" s="18" t="n">
        <v>49996736</v>
      </c>
      <c r="H18" s="18" t="n">
        <v>53711923</v>
      </c>
      <c r="I18" s="18" t="n">
        <v>54797750</v>
      </c>
      <c r="J18" s="18" t="n">
        <v>51310135</v>
      </c>
      <c r="K18" s="18" t="n">
        <v>51849529</v>
      </c>
      <c r="L18" s="18" t="n">
        <v>50217181</v>
      </c>
      <c r="M18" s="18" t="n">
        <v>54295468</v>
      </c>
      <c r="N18" s="18" t="n">
        <f aca="false">SUM(B18:M18)</f>
        <v>610434901</v>
      </c>
    </row>
    <row r="19" customFormat="false" ht="12.75" hidden="false" customHeight="false" outlineLevel="0" collapsed="false">
      <c r="A19" s="53" t="s">
        <v>28</v>
      </c>
      <c r="B19" s="18" t="n">
        <v>539382</v>
      </c>
      <c r="C19" s="18" t="n">
        <v>496370</v>
      </c>
      <c r="D19" s="18" t="n">
        <v>534632</v>
      </c>
      <c r="E19" s="18" t="n">
        <v>415755</v>
      </c>
      <c r="F19" s="18" t="n">
        <v>525516</v>
      </c>
      <c r="G19" s="18" t="n">
        <v>541891</v>
      </c>
      <c r="H19" s="18" t="n">
        <v>593016</v>
      </c>
      <c r="I19" s="18" t="n">
        <v>587942</v>
      </c>
      <c r="J19" s="18" t="n">
        <v>553462</v>
      </c>
      <c r="K19" s="18" t="n">
        <v>636417</v>
      </c>
      <c r="L19" s="18" t="n">
        <v>482999</v>
      </c>
      <c r="M19" s="18" t="n">
        <v>618661</v>
      </c>
      <c r="N19" s="18" t="n">
        <f aca="false">SUM(B19:M19)</f>
        <v>6526043</v>
      </c>
    </row>
    <row r="20" customFormat="false" ht="12.75" hidden="false" customHeight="false" outlineLevel="0" collapsed="false">
      <c r="A20" s="53" t="s">
        <v>29</v>
      </c>
      <c r="B20" s="18" t="n">
        <v>-235288</v>
      </c>
      <c r="C20" s="18" t="n">
        <v>34451</v>
      </c>
      <c r="D20" s="18" t="n">
        <v>-16761</v>
      </c>
      <c r="E20" s="18" t="n">
        <v>-1512</v>
      </c>
      <c r="F20" s="18" t="n">
        <v>-55915</v>
      </c>
      <c r="G20" s="18" t="n">
        <v>85263</v>
      </c>
      <c r="H20" s="18" t="n">
        <v>-49860</v>
      </c>
      <c r="I20" s="18" t="n">
        <v>102054</v>
      </c>
      <c r="J20" s="18" t="n">
        <v>56172</v>
      </c>
      <c r="K20" s="18" t="n">
        <v>30197</v>
      </c>
      <c r="L20" s="18" t="n">
        <v>-15395</v>
      </c>
      <c r="M20" s="18" t="n">
        <v>13470</v>
      </c>
      <c r="N20" s="18" t="n">
        <f aca="false">SUM(B20:M20)</f>
        <v>-53124</v>
      </c>
    </row>
    <row r="21" customFormat="false" ht="12.75" hidden="false" customHeight="false" outlineLevel="0" collapsed="false">
      <c r="A21" s="53" t="s">
        <v>30</v>
      </c>
      <c r="B21" s="18" t="n">
        <v>1254</v>
      </c>
      <c r="C21" s="18" t="n">
        <v>707</v>
      </c>
      <c r="D21" s="18" t="n">
        <v>0</v>
      </c>
      <c r="E21" s="18" t="n">
        <v>187</v>
      </c>
      <c r="F21" s="18" t="n">
        <v>0</v>
      </c>
      <c r="G21" s="18" t="n">
        <v>0</v>
      </c>
      <c r="H21" s="18" t="n">
        <v>789</v>
      </c>
      <c r="I21" s="18" t="n">
        <v>230</v>
      </c>
      <c r="J21" s="18" t="n">
        <v>809</v>
      </c>
      <c r="K21" s="18" t="n">
        <v>1321</v>
      </c>
      <c r="L21" s="18" t="n">
        <v>1033</v>
      </c>
      <c r="M21" s="18" t="n">
        <v>787</v>
      </c>
      <c r="N21" s="18" t="n">
        <f aca="false">SUM(B21:M21)</f>
        <v>7117</v>
      </c>
    </row>
    <row r="22" customFormat="false" ht="12.75" hidden="false" customHeight="false" outlineLevel="0" collapsed="false">
      <c r="A22" s="53" t="s">
        <v>22</v>
      </c>
      <c r="B22" s="18" t="n">
        <f aca="false">SUM(B18:B21)</f>
        <v>48248718</v>
      </c>
      <c r="C22" s="18" t="n">
        <f aca="false">SUM(C18:C21)</f>
        <v>48564563</v>
      </c>
      <c r="D22" s="18" t="n">
        <f aca="false">SUM(D18:D21)</f>
        <v>51600145</v>
      </c>
      <c r="E22" s="18" t="n">
        <f aca="false">SUM(E18:E21)</f>
        <v>43923891</v>
      </c>
      <c r="F22" s="18" t="n">
        <f aca="false">SUM(F18:F21)</f>
        <v>54157640</v>
      </c>
      <c r="G22" s="18" t="n">
        <f aca="false">SUM(G18:G21)</f>
        <v>50623890</v>
      </c>
      <c r="H22" s="18" t="n">
        <f aca="false">SUM(H18:H21)</f>
        <v>54255868</v>
      </c>
      <c r="I22" s="18" t="n">
        <f aca="false">SUM(I18:I21)</f>
        <v>55487976</v>
      </c>
      <c r="J22" s="18" t="n">
        <f aca="false">SUM(J18:J21)</f>
        <v>51920578</v>
      </c>
      <c r="K22" s="18" t="n">
        <f aca="false">SUM(K18:K21)</f>
        <v>52517464</v>
      </c>
      <c r="L22" s="18" t="n">
        <f aca="false">SUM(L18:L21)</f>
        <v>50685818</v>
      </c>
      <c r="M22" s="18" t="n">
        <f aca="false">SUM(M18:M21)</f>
        <v>54928386</v>
      </c>
      <c r="N22" s="18" t="n">
        <f aca="false">SUM(B22:M22)</f>
        <v>616914937</v>
      </c>
    </row>
    <row r="23" customFormat="false" ht="12.75" hidden="false" customHeight="false" outlineLevel="0" collapsed="false">
      <c r="A23" s="53" t="s">
        <v>65</v>
      </c>
      <c r="B23" s="18" t="n">
        <f aca="false">-B16+B22</f>
        <v>-84576</v>
      </c>
      <c r="C23" s="18" t="n">
        <f aca="false">-C16+C22</f>
        <v>-49311</v>
      </c>
      <c r="D23" s="18" t="n">
        <f aca="false">-D16+D22</f>
        <v>9815</v>
      </c>
      <c r="E23" s="18" t="n">
        <f aca="false">-E16+E22</f>
        <v>57656</v>
      </c>
      <c r="F23" s="18" t="n">
        <f aca="false">-F16+F22</f>
        <v>-33812</v>
      </c>
      <c r="G23" s="18" t="n">
        <f aca="false">-G16+G22</f>
        <v>-31704</v>
      </c>
      <c r="H23" s="18" t="n">
        <f aca="false">-H16+H22</f>
        <v>-60647</v>
      </c>
      <c r="I23" s="18" t="n">
        <f aca="false">-I16+I22</f>
        <v>-35857</v>
      </c>
      <c r="J23" s="18" t="n">
        <f aca="false">-J16+J22</f>
        <v>-61002</v>
      </c>
      <c r="K23" s="18" t="n">
        <f aca="false">-K16+K22</f>
        <v>30362</v>
      </c>
      <c r="L23" s="18" t="n">
        <f aca="false">-L16+L22</f>
        <v>-72535</v>
      </c>
      <c r="M23" s="18" t="n">
        <f aca="false">-M16+M22</f>
        <v>-17310</v>
      </c>
      <c r="N23" s="18" t="n">
        <f aca="false">SUM(B23:M23)</f>
        <v>-348921</v>
      </c>
    </row>
    <row r="24" customFormat="false" ht="12.75" hidden="false" customHeight="false" outlineLevel="0" collapsed="false">
      <c r="A24" s="54" t="s">
        <v>24</v>
      </c>
      <c r="B24" s="19" t="n">
        <f aca="false">B23/B16</f>
        <v>-0.00174984969987769</v>
      </c>
      <c r="C24" s="19" t="n">
        <f aca="false">C23/C16</f>
        <v>-0.00101434006267429</v>
      </c>
      <c r="D24" s="19" t="n">
        <f aca="false">D23/D16</f>
        <v>0.000190248831515519</v>
      </c>
      <c r="E24" s="19" t="n">
        <f aca="false">E23/E16</f>
        <v>0.00131435943841545</v>
      </c>
      <c r="F24" s="19" t="n">
        <f aca="false">F23/F16</f>
        <v>-0.000623936040687745</v>
      </c>
      <c r="G24" s="19" t="n">
        <f aca="false">G23/G16</f>
        <v>-0.000625873620196814</v>
      </c>
      <c r="H24" s="19" t="n">
        <f aca="false">H23/H16</f>
        <v>-0.00111654807014036</v>
      </c>
      <c r="I24" s="19" t="n">
        <f aca="false">I23/I16</f>
        <v>-0.000645794752678548</v>
      </c>
      <c r="J24" s="19" t="n">
        <f aca="false">J23/J16</f>
        <v>-0.00117353108543449</v>
      </c>
      <c r="K24" s="19" t="n">
        <f aca="false">K23/K16</f>
        <v>0.000578465924828542</v>
      </c>
      <c r="L24" s="19" t="n">
        <f aca="false">L23/L16</f>
        <v>-0.00142902587875536</v>
      </c>
      <c r="M24" s="19" t="n">
        <f aca="false">M23/M16</f>
        <v>-0.000315038324384862</v>
      </c>
      <c r="N24" s="19" t="n">
        <f aca="false">N23/N16</f>
        <v>-0.000565270419574768</v>
      </c>
    </row>
  </sheetData>
  <printOptions headings="false" gridLines="true" gridLinesSet="true" horizontalCentered="true" verticalCentered="true"/>
  <pageMargins left="0.747916666666667" right="0.747916666666667" top="0.984027777777778" bottom="0.984027777777778" header="0.5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MCF Calendar Year History 2000</oddHeader>
    <oddFooter>&amp;L&amp;F&amp;C&amp;N&amp;R&amp;D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5" min="5" style="0" width="9.28"/>
    <col collapsed="false" customWidth="true" hidden="false" outlineLevel="0" max="10" min="10" style="0" width="11.56"/>
    <col collapsed="false" customWidth="true" hidden="false" outlineLevel="0" max="11" min="11" style="0" width="11.13"/>
    <col collapsed="false" customWidth="true" hidden="false" outlineLevel="0" max="12" min="12" style="0" width="10.41"/>
    <col collapsed="false" customWidth="true" hidden="false" outlineLevel="0" max="13" min="13" style="0" width="11.85"/>
    <col collapsed="false" customWidth="true" hidden="false" outlineLevel="0" max="14" min="14" style="0" width="10.56"/>
  </cols>
  <sheetData>
    <row r="1" customFormat="false" ht="12.75" hidden="false" customHeight="false" outlineLevel="0" collapsed="false">
      <c r="A1" s="53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customFormat="false" ht="12.75" hidden="false" customHeight="false" outlineLevel="0" collapsed="false">
      <c r="A2" s="53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customFormat="false" ht="12.75" hidden="false" customHeight="false" outlineLevel="0" collapsed="false">
      <c r="A3" s="53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customFormat="false" ht="12.75" hidden="false" customHeight="false" outlineLevel="0" collapsed="false">
      <c r="A4" s="5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customFormat="false" ht="13.5" hidden="false" customHeight="false" outlineLevel="0" collapsed="false">
      <c r="A5" s="53"/>
      <c r="B5" s="44" t="s">
        <v>67</v>
      </c>
      <c r="C5" s="44" t="s">
        <v>16</v>
      </c>
      <c r="D5" s="44" t="s">
        <v>17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10</v>
      </c>
      <c r="J5" s="44" t="s">
        <v>11</v>
      </c>
      <c r="K5" s="44" t="s">
        <v>12</v>
      </c>
      <c r="L5" s="44" t="s">
        <v>13</v>
      </c>
      <c r="M5" s="44" t="s">
        <v>14</v>
      </c>
      <c r="N5" s="45"/>
    </row>
    <row r="6" customFormat="false" ht="13.5" hidden="false" customHeight="false" outlineLevel="0" collapsed="false">
      <c r="A6" s="53"/>
      <c r="B6" s="44" t="n">
        <v>2000</v>
      </c>
      <c r="C6" s="44" t="n">
        <v>2000</v>
      </c>
      <c r="D6" s="44" t="n">
        <v>2000</v>
      </c>
      <c r="E6" s="44" t="n">
        <v>2000</v>
      </c>
      <c r="F6" s="44" t="n">
        <v>2000</v>
      </c>
      <c r="G6" s="44" t="n">
        <v>2000</v>
      </c>
      <c r="H6" s="44" t="n">
        <v>2000</v>
      </c>
      <c r="I6" s="44" t="n">
        <v>2000</v>
      </c>
      <c r="J6" s="44" t="n">
        <v>2000</v>
      </c>
      <c r="K6" s="44" t="n">
        <v>2000</v>
      </c>
      <c r="L6" s="44" t="n">
        <v>2000</v>
      </c>
      <c r="M6" s="44" t="n">
        <v>2000</v>
      </c>
      <c r="N6" s="45" t="s">
        <v>19</v>
      </c>
    </row>
    <row r="7" customFormat="false" ht="12.75" hidden="false" customHeight="false" outlineLevel="0" collapsed="false">
      <c r="A7" s="5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8"/>
    </row>
    <row r="8" customFormat="false" ht="13.5" hidden="false" customHeight="false" outlineLevel="0" collapsed="false">
      <c r="A8" s="53" t="s">
        <v>20</v>
      </c>
      <c r="B8" s="46" t="n">
        <v>87286135</v>
      </c>
      <c r="C8" s="46" t="n">
        <v>86295363</v>
      </c>
      <c r="D8" s="46" t="n">
        <v>91081855</v>
      </c>
      <c r="E8" s="46" t="n">
        <v>83808480</v>
      </c>
      <c r="F8" s="46" t="n">
        <v>98257638</v>
      </c>
      <c r="G8" s="46" t="n">
        <v>88215990</v>
      </c>
      <c r="H8" s="46" t="n">
        <v>93125811</v>
      </c>
      <c r="I8" s="46" t="n">
        <v>97179378</v>
      </c>
      <c r="J8" s="46" t="n">
        <v>94491622</v>
      </c>
      <c r="K8" s="46" t="n">
        <v>95061107</v>
      </c>
      <c r="L8" s="46" t="n">
        <v>91327806</v>
      </c>
      <c r="M8" s="46" t="n">
        <v>99945386</v>
      </c>
      <c r="N8" s="18" t="n">
        <f aca="false">SUM(B8:M8)</f>
        <v>1106076571</v>
      </c>
    </row>
    <row r="9" customFormat="false" ht="13.5" hidden="false" customHeight="false" outlineLevel="0" collapsed="false">
      <c r="A9" s="53" t="s">
        <v>21</v>
      </c>
      <c r="B9" s="46" t="n">
        <v>86955077</v>
      </c>
      <c r="C9" s="46" t="n">
        <v>85641502</v>
      </c>
      <c r="D9" s="46" t="n">
        <v>90580498</v>
      </c>
      <c r="E9" s="46" t="n">
        <v>83500185</v>
      </c>
      <c r="F9" s="46" t="n">
        <v>97814100</v>
      </c>
      <c r="G9" s="46" t="n">
        <v>87510873</v>
      </c>
      <c r="H9" s="46" t="n">
        <v>92478136</v>
      </c>
      <c r="I9" s="46" t="n">
        <v>96436796</v>
      </c>
      <c r="J9" s="46" t="n">
        <v>93802901</v>
      </c>
      <c r="K9" s="46" t="n">
        <v>94444434</v>
      </c>
      <c r="L9" s="46" t="n">
        <v>90781179</v>
      </c>
      <c r="M9" s="46" t="n">
        <v>99276695</v>
      </c>
      <c r="N9" s="18" t="n">
        <f aca="false">SUM(B9:M9)</f>
        <v>1099222376</v>
      </c>
    </row>
    <row r="10" customFormat="false" ht="12.75" hidden="false" customHeight="false" outlineLevel="0" collapsed="false">
      <c r="A10" s="53" t="s">
        <v>22</v>
      </c>
      <c r="B10" s="18" t="n">
        <f aca="false">+B9+B19+B20+B21</f>
        <v>87272849</v>
      </c>
      <c r="C10" s="18" t="n">
        <f aca="false">+C9+C19+C20+C21</f>
        <v>86187024</v>
      </c>
      <c r="D10" s="18" t="n">
        <f aca="false">+D9+D19+D20+D21</f>
        <v>91108821</v>
      </c>
      <c r="E10" s="18" t="n">
        <f aca="false">+E9+E19+E20+E21</f>
        <v>83921474</v>
      </c>
      <c r="F10" s="18" t="n">
        <f aca="false">+F9+F19+F20+F21</f>
        <v>98293526</v>
      </c>
      <c r="G10" s="18" t="n">
        <f aca="false">+G9+G19+G20+G21</f>
        <v>88149547</v>
      </c>
      <c r="H10" s="18" t="n">
        <f aca="false">+H9+H19+H20+H21</f>
        <v>93030416</v>
      </c>
      <c r="I10" s="18" t="n">
        <f aca="false">+I9+I19+I20+I21</f>
        <v>97148430</v>
      </c>
      <c r="J10" s="18" t="n">
        <f aca="false">+J9+J19+J20+J21</f>
        <v>94435904</v>
      </c>
      <c r="K10" s="18" t="n">
        <f aca="false">+K9+K19+K20+K21</f>
        <v>95133706</v>
      </c>
      <c r="L10" s="18" t="n">
        <f aca="false">+L9+L19+L20+L21</f>
        <v>91266727</v>
      </c>
      <c r="M10" s="18" t="n">
        <f aca="false">+M9+M19+M20+M21</f>
        <v>99932139</v>
      </c>
      <c r="N10" s="18" t="n">
        <f aca="false">SUM(B10:M10)</f>
        <v>1105880563</v>
      </c>
    </row>
    <row r="11" customFormat="false" ht="12.75" hidden="false" customHeight="false" outlineLevel="0" collapsed="false">
      <c r="A11" s="53" t="s">
        <v>23</v>
      </c>
      <c r="B11" s="18" t="n">
        <f aca="false">-B8+B10</f>
        <v>-13286</v>
      </c>
      <c r="C11" s="18" t="n">
        <f aca="false">-C8+C10</f>
        <v>-108339</v>
      </c>
      <c r="D11" s="18" t="n">
        <f aca="false">-D8+D10</f>
        <v>26966</v>
      </c>
      <c r="E11" s="18" t="n">
        <f aca="false">-E8+E10</f>
        <v>112994</v>
      </c>
      <c r="F11" s="18" t="n">
        <f aca="false">-F8+F10</f>
        <v>35888</v>
      </c>
      <c r="G11" s="18" t="n">
        <f aca="false">-G8+G10</f>
        <v>-66443</v>
      </c>
      <c r="H11" s="18" t="n">
        <f aca="false">-H8+H10</f>
        <v>-95395</v>
      </c>
      <c r="I11" s="18" t="n">
        <f aca="false">-I8+I10</f>
        <v>-30948</v>
      </c>
      <c r="J11" s="18" t="n">
        <f aca="false">-J8+J10</f>
        <v>-55718</v>
      </c>
      <c r="K11" s="18" t="n">
        <f aca="false">-K8+K10</f>
        <v>72599</v>
      </c>
      <c r="L11" s="18" t="n">
        <f aca="false">-L8+L10</f>
        <v>-61079</v>
      </c>
      <c r="M11" s="18" t="n">
        <f aca="false">-M8+M10</f>
        <v>-13247</v>
      </c>
      <c r="N11" s="18" t="n">
        <f aca="false">SUM(B11:M11)</f>
        <v>-196008</v>
      </c>
    </row>
    <row r="12" customFormat="false" ht="12.75" hidden="false" customHeight="false" outlineLevel="0" collapsed="false">
      <c r="A12" s="54" t="s">
        <v>24</v>
      </c>
      <c r="B12" s="19" t="n">
        <f aca="false">B11/B8</f>
        <v>-0.000152212032300434</v>
      </c>
      <c r="C12" s="19" t="n">
        <f aca="false">C11/C8</f>
        <v>-0.00125544404975734</v>
      </c>
      <c r="D12" s="19" t="n">
        <f aca="false">D11/D8</f>
        <v>0.000296063359710889</v>
      </c>
      <c r="E12" s="19" t="n">
        <f aca="false">E11/E8</f>
        <v>0.00134824065536089</v>
      </c>
      <c r="F12" s="19" t="n">
        <f aca="false">F11/F8</f>
        <v>0.000365243870405271</v>
      </c>
      <c r="G12" s="19" t="n">
        <f aca="false">G11/G8</f>
        <v>-0.000753185448579107</v>
      </c>
      <c r="H12" s="19" t="n">
        <f aca="false">H11/H8</f>
        <v>-0.00102436691799656</v>
      </c>
      <c r="I12" s="19" t="n">
        <f aca="false">I11/I8</f>
        <v>-0.000318462626916587</v>
      </c>
      <c r="J12" s="19" t="n">
        <f aca="false">J11/J8</f>
        <v>-0.000589660742621182</v>
      </c>
      <c r="K12" s="19" t="n">
        <f aca="false">K11/K8</f>
        <v>0.000763708758409472</v>
      </c>
      <c r="L12" s="19" t="n">
        <f aca="false">L11/L8</f>
        <v>-0.000668788649099925</v>
      </c>
      <c r="M12" s="19" t="n">
        <f aca="false">M11/M8</f>
        <v>-0.000132542386699072</v>
      </c>
      <c r="N12" s="19" t="n">
        <f aca="false">N11/N8</f>
        <v>-0.000177210154467687</v>
      </c>
    </row>
    <row r="13" customFormat="false" ht="12.75" hidden="false" customHeight="false" outlineLevel="0" collapsed="false">
      <c r="A13" s="53" t="s">
        <v>25</v>
      </c>
      <c r="B13" s="18" t="n">
        <f aca="false">-B8+B10</f>
        <v>-13286</v>
      </c>
      <c r="C13" s="18" t="n">
        <f aca="false">-C8+C10</f>
        <v>-108339</v>
      </c>
      <c r="D13" s="18" t="n">
        <f aca="false">-D8+D10</f>
        <v>26966</v>
      </c>
      <c r="E13" s="18" t="n">
        <f aca="false">-E8+E10</f>
        <v>112994</v>
      </c>
      <c r="F13" s="18" t="n">
        <f aca="false">-F8+F10</f>
        <v>35888</v>
      </c>
      <c r="G13" s="18" t="n">
        <f aca="false">-G8+G10</f>
        <v>-66443</v>
      </c>
      <c r="H13" s="18" t="n">
        <f aca="false">-H8+H10</f>
        <v>-95395</v>
      </c>
      <c r="I13" s="18" t="n">
        <f aca="false">-I8+I10</f>
        <v>-30948</v>
      </c>
      <c r="J13" s="18" t="n">
        <f aca="false">-J8+J10</f>
        <v>-55718</v>
      </c>
      <c r="K13" s="18" t="n">
        <f aca="false">-K8+K10</f>
        <v>72599</v>
      </c>
      <c r="L13" s="18" t="n">
        <f aca="false">-L8+L10</f>
        <v>-61079</v>
      </c>
      <c r="M13" s="18" t="n">
        <f aca="false">-M8+M10</f>
        <v>-13247</v>
      </c>
      <c r="N13" s="18" t="n">
        <f aca="false">SUM(B13:M13)</f>
        <v>-196008</v>
      </c>
    </row>
    <row r="14" customFormat="false" ht="12.75" hidden="false" customHeight="false" outlineLevel="0" collapsed="false">
      <c r="A14" s="54" t="s">
        <v>24</v>
      </c>
      <c r="B14" s="19" t="n">
        <f aca="false">B13/B8</f>
        <v>-0.000152212032300434</v>
      </c>
      <c r="C14" s="19" t="n">
        <f aca="false">C13/C8</f>
        <v>-0.00125544404975734</v>
      </c>
      <c r="D14" s="19" t="n">
        <f aca="false">D13/D8</f>
        <v>0.000296063359710889</v>
      </c>
      <c r="E14" s="19" t="n">
        <f aca="false">E13/E8</f>
        <v>0.00134824065536089</v>
      </c>
      <c r="F14" s="19" t="n">
        <f aca="false">F13/F8</f>
        <v>0.000365243870405271</v>
      </c>
      <c r="G14" s="19" t="n">
        <f aca="false">G13/G8</f>
        <v>-0.000753185448579107</v>
      </c>
      <c r="H14" s="19" t="n">
        <f aca="false">H13/H8</f>
        <v>-0.00102436691799656</v>
      </c>
      <c r="I14" s="19" t="n">
        <f aca="false">I13/I8</f>
        <v>-0.000318462626916587</v>
      </c>
      <c r="J14" s="19" t="n">
        <f aca="false">J13/J8</f>
        <v>-0.000589660742621182</v>
      </c>
      <c r="K14" s="19" t="n">
        <f aca="false">K13/K8</f>
        <v>0.000763708758409472</v>
      </c>
      <c r="L14" s="19" t="n">
        <f aca="false">L13/L8</f>
        <v>-0.000668788649099925</v>
      </c>
      <c r="M14" s="19" t="n">
        <f aca="false">M13/M8</f>
        <v>-0.000132542386699072</v>
      </c>
      <c r="N14" s="19" t="n">
        <f aca="false">N13/N8</f>
        <v>-0.000177210154467687</v>
      </c>
    </row>
    <row r="15" customFormat="false" ht="12.75" hidden="false" customHeight="false" outlineLevel="0" collapsed="false">
      <c r="A15" s="5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8" t="s">
        <v>1</v>
      </c>
    </row>
    <row r="16" customFormat="false" ht="12.75" hidden="false" customHeight="false" outlineLevel="0" collapsed="false">
      <c r="A16" s="53" t="s">
        <v>26</v>
      </c>
      <c r="B16" s="18" t="n">
        <v>49367618</v>
      </c>
      <c r="C16" s="18" t="n">
        <v>49500953</v>
      </c>
      <c r="D16" s="18" t="n">
        <v>52494591</v>
      </c>
      <c r="E16" s="18" t="n">
        <v>44743883</v>
      </c>
      <c r="F16" s="18" t="n">
        <v>55158369</v>
      </c>
      <c r="G16" s="18" t="n">
        <v>51571722</v>
      </c>
      <c r="H16" s="18" t="n">
        <v>55346032</v>
      </c>
      <c r="I16" s="18" t="n">
        <v>56694530</v>
      </c>
      <c r="J16" s="18" t="n">
        <v>53117206</v>
      </c>
      <c r="K16" s="18" t="n">
        <v>53458381</v>
      </c>
      <c r="L16" s="18" t="n">
        <v>51629561</v>
      </c>
      <c r="M16" s="18" t="n">
        <v>56121622</v>
      </c>
      <c r="N16" s="18" t="n">
        <f aca="false">SUM(B16:M16)</f>
        <v>629204468</v>
      </c>
    </row>
    <row r="17" customFormat="false" ht="12.75" hidden="false" customHeight="false" outlineLevel="0" collapsed="false">
      <c r="A17" s="5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</row>
    <row r="18" customFormat="false" ht="12.75" hidden="false" customHeight="false" outlineLevel="0" collapsed="false">
      <c r="A18" s="53" t="s">
        <v>27</v>
      </c>
      <c r="B18" s="18" t="n">
        <v>49036560</v>
      </c>
      <c r="C18" s="18" t="n">
        <v>48847092</v>
      </c>
      <c r="D18" s="18" t="n">
        <v>51993234</v>
      </c>
      <c r="E18" s="18" t="n">
        <v>44435588</v>
      </c>
      <c r="F18" s="18" t="n">
        <v>54714831</v>
      </c>
      <c r="G18" s="18" t="n">
        <v>50866605</v>
      </c>
      <c r="H18" s="18" t="n">
        <v>54698357</v>
      </c>
      <c r="I18" s="18" t="n">
        <v>55951948</v>
      </c>
      <c r="J18" s="18" t="n">
        <v>52428485</v>
      </c>
      <c r="K18" s="18" t="n">
        <v>52841708</v>
      </c>
      <c r="L18" s="18" t="n">
        <v>51082934</v>
      </c>
      <c r="M18" s="18" t="n">
        <v>55452931</v>
      </c>
      <c r="N18" s="18" t="n">
        <f aca="false">SUM(B18:M18)</f>
        <v>622350273</v>
      </c>
    </row>
    <row r="19" customFormat="false" ht="12.75" hidden="false" customHeight="false" outlineLevel="0" collapsed="false">
      <c r="A19" s="53" t="s">
        <v>28</v>
      </c>
      <c r="B19" s="18" t="n">
        <v>554124</v>
      </c>
      <c r="C19" s="18" t="n">
        <v>505287</v>
      </c>
      <c r="D19" s="18" t="n">
        <v>543998</v>
      </c>
      <c r="E19" s="18" t="n">
        <v>424330</v>
      </c>
      <c r="F19" s="18" t="n">
        <v>534647</v>
      </c>
      <c r="G19" s="18" t="n">
        <v>551826</v>
      </c>
      <c r="H19" s="18" t="n">
        <v>605933</v>
      </c>
      <c r="I19" s="18" t="n">
        <v>602302</v>
      </c>
      <c r="J19" s="18" t="n">
        <v>568144</v>
      </c>
      <c r="K19" s="18" t="n">
        <v>651860</v>
      </c>
      <c r="L19" s="18" t="n">
        <v>493675</v>
      </c>
      <c r="M19" s="18" t="n">
        <v>635714</v>
      </c>
      <c r="N19" s="18" t="n">
        <f aca="false">SUM(B19:M19)</f>
        <v>6671840</v>
      </c>
    </row>
    <row r="20" customFormat="false" ht="12.75" hidden="false" customHeight="false" outlineLevel="0" collapsed="false">
      <c r="A20" s="53" t="s">
        <v>29</v>
      </c>
      <c r="B20" s="18" t="n">
        <v>-243979</v>
      </c>
      <c r="C20" s="18" t="n">
        <v>35932</v>
      </c>
      <c r="D20" s="18" t="n">
        <v>-15675</v>
      </c>
      <c r="E20" s="18" t="n">
        <v>-4177</v>
      </c>
      <c r="F20" s="18" t="n">
        <v>-55221</v>
      </c>
      <c r="G20" s="18" t="n">
        <v>86848</v>
      </c>
      <c r="H20" s="18" t="n">
        <v>-58455</v>
      </c>
      <c r="I20" s="18" t="n">
        <v>107934</v>
      </c>
      <c r="J20" s="18" t="n">
        <v>60400</v>
      </c>
      <c r="K20" s="18" t="n">
        <v>30132</v>
      </c>
      <c r="L20" s="18" t="n">
        <v>-13937</v>
      </c>
      <c r="M20" s="18" t="n">
        <v>15232</v>
      </c>
      <c r="N20" s="18" t="n">
        <f aca="false">SUM(B20:M20)</f>
        <v>-54966</v>
      </c>
    </row>
    <row r="21" customFormat="false" ht="12.75" hidden="false" customHeight="false" outlineLevel="0" collapsed="false">
      <c r="A21" s="53" t="s">
        <v>30</v>
      </c>
      <c r="B21" s="18" t="n">
        <v>7627</v>
      </c>
      <c r="C21" s="18" t="n">
        <v>4303</v>
      </c>
      <c r="D21" s="18" t="n">
        <v>0</v>
      </c>
      <c r="E21" s="18" t="n">
        <v>1136</v>
      </c>
      <c r="F21" s="18" t="n">
        <v>0</v>
      </c>
      <c r="G21" s="18" t="n">
        <v>0</v>
      </c>
      <c r="H21" s="18" t="n">
        <v>4802</v>
      </c>
      <c r="I21" s="18" t="n">
        <v>1398</v>
      </c>
      <c r="J21" s="18" t="n">
        <v>4459</v>
      </c>
      <c r="K21" s="18" t="n">
        <v>7280</v>
      </c>
      <c r="L21" s="18" t="n">
        <v>5810</v>
      </c>
      <c r="M21" s="18" t="n">
        <v>4498</v>
      </c>
      <c r="N21" s="18" t="n">
        <f aca="false">SUM(B21:M21)</f>
        <v>41313</v>
      </c>
    </row>
    <row r="22" customFormat="false" ht="12.75" hidden="false" customHeight="false" outlineLevel="0" collapsed="false">
      <c r="A22" s="53" t="s">
        <v>22</v>
      </c>
      <c r="B22" s="18" t="n">
        <f aca="false">SUM(B18:B21)</f>
        <v>49354332</v>
      </c>
      <c r="C22" s="18" t="n">
        <f aca="false">SUM(C18:C21)</f>
        <v>49392614</v>
      </c>
      <c r="D22" s="18" t="n">
        <f aca="false">SUM(D18:D21)</f>
        <v>52521557</v>
      </c>
      <c r="E22" s="18" t="n">
        <f aca="false">SUM(E18:E21)</f>
        <v>44856877</v>
      </c>
      <c r="F22" s="18" t="n">
        <f aca="false">SUM(F18:F21)</f>
        <v>55194257</v>
      </c>
      <c r="G22" s="18" t="n">
        <f aca="false">SUM(G18:G21)</f>
        <v>51505279</v>
      </c>
      <c r="H22" s="18" t="n">
        <f aca="false">SUM(H18:H21)</f>
        <v>55250637</v>
      </c>
      <c r="I22" s="18" t="n">
        <f aca="false">SUM(I18:I21)</f>
        <v>56663582</v>
      </c>
      <c r="J22" s="18" t="n">
        <f aca="false">SUM(J18:J21)</f>
        <v>53061488</v>
      </c>
      <c r="K22" s="18" t="n">
        <f aca="false">SUM(K18:K21)</f>
        <v>53530980</v>
      </c>
      <c r="L22" s="18" t="n">
        <f aca="false">SUM(L18:L21)</f>
        <v>51568482</v>
      </c>
      <c r="M22" s="18" t="n">
        <f aca="false">SUM(M18:M21)</f>
        <v>56108375</v>
      </c>
      <c r="N22" s="18" t="n">
        <f aca="false">SUM(B22:M22)</f>
        <v>629008460</v>
      </c>
    </row>
    <row r="23" customFormat="false" ht="12.75" hidden="false" customHeight="false" outlineLevel="0" collapsed="false">
      <c r="A23" s="53" t="s">
        <v>66</v>
      </c>
      <c r="B23" s="18" t="n">
        <f aca="false">-B16+B22</f>
        <v>-13286</v>
      </c>
      <c r="C23" s="18" t="n">
        <f aca="false">-C16+C22</f>
        <v>-108339</v>
      </c>
      <c r="D23" s="18" t="n">
        <f aca="false">-D16+D22</f>
        <v>26966</v>
      </c>
      <c r="E23" s="18" t="n">
        <f aca="false">-E16+E22</f>
        <v>112994</v>
      </c>
      <c r="F23" s="18" t="n">
        <f aca="false">-F16+F22</f>
        <v>35888</v>
      </c>
      <c r="G23" s="18" t="n">
        <f aca="false">-G16+G22</f>
        <v>-66443</v>
      </c>
      <c r="H23" s="18" t="n">
        <f aca="false">-H16+H22</f>
        <v>-95395</v>
      </c>
      <c r="I23" s="18" t="n">
        <f aca="false">-I16+I22</f>
        <v>-30948</v>
      </c>
      <c r="J23" s="18" t="n">
        <f aca="false">-J16+J22</f>
        <v>-55718</v>
      </c>
      <c r="K23" s="18" t="n">
        <f aca="false">-K16+K22</f>
        <v>72599</v>
      </c>
      <c r="L23" s="18" t="n">
        <f aca="false">-L16+L22</f>
        <v>-61079</v>
      </c>
      <c r="M23" s="18" t="n">
        <f aca="false">-M16+M22</f>
        <v>-13247</v>
      </c>
      <c r="N23" s="18" t="n">
        <f aca="false">SUM(B23:M23)</f>
        <v>-196008</v>
      </c>
    </row>
    <row r="24" customFormat="false" ht="12.75" hidden="false" customHeight="false" outlineLevel="0" collapsed="false">
      <c r="A24" s="54" t="s">
        <v>24</v>
      </c>
      <c r="B24" s="19" t="n">
        <f aca="false">B23/B16</f>
        <v>-0.000269123780693652</v>
      </c>
      <c r="C24" s="19" t="n">
        <f aca="false">C23/C16</f>
        <v>-0.00218862453011763</v>
      </c>
      <c r="D24" s="19" t="n">
        <f aca="false">D23/D16</f>
        <v>0.000513691020090051</v>
      </c>
      <c r="E24" s="19" t="n">
        <f aca="false">E23/E16</f>
        <v>0.00252535078370377</v>
      </c>
      <c r="F24" s="19" t="n">
        <f aca="false">F23/F16</f>
        <v>0.000650635627025157</v>
      </c>
      <c r="G24" s="19" t="n">
        <f aca="false">G23/G16</f>
        <v>-0.00128836109059922</v>
      </c>
      <c r="H24" s="19" t="n">
        <f aca="false">H23/H16</f>
        <v>-0.00172361046587766</v>
      </c>
      <c r="I24" s="19" t="n">
        <f aca="false">I23/I16</f>
        <v>-0.000545872767619733</v>
      </c>
      <c r="J24" s="19" t="n">
        <f aca="false">J23/J16</f>
        <v>-0.00104896330578834</v>
      </c>
      <c r="K24" s="19" t="n">
        <f aca="false">K23/K16</f>
        <v>0.00135804711332354</v>
      </c>
      <c r="L24" s="19" t="n">
        <f aca="false">L23/L16</f>
        <v>-0.0011830238107196</v>
      </c>
      <c r="M24" s="19" t="n">
        <f aca="false">M23/M16</f>
        <v>-0.000236040932672972</v>
      </c>
      <c r="N24" s="19" t="n">
        <f aca="false">N23/N16</f>
        <v>-0.000311517177592579</v>
      </c>
    </row>
  </sheetData>
  <printOptions headings="false" gridLines="true" gridLinesSet="true" horizontalCentered="true" verticalCentered="true"/>
  <pageMargins left="0.747916666666667" right="0.747916666666667" top="0.984027777777778" bottom="0.984027777777778" header="0.5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DTH Calendar Year History 2000</oddHeader>
    <oddFooter>&amp;L&amp;F&amp;C&amp;N&amp;R&amp;D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9.56"/>
    <col collapsed="false" customWidth="true" hidden="true" outlineLevel="0" max="10" min="2" style="40" width="11.56"/>
    <col collapsed="false" customWidth="true" hidden="false" outlineLevel="0" max="22" min="11" style="40" width="11.56"/>
    <col collapsed="false" customWidth="true" hidden="false" outlineLevel="0" max="23" min="23" style="40" width="11.7"/>
    <col collapsed="false" customWidth="true" hidden="false" outlineLevel="0" max="24" min="24" style="40" width="11.28"/>
    <col collapsed="false" customWidth="false" hidden="false" outlineLevel="0" max="257" min="25" style="40" width="9.14"/>
  </cols>
  <sheetData>
    <row r="1" customFormat="false" ht="12" hidden="false" customHeight="true" outlineLevel="0" collapsed="false">
      <c r="A1" s="41" t="s">
        <v>64</v>
      </c>
      <c r="B1" s="18"/>
      <c r="C1" s="18"/>
      <c r="D1" s="18"/>
      <c r="E1" s="18"/>
      <c r="F1" s="18" t="s">
        <v>1</v>
      </c>
      <c r="G1" s="18"/>
      <c r="H1" s="18"/>
      <c r="I1" s="42"/>
      <c r="J1" s="42"/>
      <c r="K1" s="18"/>
      <c r="L1" s="18" t="s">
        <v>2</v>
      </c>
      <c r="M1" s="43" t="n">
        <f aca="true">NOW()</f>
        <v>45926.9288977651</v>
      </c>
      <c r="N1" s="43"/>
      <c r="O1" s="43"/>
      <c r="P1" s="43"/>
      <c r="Q1" s="43"/>
      <c r="R1" s="43"/>
      <c r="S1" s="43"/>
      <c r="T1" s="43"/>
      <c r="U1" s="43"/>
      <c r="V1" s="43"/>
      <c r="W1" s="18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3</v>
      </c>
      <c r="B2" s="18"/>
      <c r="C2" s="18"/>
      <c r="D2" s="18"/>
      <c r="E2" s="18"/>
      <c r="F2" s="18"/>
      <c r="G2" s="18"/>
      <c r="H2" s="18"/>
      <c r="I2" s="42"/>
      <c r="J2" s="42"/>
      <c r="K2" s="18"/>
      <c r="L2" s="18" t="s">
        <v>4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2" hidden="false" customHeight="true" outlineLevel="0" collapsed="false">
      <c r="A4" s="4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1"/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4" t="s">
        <v>17</v>
      </c>
      <c r="N5" s="44" t="s">
        <v>6</v>
      </c>
      <c r="O5" s="44" t="s">
        <v>7</v>
      </c>
      <c r="P5" s="44" t="s">
        <v>8</v>
      </c>
      <c r="Q5" s="44" t="s">
        <v>9</v>
      </c>
      <c r="R5" s="44" t="s">
        <v>10</v>
      </c>
      <c r="S5" s="44" t="s">
        <v>11</v>
      </c>
      <c r="T5" s="44" t="s">
        <v>12</v>
      </c>
      <c r="U5" s="44" t="s">
        <v>13</v>
      </c>
      <c r="V5" s="44" t="s">
        <v>14</v>
      </c>
      <c r="W5" s="45" t="s">
        <v>18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1"/>
      <c r="B6" s="44" t="n">
        <v>2000</v>
      </c>
      <c r="C6" s="44" t="n">
        <v>2000</v>
      </c>
      <c r="D6" s="44" t="n">
        <v>2000</v>
      </c>
      <c r="E6" s="44" t="n">
        <v>2000</v>
      </c>
      <c r="F6" s="44" t="n">
        <v>2000</v>
      </c>
      <c r="G6" s="44" t="n">
        <v>2000</v>
      </c>
      <c r="H6" s="44" t="n">
        <v>2000</v>
      </c>
      <c r="I6" s="44" t="n">
        <v>2000</v>
      </c>
      <c r="J6" s="44" t="n">
        <v>2000</v>
      </c>
      <c r="K6" s="44" t="n">
        <v>2001</v>
      </c>
      <c r="L6" s="44" t="n">
        <v>2001</v>
      </c>
      <c r="M6" s="44" t="n">
        <v>2001</v>
      </c>
      <c r="N6" s="44" t="n">
        <v>2001</v>
      </c>
      <c r="O6" s="44" t="n">
        <v>2001</v>
      </c>
      <c r="P6" s="44" t="n">
        <v>2001</v>
      </c>
      <c r="Q6" s="44" t="n">
        <v>2001</v>
      </c>
      <c r="R6" s="44" t="n">
        <v>2001</v>
      </c>
      <c r="S6" s="44" t="n">
        <v>2001</v>
      </c>
      <c r="T6" s="44" t="n">
        <v>2001</v>
      </c>
      <c r="U6" s="44" t="n">
        <v>2001</v>
      </c>
      <c r="V6" s="44" t="n">
        <v>2001</v>
      </c>
      <c r="W6" s="45" t="s">
        <v>19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2" hidden="false" customHeight="true" outlineLevel="0" collapsed="false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8"/>
      <c r="X7" s="17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2" hidden="false" customHeight="true" outlineLevel="0" collapsed="false">
      <c r="A8" s="41" t="s">
        <v>20</v>
      </c>
      <c r="B8" s="46" t="n">
        <v>81717385</v>
      </c>
      <c r="C8" s="46" t="n">
        <v>95960945</v>
      </c>
      <c r="D8" s="46" t="n">
        <v>86152339</v>
      </c>
      <c r="E8" s="46" t="n">
        <v>90880664</v>
      </c>
      <c r="F8" s="46" t="n">
        <v>94776094</v>
      </c>
      <c r="G8" s="46" t="n">
        <v>91841448</v>
      </c>
      <c r="H8" s="46" t="n">
        <v>92800937</v>
      </c>
      <c r="I8" s="46" t="n">
        <v>89259163</v>
      </c>
      <c r="J8" s="46" t="n">
        <v>97237997</v>
      </c>
      <c r="K8" s="46" t="n">
        <v>100779475</v>
      </c>
      <c r="L8" s="46" t="n">
        <v>91861489</v>
      </c>
      <c r="M8" s="46" t="n">
        <v>99038483</v>
      </c>
      <c r="N8" s="46" t="n">
        <f aca="false">54098141+27424388</f>
        <v>81522529</v>
      </c>
      <c r="O8" s="46" t="n">
        <f aca="false">55705625+30581089</f>
        <v>86286714</v>
      </c>
      <c r="P8" s="46" t="n">
        <f aca="false">56237239+28131426</f>
        <v>84368665</v>
      </c>
      <c r="Q8" s="46" t="n">
        <f aca="false">57339300+31127927</f>
        <v>88467227</v>
      </c>
      <c r="R8" s="46" t="n">
        <f aca="false">58687977+31510250</f>
        <v>90198227</v>
      </c>
      <c r="S8" s="46" t="n">
        <f aca="false">53750305+31111300</f>
        <v>84861605</v>
      </c>
      <c r="T8" s="46" t="n">
        <f aca="false">56154816+32385757</f>
        <v>88540573</v>
      </c>
      <c r="U8" s="46" t="n">
        <f aca="false">52313502+33510261</f>
        <v>85823763</v>
      </c>
      <c r="V8" s="46" t="n">
        <f aca="false">52034362+31550447</f>
        <v>83584809</v>
      </c>
      <c r="W8" s="18" t="n">
        <f aca="false">SUM(K8:V8)</f>
        <v>1065333559</v>
      </c>
      <c r="X8" s="46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2" hidden="false" customHeight="true" outlineLevel="0" collapsed="false">
      <c r="A9" s="41" t="s">
        <v>21</v>
      </c>
      <c r="B9" s="46" t="n">
        <v>81360611</v>
      </c>
      <c r="C9" s="46" t="n">
        <v>95457532</v>
      </c>
      <c r="D9" s="46" t="n">
        <v>85493481</v>
      </c>
      <c r="E9" s="46" t="n">
        <v>90276072</v>
      </c>
      <c r="F9" s="46" t="n">
        <v>94050011</v>
      </c>
      <c r="G9" s="46" t="n">
        <v>91170003</v>
      </c>
      <c r="H9" s="46" t="n">
        <v>92163364</v>
      </c>
      <c r="I9" s="46" t="n">
        <v>88717991</v>
      </c>
      <c r="J9" s="46" t="n">
        <v>96587769</v>
      </c>
      <c r="K9" s="46" t="n">
        <v>100209794</v>
      </c>
      <c r="L9" s="46" t="n">
        <v>91262582</v>
      </c>
      <c r="M9" s="46" t="n">
        <v>98458713</v>
      </c>
      <c r="N9" s="46" t="n">
        <f aca="false">54261649+27424388</f>
        <v>81686037</v>
      </c>
      <c r="O9" s="46" t="n">
        <f aca="false">55896863+30581089</f>
        <v>86477952</v>
      </c>
      <c r="P9" s="46" t="n">
        <f aca="false">56473937+28131426</f>
        <v>84605363</v>
      </c>
      <c r="Q9" s="46" t="n">
        <f aca="false">57373878+31127927</f>
        <v>88501805</v>
      </c>
      <c r="R9" s="46" t="n">
        <f aca="false">58730174+31510250</f>
        <v>90240424</v>
      </c>
      <c r="S9" s="46" t="n">
        <f aca="false">53690678+31111300</f>
        <v>84801978</v>
      </c>
      <c r="T9" s="46" t="n">
        <f aca="false">56228013+32385757</f>
        <v>88613770</v>
      </c>
      <c r="U9" s="46" t="n">
        <f aca="false">52294368+33510261</f>
        <v>85804629</v>
      </c>
      <c r="V9" s="46" t="n">
        <f aca="false">52061698+31550447</f>
        <v>83612145</v>
      </c>
      <c r="W9" s="18" t="n">
        <f aca="false">SUM(K9:V9)</f>
        <v>1064275192</v>
      </c>
      <c r="X9" s="46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2" hidden="false" customHeight="true" outlineLevel="0" collapsed="false">
      <c r="A10" s="41" t="s">
        <v>22</v>
      </c>
      <c r="B10" s="18" t="n">
        <f aca="false">+B9+B19+B20+B21</f>
        <v>81775041</v>
      </c>
      <c r="C10" s="18" t="n">
        <f aca="false">+C9+C19+C20+C21</f>
        <v>95927133</v>
      </c>
      <c r="D10" s="18" t="n">
        <f aca="false">+D9+D19+D20+D21</f>
        <v>86120635</v>
      </c>
      <c r="E10" s="18" t="n">
        <f aca="false">+E9+E19+E20+E21</f>
        <v>90820017</v>
      </c>
      <c r="F10" s="18" t="n">
        <f aca="false">+F9+F19+F20+F21</f>
        <v>94740237</v>
      </c>
      <c r="G10" s="18" t="n">
        <f aca="false">+G9+G19+G20+G21</f>
        <v>91780446</v>
      </c>
      <c r="H10" s="18" t="n">
        <f aca="false">+H9+H19+H20+H21</f>
        <v>92831299</v>
      </c>
      <c r="I10" s="18" t="n">
        <f aca="false">+I9+I19+I20+I21</f>
        <v>89186628</v>
      </c>
      <c r="J10" s="18" t="n">
        <f aca="false">+J9+J19+J20+J21</f>
        <v>97220687</v>
      </c>
      <c r="K10" s="18" t="n">
        <f aca="false">+K9+K19+K20+K21</f>
        <v>100813466</v>
      </c>
      <c r="L10" s="18" t="n">
        <f aca="false">+L9+L19+L20+L21</f>
        <v>91849453</v>
      </c>
      <c r="M10" s="18" t="n">
        <f aca="false">+M9+M19+M20+M21</f>
        <v>99193098</v>
      </c>
      <c r="N10" s="18" t="n">
        <f aca="false">+N9+N19+N20+N21</f>
        <v>81686037</v>
      </c>
      <c r="O10" s="18" t="n">
        <f aca="false">+O9+O19+O20+O21</f>
        <v>86477952</v>
      </c>
      <c r="P10" s="18" t="n">
        <f aca="false">+P9+P19+P20+P21</f>
        <v>84605363</v>
      </c>
      <c r="Q10" s="18" t="n">
        <f aca="false">+Q9+Q19+Q20+Q21</f>
        <v>88501805</v>
      </c>
      <c r="R10" s="18" t="n">
        <f aca="false">+R9+R19+R20+R21</f>
        <v>90240424</v>
      </c>
      <c r="S10" s="18" t="n">
        <f aca="false">+S9+S19+S20+S21</f>
        <v>84801978</v>
      </c>
      <c r="T10" s="18" t="n">
        <f aca="false">+T9+T19+T20+T21</f>
        <v>88613770</v>
      </c>
      <c r="U10" s="18" t="n">
        <f aca="false">+U9+U19+U20+U21</f>
        <v>85804629</v>
      </c>
      <c r="V10" s="18" t="n">
        <f aca="false">+V9+V19+V20+V21</f>
        <v>83612145</v>
      </c>
      <c r="W10" s="18" t="n">
        <f aca="false">SUM(K10:V10)</f>
        <v>1066200120</v>
      </c>
      <c r="X10" s="18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2" hidden="false" customHeight="true" outlineLevel="0" collapsed="false">
      <c r="A11" s="41" t="s">
        <v>23</v>
      </c>
      <c r="B11" s="18" t="n">
        <f aca="false">-B8+B10</f>
        <v>57656</v>
      </c>
      <c r="C11" s="18" t="n">
        <f aca="false">-C8+C10</f>
        <v>-33812</v>
      </c>
      <c r="D11" s="18" t="n">
        <f aca="false">-D8+D10</f>
        <v>-31704</v>
      </c>
      <c r="E11" s="18" t="n">
        <f aca="false">-E8+E10</f>
        <v>-60647</v>
      </c>
      <c r="F11" s="18" t="n">
        <f aca="false">-F8+F10</f>
        <v>-35857</v>
      </c>
      <c r="G11" s="18" t="n">
        <f aca="false">-G8+G10</f>
        <v>-61002</v>
      </c>
      <c r="H11" s="18" t="n">
        <f aca="false">-H8+H10</f>
        <v>30362</v>
      </c>
      <c r="I11" s="18" t="n">
        <f aca="false">-I8+I10</f>
        <v>-72535</v>
      </c>
      <c r="J11" s="18" t="n">
        <f aca="false">-J8+J10</f>
        <v>-17310</v>
      </c>
      <c r="K11" s="18" t="n">
        <f aca="false">-K8+K10</f>
        <v>33991</v>
      </c>
      <c r="L11" s="18" t="n">
        <f aca="false">-L8+L10</f>
        <v>-12036</v>
      </c>
      <c r="M11" s="18" t="n">
        <f aca="false">-M8+M10</f>
        <v>154615</v>
      </c>
      <c r="N11" s="18" t="n">
        <f aca="false">-N8+N10</f>
        <v>163508</v>
      </c>
      <c r="O11" s="18" t="n">
        <f aca="false">-O8+O10</f>
        <v>191238</v>
      </c>
      <c r="P11" s="18" t="n">
        <f aca="false">-P8+P10</f>
        <v>236698</v>
      </c>
      <c r="Q11" s="18" t="n">
        <f aca="false">-Q8+Q10</f>
        <v>34578</v>
      </c>
      <c r="R11" s="18" t="n">
        <f aca="false">-R8+R10</f>
        <v>42197</v>
      </c>
      <c r="S11" s="18" t="n">
        <f aca="false">-S8+S10</f>
        <v>-59627</v>
      </c>
      <c r="T11" s="18" t="n">
        <f aca="false">-T8+T10</f>
        <v>73197</v>
      </c>
      <c r="U11" s="18" t="n">
        <f aca="false">-U8+U10</f>
        <v>-19134</v>
      </c>
      <c r="V11" s="18" t="n">
        <f aca="false">-V8+V10</f>
        <v>27336</v>
      </c>
      <c r="W11" s="18" t="n">
        <f aca="false">SUM(K11:V11)</f>
        <v>866561</v>
      </c>
      <c r="X11" s="18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2" hidden="false" customHeight="true" outlineLevel="0" collapsed="false">
      <c r="A12" s="47" t="s">
        <v>24</v>
      </c>
      <c r="B12" s="19" t="n">
        <f aca="false">2*B11/(B8+B10)</f>
        <v>0.00070530484390757</v>
      </c>
      <c r="C12" s="19" t="n">
        <f aca="false">2*C11/(C8+C10)</f>
        <v>-0.000352413764861411</v>
      </c>
      <c r="D12" s="19" t="n">
        <f aca="false">2*D11/(D8+D10)</f>
        <v>-0.000368067019032248</v>
      </c>
      <c r="E12" s="19" t="n">
        <f aca="false">2*E11/(E8+E10)</f>
        <v>-0.00066754840616145</v>
      </c>
      <c r="F12" s="19" t="n">
        <f aca="false">2*F11/(F8+F10)</f>
        <v>-0.00037840538396662</v>
      </c>
      <c r="G12" s="19" t="n">
        <f aca="false">G11/G8</f>
        <v>-0.000664209910976142</v>
      </c>
      <c r="H12" s="19" t="n">
        <f aca="false">H11/H8</f>
        <v>0.000327173420673543</v>
      </c>
      <c r="I12" s="19" t="n">
        <f aca="false">I11/I8</f>
        <v>-0.000812633656446005</v>
      </c>
      <c r="J12" s="19" t="n">
        <f aca="false">J11/J8</f>
        <v>-0.000178016830190363</v>
      </c>
      <c r="K12" s="19" t="n">
        <f aca="false">K11/K8</f>
        <v>0.000337280979088252</v>
      </c>
      <c r="L12" s="19" t="n">
        <f aca="false">L11/L8</f>
        <v>-0.000131023349730375</v>
      </c>
      <c r="M12" s="19" t="n">
        <f aca="false">M11/M8</f>
        <v>0.00156116082674651</v>
      </c>
      <c r="N12" s="19" t="n">
        <f aca="false">N11/N8</f>
        <v>0.0020056787001787</v>
      </c>
      <c r="O12" s="19" t="n">
        <f aca="false">O11/O8</f>
        <v>0.00221630875872733</v>
      </c>
      <c r="P12" s="19" t="n">
        <f aca="false">P11/P8</f>
        <v>0.002805520272248</v>
      </c>
      <c r="Q12" s="19" t="n">
        <f aca="false">Q11/Q8</f>
        <v>0.000390856605011481</v>
      </c>
      <c r="R12" s="19" t="n">
        <f aca="false">R11/R8</f>
        <v>0.000467825160244003</v>
      </c>
      <c r="S12" s="19" t="n">
        <f aca="false">S11/S8</f>
        <v>-0.000702638136528292</v>
      </c>
      <c r="T12" s="19" t="n">
        <f aca="false">T11/T8</f>
        <v>0.000826705740881076</v>
      </c>
      <c r="U12" s="19" t="n">
        <f aca="false">U11/U8</f>
        <v>-0.000222945246528051</v>
      </c>
      <c r="V12" s="19" t="n">
        <f aca="false">V11/V8</f>
        <v>0.000327045073465443</v>
      </c>
      <c r="W12" s="19" t="n">
        <f aca="false">W11/W8</f>
        <v>0.000813417537333019</v>
      </c>
      <c r="X12" s="19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2" hidden="false" customHeight="true" outlineLevel="0" collapsed="false">
      <c r="A13" s="41" t="s">
        <v>25</v>
      </c>
      <c r="B13" s="18" t="n">
        <f aca="false">-B8+B10</f>
        <v>57656</v>
      </c>
      <c r="C13" s="18" t="n">
        <f aca="false">-C8+C10</f>
        <v>-33812</v>
      </c>
      <c r="D13" s="18" t="n">
        <f aca="false">-D8+D10</f>
        <v>-31704</v>
      </c>
      <c r="E13" s="18" t="n">
        <f aca="false">-E8+E10</f>
        <v>-60647</v>
      </c>
      <c r="F13" s="18" t="n">
        <f aca="false">-F8+F10</f>
        <v>-35857</v>
      </c>
      <c r="G13" s="18" t="n">
        <f aca="false">-G8+G10</f>
        <v>-61002</v>
      </c>
      <c r="H13" s="18" t="n">
        <f aca="false">-H8+H10</f>
        <v>30362</v>
      </c>
      <c r="I13" s="18" t="n">
        <f aca="false">-I8+I10</f>
        <v>-72535</v>
      </c>
      <c r="J13" s="18" t="n">
        <f aca="false">-J8+J10</f>
        <v>-17310</v>
      </c>
      <c r="K13" s="18" t="n">
        <f aca="false">-K8+K10</f>
        <v>33991</v>
      </c>
      <c r="L13" s="18" t="n">
        <f aca="false">-L8+L10</f>
        <v>-12036</v>
      </c>
      <c r="M13" s="18" t="n">
        <f aca="false">-M8+M10</f>
        <v>154615</v>
      </c>
      <c r="N13" s="18" t="n">
        <f aca="false">-N8+N10</f>
        <v>163508</v>
      </c>
      <c r="O13" s="18" t="n">
        <f aca="false">-O8+O10</f>
        <v>191238</v>
      </c>
      <c r="P13" s="18" t="n">
        <f aca="false">-P8+P10</f>
        <v>236698</v>
      </c>
      <c r="Q13" s="18" t="n">
        <f aca="false">-Q8+Q10</f>
        <v>34578</v>
      </c>
      <c r="R13" s="18" t="n">
        <f aca="false">-R8+R10</f>
        <v>42197</v>
      </c>
      <c r="S13" s="18" t="n">
        <f aca="false">-S8+S10</f>
        <v>-59627</v>
      </c>
      <c r="T13" s="18" t="n">
        <f aca="false">-T8+T10</f>
        <v>73197</v>
      </c>
      <c r="U13" s="18" t="n">
        <f aca="false">-U8+U10</f>
        <v>-19134</v>
      </c>
      <c r="V13" s="18" t="n">
        <f aca="false">-V8+V10</f>
        <v>27336</v>
      </c>
      <c r="W13" s="18" t="n">
        <f aca="false">SUM(K13:V13)</f>
        <v>866561</v>
      </c>
      <c r="X13" s="18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7" t="s">
        <v>24</v>
      </c>
      <c r="B14" s="19" t="n">
        <f aca="false">2*B13/(B8+B10)</f>
        <v>0.00070530484390757</v>
      </c>
      <c r="C14" s="19" t="n">
        <f aca="false">2*C13/(C8+C10)</f>
        <v>-0.000352413764861411</v>
      </c>
      <c r="D14" s="19" t="n">
        <f aca="false">2*D13/(D8+D10)</f>
        <v>-0.000368067019032248</v>
      </c>
      <c r="E14" s="19" t="n">
        <f aca="false">2*E13/(E8+E10)</f>
        <v>-0.00066754840616145</v>
      </c>
      <c r="F14" s="19" t="n">
        <f aca="false">2*F13/(F8+F10)</f>
        <v>-0.00037840538396662</v>
      </c>
      <c r="G14" s="19" t="n">
        <f aca="false">G13/G8</f>
        <v>-0.000664209910976142</v>
      </c>
      <c r="H14" s="19" t="n">
        <f aca="false">H13/H8</f>
        <v>0.000327173420673543</v>
      </c>
      <c r="I14" s="19" t="n">
        <f aca="false">I13/I8</f>
        <v>-0.000812633656446005</v>
      </c>
      <c r="J14" s="19" t="n">
        <f aca="false">J13/J8</f>
        <v>-0.000178016830190363</v>
      </c>
      <c r="K14" s="19" t="n">
        <f aca="false">K13/K8</f>
        <v>0.000337280979088252</v>
      </c>
      <c r="L14" s="19" t="n">
        <f aca="false">L13/L8</f>
        <v>-0.000131023349730375</v>
      </c>
      <c r="M14" s="19" t="n">
        <f aca="false">M13/M8</f>
        <v>0.00156116082674651</v>
      </c>
      <c r="N14" s="19" t="n">
        <f aca="false">N13/N8</f>
        <v>0.0020056787001787</v>
      </c>
      <c r="O14" s="19" t="n">
        <f aca="false">O13/O8</f>
        <v>0.00221630875872733</v>
      </c>
      <c r="P14" s="19" t="n">
        <f aca="false">P13/P8</f>
        <v>0.002805520272248</v>
      </c>
      <c r="Q14" s="19" t="n">
        <f aca="false">Q13/Q8</f>
        <v>0.000390856605011481</v>
      </c>
      <c r="R14" s="19" t="n">
        <f aca="false">R13/R8</f>
        <v>0.000467825160244003</v>
      </c>
      <c r="S14" s="19" t="n">
        <f aca="false">S13/S8</f>
        <v>-0.000702638136528292</v>
      </c>
      <c r="T14" s="19" t="n">
        <f aca="false">T13/T8</f>
        <v>0.000826705740881076</v>
      </c>
      <c r="U14" s="19" t="n">
        <f aca="false">U13/U8</f>
        <v>-0.000222945246528051</v>
      </c>
      <c r="V14" s="19" t="n">
        <f aca="false">V13/V8</f>
        <v>0.000327045073465443</v>
      </c>
      <c r="W14" s="19" t="n">
        <f aca="false">W13/W8</f>
        <v>0.000813417537333019</v>
      </c>
      <c r="X14" s="19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2" hidden="false" customHeight="true" outlineLevel="0" collapsed="false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8" t="s">
        <v>1</v>
      </c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2" hidden="false" customHeight="true" outlineLevel="0" collapsed="false">
      <c r="A16" s="41" t="s">
        <v>26</v>
      </c>
      <c r="B16" s="18" t="n">
        <v>43866235</v>
      </c>
      <c r="C16" s="18" t="n">
        <v>54191452</v>
      </c>
      <c r="D16" s="18" t="n">
        <v>50655594</v>
      </c>
      <c r="E16" s="18" t="n">
        <v>54316515</v>
      </c>
      <c r="F16" s="18" t="n">
        <v>55523833</v>
      </c>
      <c r="G16" s="18" t="n">
        <v>51981580</v>
      </c>
      <c r="H16" s="18" t="n">
        <v>52487102</v>
      </c>
      <c r="I16" s="18" t="n">
        <v>50758353</v>
      </c>
      <c r="J16" s="18" t="n">
        <v>54945696</v>
      </c>
      <c r="K16" s="18" t="n">
        <v>55069548</v>
      </c>
      <c r="L16" s="18" t="n">
        <v>49885476</v>
      </c>
      <c r="M16" s="18" t="n">
        <v>55438477</v>
      </c>
      <c r="N16" s="18" t="n">
        <v>54098141</v>
      </c>
      <c r="O16" s="18" t="n">
        <v>55705625</v>
      </c>
      <c r="P16" s="18" t="n">
        <v>56237239</v>
      </c>
      <c r="Q16" s="18" t="n">
        <v>57339300</v>
      </c>
      <c r="R16" s="18" t="n">
        <v>58687977</v>
      </c>
      <c r="S16" s="18" t="n">
        <v>53750305</v>
      </c>
      <c r="T16" s="18" t="n">
        <v>56154816</v>
      </c>
      <c r="U16" s="18" t="n">
        <v>52313502</v>
      </c>
      <c r="V16" s="18" t="n">
        <v>52034362</v>
      </c>
      <c r="W16" s="18" t="n">
        <f aca="false">SUM(K16:V16)</f>
        <v>656714768</v>
      </c>
      <c r="X16" s="18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2" hidden="false" customHeight="true" outlineLevel="0" collapsed="false">
      <c r="A17" s="4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 t="s">
        <v>1</v>
      </c>
      <c r="X17" s="18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2" hidden="false" customHeight="true" outlineLevel="0" collapsed="false">
      <c r="A18" s="41" t="s">
        <v>27</v>
      </c>
      <c r="B18" s="18" t="n">
        <v>43509461</v>
      </c>
      <c r="C18" s="18" t="n">
        <v>53688039</v>
      </c>
      <c r="D18" s="18" t="n">
        <v>49996736</v>
      </c>
      <c r="E18" s="18" t="n">
        <v>53711923</v>
      </c>
      <c r="F18" s="18" t="n">
        <v>54797750</v>
      </c>
      <c r="G18" s="18" t="n">
        <v>51310135</v>
      </c>
      <c r="H18" s="18" t="n">
        <v>51849529</v>
      </c>
      <c r="I18" s="18" t="n">
        <v>50217181</v>
      </c>
      <c r="J18" s="18" t="n">
        <v>54295468</v>
      </c>
      <c r="K18" s="18" t="n">
        <v>54499867</v>
      </c>
      <c r="L18" s="18" t="n">
        <v>49286569</v>
      </c>
      <c r="M18" s="18" t="n">
        <v>54858707</v>
      </c>
      <c r="N18" s="18" t="n">
        <v>54261649</v>
      </c>
      <c r="O18" s="18" t="n">
        <v>55896863</v>
      </c>
      <c r="P18" s="18" t="n">
        <v>56473937</v>
      </c>
      <c r="Q18" s="18" t="n">
        <v>57373878</v>
      </c>
      <c r="R18" s="18" t="n">
        <v>58730174</v>
      </c>
      <c r="S18" s="18" t="n">
        <v>53690678</v>
      </c>
      <c r="T18" s="18" t="n">
        <v>56228013</v>
      </c>
      <c r="U18" s="18" t="n">
        <v>52294368</v>
      </c>
      <c r="V18" s="18" t="n">
        <v>52061698</v>
      </c>
      <c r="W18" s="18" t="n">
        <f aca="false">SUM(K18:V18)</f>
        <v>655656401</v>
      </c>
      <c r="X18" s="18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2" hidden="false" customHeight="true" outlineLevel="0" collapsed="false">
      <c r="A19" s="41" t="s">
        <v>28</v>
      </c>
      <c r="B19" s="18" t="n">
        <v>415755</v>
      </c>
      <c r="C19" s="18" t="n">
        <v>525516</v>
      </c>
      <c r="D19" s="18" t="n">
        <v>541891</v>
      </c>
      <c r="E19" s="18" t="n">
        <v>593016</v>
      </c>
      <c r="F19" s="18" t="n">
        <v>587942</v>
      </c>
      <c r="G19" s="18" t="n">
        <v>553462</v>
      </c>
      <c r="H19" s="18" t="n">
        <v>636417</v>
      </c>
      <c r="I19" s="18" t="n">
        <v>482999</v>
      </c>
      <c r="J19" s="18" t="n">
        <v>618661</v>
      </c>
      <c r="K19" s="18" t="n">
        <v>617427</v>
      </c>
      <c r="L19" s="18" t="n">
        <v>554738</v>
      </c>
      <c r="M19" s="18" t="n">
        <v>622965</v>
      </c>
      <c r="N19" s="18" t="n">
        <v>0</v>
      </c>
      <c r="O19" s="18" t="n">
        <v>0</v>
      </c>
      <c r="P19" s="18" t="n">
        <v>0</v>
      </c>
      <c r="Q19" s="18" t="n">
        <v>0</v>
      </c>
      <c r="R19" s="18" t="n">
        <v>0</v>
      </c>
      <c r="S19" s="18" t="n">
        <v>0</v>
      </c>
      <c r="T19" s="18" t="n">
        <v>0</v>
      </c>
      <c r="U19" s="18" t="n">
        <v>0</v>
      </c>
      <c r="V19" s="18" t="n">
        <v>0</v>
      </c>
      <c r="W19" s="18" t="n">
        <f aca="false">SUM(K19:V19)</f>
        <v>1795130</v>
      </c>
      <c r="X19" s="18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2" hidden="false" customHeight="true" outlineLevel="0" collapsed="false">
      <c r="A20" s="41" t="s">
        <v>29</v>
      </c>
      <c r="B20" s="18" t="n">
        <v>-1512</v>
      </c>
      <c r="C20" s="18" t="n">
        <v>-55915</v>
      </c>
      <c r="D20" s="18" t="n">
        <v>85263</v>
      </c>
      <c r="E20" s="18" t="n">
        <v>-49860</v>
      </c>
      <c r="F20" s="18" t="n">
        <v>102054</v>
      </c>
      <c r="G20" s="18" t="n">
        <v>56172</v>
      </c>
      <c r="H20" s="18" t="n">
        <v>30197</v>
      </c>
      <c r="I20" s="18" t="n">
        <v>-15395</v>
      </c>
      <c r="J20" s="18" t="n">
        <v>13470</v>
      </c>
      <c r="K20" s="18" t="n">
        <v>-15345</v>
      </c>
      <c r="L20" s="18" t="n">
        <v>31455</v>
      </c>
      <c r="M20" s="18" t="n">
        <v>105722</v>
      </c>
      <c r="N20" s="18" t="n">
        <v>0</v>
      </c>
      <c r="O20" s="18" t="n">
        <v>0</v>
      </c>
      <c r="P20" s="18" t="n">
        <v>0</v>
      </c>
      <c r="Q20" s="18" t="n">
        <v>0</v>
      </c>
      <c r="R20" s="18" t="n">
        <v>0</v>
      </c>
      <c r="S20" s="18" t="n">
        <v>0</v>
      </c>
      <c r="T20" s="18" t="n">
        <v>0</v>
      </c>
      <c r="U20" s="18" t="n">
        <v>0</v>
      </c>
      <c r="V20" s="18" t="n">
        <v>0</v>
      </c>
      <c r="W20" s="18" t="n">
        <f aca="false">SUM(K20:V20)</f>
        <v>121832</v>
      </c>
      <c r="X20" s="18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2" hidden="false" customHeight="true" outlineLevel="0" collapsed="false">
      <c r="A21" s="41" t="s">
        <v>30</v>
      </c>
      <c r="B21" s="18" t="n">
        <v>187</v>
      </c>
      <c r="C21" s="18" t="n">
        <v>0</v>
      </c>
      <c r="D21" s="18" t="n">
        <v>0</v>
      </c>
      <c r="E21" s="18" t="n">
        <v>789</v>
      </c>
      <c r="F21" s="18" t="n">
        <v>230</v>
      </c>
      <c r="G21" s="18" t="n">
        <v>809</v>
      </c>
      <c r="H21" s="18" t="n">
        <v>1321</v>
      </c>
      <c r="I21" s="18" t="n">
        <v>1033</v>
      </c>
      <c r="J21" s="18" t="n">
        <v>787</v>
      </c>
      <c r="K21" s="18" t="n">
        <v>1590</v>
      </c>
      <c r="L21" s="18" t="n">
        <v>678</v>
      </c>
      <c r="M21" s="18" t="n">
        <v>5698</v>
      </c>
      <c r="N21" s="18" t="n">
        <v>0</v>
      </c>
      <c r="O21" s="18" t="n">
        <v>0</v>
      </c>
      <c r="P21" s="18" t="n">
        <v>0</v>
      </c>
      <c r="Q21" s="18" t="n">
        <v>0</v>
      </c>
      <c r="R21" s="18" t="n">
        <v>0</v>
      </c>
      <c r="S21" s="18" t="n">
        <v>0</v>
      </c>
      <c r="T21" s="18" t="n">
        <v>0</v>
      </c>
      <c r="U21" s="18" t="n">
        <v>0</v>
      </c>
      <c r="V21" s="18" t="n">
        <v>0</v>
      </c>
      <c r="W21" s="18" t="n">
        <f aca="false">SUM(K21:V21)</f>
        <v>7966</v>
      </c>
      <c r="X21" s="18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2" hidden="false" customHeight="true" outlineLevel="0" collapsed="false">
      <c r="A22" s="41" t="s">
        <v>22</v>
      </c>
      <c r="B22" s="18" t="n">
        <f aca="false">SUM(B18:B21)</f>
        <v>43923891</v>
      </c>
      <c r="C22" s="18" t="n">
        <f aca="false">SUM(C18:C21)</f>
        <v>54157640</v>
      </c>
      <c r="D22" s="18" t="n">
        <f aca="false">SUM(D18:D21)</f>
        <v>50623890</v>
      </c>
      <c r="E22" s="18" t="n">
        <f aca="false">SUM(E18:E21)</f>
        <v>54255868</v>
      </c>
      <c r="F22" s="18" t="n">
        <f aca="false">SUM(F18:F21)</f>
        <v>55487976</v>
      </c>
      <c r="G22" s="18" t="n">
        <f aca="false">SUM(G18:G21)</f>
        <v>51920578</v>
      </c>
      <c r="H22" s="18" t="n">
        <f aca="false">SUM(H18:H21)</f>
        <v>52517464</v>
      </c>
      <c r="I22" s="18" t="n">
        <f aca="false">SUM(I18:I21)</f>
        <v>50685818</v>
      </c>
      <c r="J22" s="18" t="n">
        <f aca="false">SUM(J18:J21)</f>
        <v>54928386</v>
      </c>
      <c r="K22" s="18" t="n">
        <f aca="false">SUM(K18:K21)</f>
        <v>55103539</v>
      </c>
      <c r="L22" s="18" t="n">
        <f aca="false">SUM(L18:L21)</f>
        <v>49873440</v>
      </c>
      <c r="M22" s="18" t="n">
        <f aca="false">SUM(M18:M21)</f>
        <v>55593092</v>
      </c>
      <c r="N22" s="18" t="n">
        <f aca="false">SUM(N18:N21)</f>
        <v>54261649</v>
      </c>
      <c r="O22" s="18" t="n">
        <f aca="false">SUM(O18:O21)</f>
        <v>55896863</v>
      </c>
      <c r="P22" s="18" t="n">
        <f aca="false">SUM(P18:P21)</f>
        <v>56473937</v>
      </c>
      <c r="Q22" s="18" t="n">
        <f aca="false">SUM(Q18:Q21)</f>
        <v>57373878</v>
      </c>
      <c r="R22" s="18" t="n">
        <f aca="false">SUM(R18:R21)</f>
        <v>58730174</v>
      </c>
      <c r="S22" s="18" t="n">
        <f aca="false">SUM(S18:S21)</f>
        <v>53690678</v>
      </c>
      <c r="T22" s="18" t="n">
        <f aca="false">SUM(T18:T21)</f>
        <v>56228013</v>
      </c>
      <c r="U22" s="18" t="n">
        <f aca="false">SUM(U18:U21)</f>
        <v>52294368</v>
      </c>
      <c r="V22" s="18" t="n">
        <f aca="false">SUM(V18:V21)</f>
        <v>52061698</v>
      </c>
      <c r="W22" s="18" t="n">
        <f aca="false">SUM(K22:V22)</f>
        <v>657581329</v>
      </c>
      <c r="X22" s="18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2" hidden="false" customHeight="true" outlineLevel="0" collapsed="false">
      <c r="A23" s="41" t="s">
        <v>65</v>
      </c>
      <c r="B23" s="18" t="n">
        <f aca="false">-B16+B22</f>
        <v>57656</v>
      </c>
      <c r="C23" s="18" t="n">
        <f aca="false">-C16+C22</f>
        <v>-33812</v>
      </c>
      <c r="D23" s="18" t="n">
        <f aca="false">-D16+D22</f>
        <v>-31704</v>
      </c>
      <c r="E23" s="18" t="n">
        <f aca="false">-E16+E22</f>
        <v>-60647</v>
      </c>
      <c r="F23" s="18" t="n">
        <f aca="false">-F16+F22</f>
        <v>-35857</v>
      </c>
      <c r="G23" s="18" t="n">
        <f aca="false">-G16+G22</f>
        <v>-61002</v>
      </c>
      <c r="H23" s="18" t="n">
        <f aca="false">-H16+H22</f>
        <v>30362</v>
      </c>
      <c r="I23" s="18" t="n">
        <f aca="false">-I16+I22</f>
        <v>-72535</v>
      </c>
      <c r="J23" s="18" t="n">
        <f aca="false">-J16+J22</f>
        <v>-17310</v>
      </c>
      <c r="K23" s="18" t="n">
        <f aca="false">-K16+K22</f>
        <v>33991</v>
      </c>
      <c r="L23" s="18" t="n">
        <f aca="false">-L16+L22</f>
        <v>-12036</v>
      </c>
      <c r="M23" s="18" t="n">
        <f aca="false">-M16+M22</f>
        <v>154615</v>
      </c>
      <c r="N23" s="18" t="n">
        <f aca="false">-N16+N22</f>
        <v>163508</v>
      </c>
      <c r="O23" s="18" t="n">
        <f aca="false">-O16+O22</f>
        <v>191238</v>
      </c>
      <c r="P23" s="18" t="n">
        <f aca="false">-P16+P22</f>
        <v>236698</v>
      </c>
      <c r="Q23" s="18" t="n">
        <f aca="false">-Q16+Q22</f>
        <v>34578</v>
      </c>
      <c r="R23" s="18" t="n">
        <f aca="false">-R16+R22</f>
        <v>42197</v>
      </c>
      <c r="S23" s="18" t="n">
        <f aca="false">-S16+S22</f>
        <v>-59627</v>
      </c>
      <c r="T23" s="18" t="n">
        <f aca="false">-T16+T22</f>
        <v>73197</v>
      </c>
      <c r="U23" s="18" t="n">
        <f aca="false">-U16+U22</f>
        <v>-19134</v>
      </c>
      <c r="V23" s="18" t="n">
        <f aca="false">-V16+V22</f>
        <v>27336</v>
      </c>
      <c r="W23" s="18" t="n">
        <f aca="false">SUM(K23:V23)</f>
        <v>866561</v>
      </c>
      <c r="X23" s="18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2" hidden="false" customHeight="true" outlineLevel="0" collapsed="false">
      <c r="A24" s="47" t="s">
        <v>24</v>
      </c>
      <c r="B24" s="19" t="n">
        <f aca="false">2*B23/(B16+B22)</f>
        <v>0.00131349623532833</v>
      </c>
      <c r="C24" s="19" t="n">
        <f aca="false">2*C23/(C16+C22)</f>
        <v>-0.00062413074952211</v>
      </c>
      <c r="D24" s="19" t="n">
        <f aca="false">2*D23/(D16+D22)</f>
        <v>-0.000626069540401687</v>
      </c>
      <c r="E24" s="19" t="n">
        <f aca="false">2*E23/(E16+E22)</f>
        <v>-0.00111717175812564</v>
      </c>
      <c r="F24" s="19" t="n">
        <f aca="false">2*F23/(F16+F22)</f>
        <v>-0.000646003345463905</v>
      </c>
      <c r="G24" s="19" t="n">
        <f aca="false">G23/G16</f>
        <v>-0.00117353108543449</v>
      </c>
      <c r="H24" s="19" t="n">
        <f aca="false">H23/H16</f>
        <v>0.000578465924828542</v>
      </c>
      <c r="I24" s="19" t="n">
        <f aca="false">I23/I16</f>
        <v>-0.00142902587875536</v>
      </c>
      <c r="J24" s="19" t="n">
        <f aca="false">J23/J16</f>
        <v>-0.000315038324384862</v>
      </c>
      <c r="K24" s="19" t="n">
        <f aca="false">K23/K16</f>
        <v>0.00061723767916163</v>
      </c>
      <c r="L24" s="19" t="n">
        <f aca="false">L23/L16</f>
        <v>-0.000241272630133869</v>
      </c>
      <c r="M24" s="19" t="n">
        <f aca="false">M23/M16</f>
        <v>0.00278894746693709</v>
      </c>
      <c r="N24" s="19" t="n">
        <f aca="false">N23/N16</f>
        <v>0.00302243287805398</v>
      </c>
      <c r="O24" s="19" t="n">
        <f aca="false">O23/O16</f>
        <v>0.00343301058017032</v>
      </c>
      <c r="P24" s="19" t="n">
        <f aca="false">P23/P16</f>
        <v>0.00420891928922755</v>
      </c>
      <c r="Q24" s="19" t="n">
        <f aca="false">Q23/Q16</f>
        <v>0.000603041892733256</v>
      </c>
      <c r="R24" s="19" t="n">
        <f aca="false">R23/R16</f>
        <v>0.00071900587065729</v>
      </c>
      <c r="S24" s="19" t="n">
        <f aca="false">S23/S16</f>
        <v>-0.00110933324006254</v>
      </c>
      <c r="T24" s="19" t="n">
        <f aca="false">T23/T16</f>
        <v>0.0013034857063729</v>
      </c>
      <c r="U24" s="19" t="n">
        <f aca="false">U23/U16</f>
        <v>-0.000365756435116884</v>
      </c>
      <c r="V24" s="19" t="n">
        <f aca="false">V23/V16</f>
        <v>0.000525345155572389</v>
      </c>
      <c r="W24" s="19" t="n">
        <f aca="false">W23/W16</f>
        <v>0.00131953938334458</v>
      </c>
      <c r="X24" s="19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2.75" hidden="false" customHeight="false" outlineLevel="0" collapsed="false">
      <c r="X25" s="0"/>
    </row>
    <row r="26" customFormat="false" ht="12.75" hidden="false" customHeight="false" outlineLevel="0" collapsed="false">
      <c r="X26" s="0"/>
    </row>
    <row r="27" customFormat="false" ht="12.75" hidden="false" customHeight="false" outlineLevel="0" collapsed="false">
      <c r="A27" s="0"/>
      <c r="I27" s="0"/>
      <c r="X27" s="0"/>
    </row>
    <row r="28" customFormat="false" ht="12.75" hidden="false" customHeight="false" outlineLevel="0" collapsed="false">
      <c r="A28" s="0"/>
      <c r="I28" s="0"/>
      <c r="X28" s="0"/>
    </row>
    <row r="29" customFormat="false" ht="12.75" hidden="false" customHeight="false" outlineLevel="0" collapsed="false">
      <c r="X29" s="0"/>
    </row>
    <row r="30" customFormat="false" ht="12.75" hidden="false" customHeight="false" outlineLevel="0" collapsed="false">
      <c r="X30" s="0"/>
    </row>
    <row r="31" customFormat="false" ht="12.75" hidden="false" customHeight="false" outlineLevel="0" collapsed="false">
      <c r="X31" s="0"/>
    </row>
    <row r="32" customFormat="false" ht="12.75" hidden="false" customHeight="false" outlineLevel="0" collapsed="false">
      <c r="X32" s="0"/>
    </row>
    <row r="33" customFormat="false" ht="12.75" hidden="false" customHeight="false" outlineLevel="0" collapsed="false">
      <c r="X33" s="0"/>
    </row>
    <row r="34" customFormat="false" ht="12.75" hidden="false" customHeight="false" outlineLevel="0" collapsed="false">
      <c r="X34" s="0"/>
    </row>
    <row r="35" customFormat="false" ht="12.75" hidden="false" customHeight="false" outlineLevel="0" collapsed="false">
      <c r="X35" s="0"/>
    </row>
    <row r="36" customFormat="false" ht="12.75" hidden="false" customHeight="false" outlineLevel="0" collapsed="false">
      <c r="X36" s="0"/>
    </row>
    <row r="37" customFormat="false" ht="12.75" hidden="false" customHeight="false" outlineLevel="0" collapsed="false">
      <c r="X37" s="0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MCF PRA (00)12 Month Historical</oddHeader>
    <oddFooter>&amp;L&amp;F&amp;CPage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6.13"/>
    <col collapsed="false" customWidth="true" hidden="true" outlineLevel="0" max="10" min="2" style="40" width="11.56"/>
    <col collapsed="false" customWidth="true" hidden="false" outlineLevel="0" max="23" min="11" style="40" width="11.56"/>
    <col collapsed="false" customWidth="false" hidden="false" outlineLevel="0" max="257" min="24" style="40" width="9.14"/>
  </cols>
  <sheetData>
    <row r="1" customFormat="false" ht="12" hidden="false" customHeight="true" outlineLevel="0" collapsed="false">
      <c r="A1" s="41" t="s">
        <v>64</v>
      </c>
      <c r="B1" s="18"/>
      <c r="C1" s="18"/>
      <c r="D1" s="18"/>
      <c r="E1" s="18"/>
      <c r="F1" s="18"/>
      <c r="G1" s="18"/>
      <c r="H1" s="48" t="s">
        <v>2</v>
      </c>
      <c r="I1" s="43" t="n">
        <f aca="true">NOW()</f>
        <v>45926.9288977932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customFormat="false" ht="12" hidden="false" customHeight="true" outlineLevel="0" collapsed="false">
      <c r="A2" s="41" t="s">
        <v>32</v>
      </c>
      <c r="B2" s="18"/>
      <c r="C2" s="18"/>
      <c r="D2" s="18"/>
      <c r="E2" s="18"/>
      <c r="F2" s="18"/>
      <c r="G2" s="18"/>
      <c r="H2" s="18" t="s">
        <v>4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customFormat="false" ht="12" hidden="false" customHeight="true" outlineLevel="0" collapsed="false">
      <c r="A3" s="41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customFormat="false" ht="12" hidden="false" customHeight="true" outlineLevel="0" collapsed="false">
      <c r="A4" s="4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customFormat="false" ht="12" hidden="false" customHeight="true" outlineLevel="0" collapsed="false">
      <c r="A5" s="41"/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4" t="s">
        <v>17</v>
      </c>
      <c r="N5" s="44" t="s">
        <v>6</v>
      </c>
      <c r="O5" s="44" t="s">
        <v>7</v>
      </c>
      <c r="P5" s="44" t="s">
        <v>8</v>
      </c>
      <c r="Q5" s="44" t="s">
        <v>9</v>
      </c>
      <c r="R5" s="44" t="s">
        <v>10</v>
      </c>
      <c r="S5" s="44" t="s">
        <v>11</v>
      </c>
      <c r="T5" s="44" t="s">
        <v>12</v>
      </c>
      <c r="U5" s="44" t="s">
        <v>13</v>
      </c>
      <c r="V5" s="44" t="s">
        <v>14</v>
      </c>
      <c r="W5" s="45" t="s">
        <v>18</v>
      </c>
    </row>
    <row r="6" customFormat="false" ht="12" hidden="false" customHeight="true" outlineLevel="0" collapsed="false">
      <c r="A6" s="41"/>
      <c r="B6" s="44" t="n">
        <v>2000</v>
      </c>
      <c r="C6" s="44" t="n">
        <v>2000</v>
      </c>
      <c r="D6" s="44" t="n">
        <v>2000</v>
      </c>
      <c r="E6" s="44" t="n">
        <v>2000</v>
      </c>
      <c r="F6" s="44" t="n">
        <v>2000</v>
      </c>
      <c r="G6" s="44" t="n">
        <v>2000</v>
      </c>
      <c r="H6" s="44" t="n">
        <v>2000</v>
      </c>
      <c r="I6" s="44" t="n">
        <v>2000</v>
      </c>
      <c r="J6" s="44" t="n">
        <v>2000</v>
      </c>
      <c r="K6" s="44" t="n">
        <v>2001</v>
      </c>
      <c r="L6" s="44" t="n">
        <v>2001</v>
      </c>
      <c r="M6" s="44" t="n">
        <v>2001</v>
      </c>
      <c r="N6" s="44" t="n">
        <v>2001</v>
      </c>
      <c r="O6" s="44" t="n">
        <v>2001</v>
      </c>
      <c r="P6" s="44" t="n">
        <v>2001</v>
      </c>
      <c r="Q6" s="44" t="n">
        <v>2001</v>
      </c>
      <c r="R6" s="44" t="n">
        <v>2001</v>
      </c>
      <c r="S6" s="44" t="n">
        <v>2001</v>
      </c>
      <c r="T6" s="44" t="n">
        <v>2001</v>
      </c>
      <c r="U6" s="44" t="n">
        <v>2001</v>
      </c>
      <c r="V6" s="44" t="n">
        <v>2001</v>
      </c>
      <c r="W6" s="45" t="s">
        <v>19</v>
      </c>
    </row>
    <row r="7" customFormat="false" ht="12" hidden="false" customHeight="true" outlineLevel="0" collapsed="false">
      <c r="A7" s="4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customFormat="false" ht="12" hidden="false" customHeight="true" outlineLevel="0" collapsed="false">
      <c r="A8" s="49" t="s">
        <v>20</v>
      </c>
      <c r="B8" s="18" t="n">
        <v>83808480</v>
      </c>
      <c r="C8" s="18" t="n">
        <v>98257638</v>
      </c>
      <c r="D8" s="18" t="n">
        <v>88215990</v>
      </c>
      <c r="E8" s="18" t="n">
        <v>93125811</v>
      </c>
      <c r="F8" s="18" t="n">
        <v>97179378</v>
      </c>
      <c r="G8" s="18" t="n">
        <v>94491622</v>
      </c>
      <c r="H8" s="18" t="n">
        <v>95061107</v>
      </c>
      <c r="I8" s="18" t="n">
        <v>91327806</v>
      </c>
      <c r="J8" s="18" t="n">
        <v>99945386</v>
      </c>
      <c r="K8" s="18" t="n">
        <v>103863226</v>
      </c>
      <c r="L8" s="18" t="n">
        <v>94543519</v>
      </c>
      <c r="M8" s="18" t="n">
        <v>101491769</v>
      </c>
      <c r="N8" s="18" t="n">
        <f aca="false">55269884+28678561</f>
        <v>83948445</v>
      </c>
      <c r="O8" s="18" t="n">
        <f aca="false">57033458+32020754</f>
        <v>89054212</v>
      </c>
      <c r="P8" s="18" t="n">
        <f aca="false">57524028+29335559</f>
        <v>86859587</v>
      </c>
      <c r="Q8" s="18" t="n">
        <f aca="false">58769535+32437043</f>
        <v>91206578</v>
      </c>
      <c r="R8" s="18" t="n">
        <f aca="false">60167358+32819369</f>
        <v>92986727</v>
      </c>
      <c r="S8" s="18" t="n">
        <f aca="false">54918872+32333952</f>
        <v>87252824</v>
      </c>
      <c r="T8" s="18" t="n">
        <f aca="false">57465244+33719539</f>
        <v>91184783</v>
      </c>
      <c r="U8" s="46" t="n">
        <f aca="false">53537114+34877849</f>
        <v>88414963</v>
      </c>
      <c r="V8" s="46" t="n">
        <f aca="false">53276035+32863677</f>
        <v>86139712</v>
      </c>
      <c r="W8" s="18" t="n">
        <f aca="false">SUM(K8:V8)</f>
        <v>1096946345</v>
      </c>
    </row>
    <row r="9" customFormat="false" ht="12" hidden="false" customHeight="true" outlineLevel="0" collapsed="false">
      <c r="A9" s="49" t="s">
        <v>21</v>
      </c>
      <c r="B9" s="18" t="n">
        <v>83500185</v>
      </c>
      <c r="C9" s="18" t="n">
        <v>97814100</v>
      </c>
      <c r="D9" s="18" t="n">
        <v>87510873</v>
      </c>
      <c r="E9" s="18" t="n">
        <v>92478136</v>
      </c>
      <c r="F9" s="18" t="n">
        <v>96436796</v>
      </c>
      <c r="G9" s="18" t="n">
        <v>93802901</v>
      </c>
      <c r="H9" s="18" t="n">
        <v>94444434</v>
      </c>
      <c r="I9" s="18" t="n">
        <v>90781179</v>
      </c>
      <c r="J9" s="18" t="n">
        <v>99276695</v>
      </c>
      <c r="K9" s="18" t="n">
        <v>103317284</v>
      </c>
      <c r="L9" s="18" t="n">
        <v>93929128</v>
      </c>
      <c r="M9" s="18" t="n">
        <v>100893159</v>
      </c>
      <c r="N9" s="18" t="n">
        <f aca="false">55433633+28678561</f>
        <v>84112194</v>
      </c>
      <c r="O9" s="18" t="n">
        <f aca="false">57229431+32020754</f>
        <v>89250185</v>
      </c>
      <c r="P9" s="18" t="n">
        <f aca="false">57797568+29335559</f>
        <v>87133127</v>
      </c>
      <c r="Q9" s="18" t="n">
        <f aca="false">58805612+32437043</f>
        <v>91242655</v>
      </c>
      <c r="R9" s="18" t="n">
        <f aca="false">60237555+32819369</f>
        <v>93056924</v>
      </c>
      <c r="S9" s="18" t="n">
        <f aca="false">54912793+32333952</f>
        <v>87246745</v>
      </c>
      <c r="T9" s="18" t="n">
        <f aca="false">57539595+33719539</f>
        <v>91259134</v>
      </c>
      <c r="U9" s="46" t="n">
        <f aca="false">53523149+34877849</f>
        <v>88400998</v>
      </c>
      <c r="V9" s="46" t="n">
        <f aca="false">53309276+32863677</f>
        <v>86172953</v>
      </c>
      <c r="W9" s="18" t="n">
        <f aca="false">SUM(K9:V9)</f>
        <v>1096014486</v>
      </c>
    </row>
    <row r="10" customFormat="false" ht="12" hidden="false" customHeight="true" outlineLevel="0" collapsed="false">
      <c r="A10" s="49" t="s">
        <v>22</v>
      </c>
      <c r="B10" s="18" t="n">
        <f aca="false">+B9+B19+B20+B21</f>
        <v>83921474</v>
      </c>
      <c r="C10" s="18" t="n">
        <f aca="false">+C9+C19+C20+C21</f>
        <v>98293526</v>
      </c>
      <c r="D10" s="18" t="n">
        <f aca="false">+D9+D19+D20+D21</f>
        <v>88149547</v>
      </c>
      <c r="E10" s="18" t="n">
        <f aca="false">+E9+E19+E20+E21</f>
        <v>93030416</v>
      </c>
      <c r="F10" s="18" t="n">
        <f aca="false">+F9+F19+F20+F21</f>
        <v>97148430</v>
      </c>
      <c r="G10" s="18" t="n">
        <f aca="false">+G9+G19+G20+G21</f>
        <v>94435904</v>
      </c>
      <c r="H10" s="18" t="n">
        <f aca="false">+H9+H19+H20+H21</f>
        <v>95133706</v>
      </c>
      <c r="I10" s="18" t="n">
        <f aca="false">+I9+I19+I20+I21</f>
        <v>91266727</v>
      </c>
      <c r="J10" s="18" t="n">
        <f aca="false">+J9+J19+J20+J21</f>
        <v>99932139</v>
      </c>
      <c r="K10" s="18" t="n">
        <f aca="false">+K9+K19+K20+K21</f>
        <v>103943495</v>
      </c>
      <c r="L10" s="18" t="n">
        <f aca="false">+L9+L19+L20+L21</f>
        <v>94536878</v>
      </c>
      <c r="M10" s="18" t="n">
        <f aca="false">+M9+M19+M20+M21</f>
        <v>101668576</v>
      </c>
      <c r="N10" s="18" t="n">
        <f aca="false">+N9+N19+N20+N21</f>
        <v>84112194</v>
      </c>
      <c r="O10" s="18" t="n">
        <f aca="false">+O9+O19+O20+O21</f>
        <v>89250185</v>
      </c>
      <c r="P10" s="18" t="n">
        <f aca="false">+P9+P19+P20+P21</f>
        <v>87133127</v>
      </c>
      <c r="Q10" s="18" t="n">
        <f aca="false">+Q9+Q19+Q20+Q21</f>
        <v>91242655</v>
      </c>
      <c r="R10" s="18" t="n">
        <f aca="false">+R9+R19+R20+R21</f>
        <v>93056924</v>
      </c>
      <c r="S10" s="18" t="n">
        <f aca="false">+S9+S19+S20+S21</f>
        <v>87246745</v>
      </c>
      <c r="T10" s="18" t="n">
        <f aca="false">+T9+T19+T20+T21</f>
        <v>91259134</v>
      </c>
      <c r="U10" s="18" t="n">
        <f aca="false">+U9+U19+U20+U21</f>
        <v>88400998</v>
      </c>
      <c r="V10" s="18" t="n">
        <f aca="false">+V9+V19+V20+V21</f>
        <v>86172953</v>
      </c>
      <c r="W10" s="18" t="n">
        <f aca="false">SUM(K10:V10)</f>
        <v>1098023864</v>
      </c>
    </row>
    <row r="11" customFormat="false" ht="12" hidden="false" customHeight="true" outlineLevel="0" collapsed="false">
      <c r="A11" s="49" t="s">
        <v>23</v>
      </c>
      <c r="B11" s="18" t="n">
        <f aca="false">-B8+B10</f>
        <v>112994</v>
      </c>
      <c r="C11" s="18" t="n">
        <f aca="false">-C8+C10</f>
        <v>35888</v>
      </c>
      <c r="D11" s="18" t="n">
        <f aca="false">-D8+D10</f>
        <v>-66443</v>
      </c>
      <c r="E11" s="18" t="n">
        <f aca="false">-E8+E10</f>
        <v>-95395</v>
      </c>
      <c r="F11" s="18" t="n">
        <f aca="false">-F8+F10</f>
        <v>-30948</v>
      </c>
      <c r="G11" s="18" t="n">
        <f aca="false">-G8+G10</f>
        <v>-55718</v>
      </c>
      <c r="H11" s="18" t="n">
        <f aca="false">-H8+H10</f>
        <v>72599</v>
      </c>
      <c r="I11" s="18" t="n">
        <f aca="false">-I8+I10</f>
        <v>-61079</v>
      </c>
      <c r="J11" s="18" t="n">
        <f aca="false">-J8+J10</f>
        <v>-13247</v>
      </c>
      <c r="K11" s="18" t="n">
        <f aca="false">-K8+K10</f>
        <v>80269</v>
      </c>
      <c r="L11" s="18" t="n">
        <f aca="false">-L8+L10</f>
        <v>-6641</v>
      </c>
      <c r="M11" s="18" t="n">
        <f aca="false">-M8+M10</f>
        <v>176807</v>
      </c>
      <c r="N11" s="18" t="n">
        <f aca="false">-N8+N10</f>
        <v>163749</v>
      </c>
      <c r="O11" s="18" t="n">
        <f aca="false">-O8+O10</f>
        <v>195973</v>
      </c>
      <c r="P11" s="18" t="n">
        <f aca="false">-P8+P10</f>
        <v>273540</v>
      </c>
      <c r="Q11" s="18" t="n">
        <f aca="false">-Q8+Q10</f>
        <v>36077</v>
      </c>
      <c r="R11" s="18" t="n">
        <f aca="false">-R8+R10</f>
        <v>70197</v>
      </c>
      <c r="S11" s="18" t="n">
        <f aca="false">-S8+S10</f>
        <v>-6079</v>
      </c>
      <c r="T11" s="18" t="n">
        <f aca="false">-T8+T10</f>
        <v>74351</v>
      </c>
      <c r="U11" s="18" t="n">
        <f aca="false">-U8+U10</f>
        <v>-13965</v>
      </c>
      <c r="V11" s="18" t="n">
        <f aca="false">-V8+V10</f>
        <v>33241</v>
      </c>
      <c r="W11" s="18" t="n">
        <f aca="false">SUM(K11:V11)</f>
        <v>1077519</v>
      </c>
    </row>
    <row r="12" customFormat="false" ht="12" hidden="false" customHeight="true" outlineLevel="0" collapsed="false">
      <c r="A12" s="50" t="s">
        <v>24</v>
      </c>
      <c r="B12" s="19" t="n">
        <f aca="false">2*B11/(B8+B10)</f>
        <v>0.00134733239120783</v>
      </c>
      <c r="C12" s="19" t="n">
        <f aca="false">2*C11/(C8+C10)</f>
        <v>0.000365177181041777</v>
      </c>
      <c r="D12" s="19" t="n">
        <f aca="false">2*D11/(D8+D10)</f>
        <v>-0.000753469199597652</v>
      </c>
      <c r="E12" s="19" t="n">
        <f aca="false">2*E11/(E8+E10)</f>
        <v>-0.00102489185064972</v>
      </c>
      <c r="F12" s="19" t="n">
        <f aca="false">2*F11/(F8+F10)</f>
        <v>-0.000318513344214741</v>
      </c>
      <c r="G12" s="19" t="n">
        <f aca="false">G11/G8</f>
        <v>-0.000589660742621182</v>
      </c>
      <c r="H12" s="19" t="n">
        <f aca="false">H11/H8</f>
        <v>0.000763708758409472</v>
      </c>
      <c r="I12" s="19" t="n">
        <f aca="false">I11/I8</f>
        <v>-0.000668788649099925</v>
      </c>
      <c r="J12" s="19" t="n">
        <f aca="false">J11/J8</f>
        <v>-0.000132542386699072</v>
      </c>
      <c r="K12" s="19" t="n">
        <f aca="false">K11/K8</f>
        <v>0.000772833688027368</v>
      </c>
      <c r="L12" s="19" t="n">
        <f aca="false">L11/L8</f>
        <v>-7.02427841722287E-005</v>
      </c>
      <c r="M12" s="19" t="n">
        <f aca="false">M11/M8</f>
        <v>0.00174208215840636</v>
      </c>
      <c r="N12" s="19" t="n">
        <f aca="false">N11/N8</f>
        <v>0.00195059003177486</v>
      </c>
      <c r="O12" s="19" t="n">
        <f aca="false">O11/O8</f>
        <v>0.00220060338078114</v>
      </c>
      <c r="P12" s="19" t="n">
        <f aca="false">P11/P8</f>
        <v>0.00314922059208041</v>
      </c>
      <c r="Q12" s="19" t="n">
        <f aca="false">Q11/Q8</f>
        <v>0.000395552610251423</v>
      </c>
      <c r="R12" s="19" t="n">
        <f aca="false">R11/R8</f>
        <v>0.000754914193291264</v>
      </c>
      <c r="S12" s="19" t="n">
        <f aca="false">S11/S8</f>
        <v>-6.96710974076896E-005</v>
      </c>
      <c r="T12" s="19" t="n">
        <f aca="false">T11/T8</f>
        <v>0.000815388243014188</v>
      </c>
      <c r="U12" s="19" t="n">
        <f aca="false">U11/U8</f>
        <v>-0.000157948378036419</v>
      </c>
      <c r="V12" s="19" t="n">
        <f aca="false">V11/V8</f>
        <v>0.000385896344766047</v>
      </c>
      <c r="W12" s="19" t="n">
        <f aca="false">W11/W8</f>
        <v>0.000982289612351094</v>
      </c>
    </row>
    <row r="13" customFormat="false" ht="12" hidden="false" customHeight="true" outlineLevel="0" collapsed="false">
      <c r="A13" s="49" t="s">
        <v>25</v>
      </c>
      <c r="B13" s="18" t="n">
        <f aca="false">-B8+B10</f>
        <v>112994</v>
      </c>
      <c r="C13" s="18" t="n">
        <f aca="false">-C8+C10</f>
        <v>35888</v>
      </c>
      <c r="D13" s="18" t="n">
        <f aca="false">-D8+D10</f>
        <v>-66443</v>
      </c>
      <c r="E13" s="18" t="n">
        <f aca="false">-E8+E10</f>
        <v>-95395</v>
      </c>
      <c r="F13" s="18" t="n">
        <f aca="false">-F8+F10</f>
        <v>-30948</v>
      </c>
      <c r="G13" s="18" t="n">
        <f aca="false">-G8+G10</f>
        <v>-55718</v>
      </c>
      <c r="H13" s="18" t="n">
        <f aca="false">-H8+H10</f>
        <v>72599</v>
      </c>
      <c r="I13" s="18" t="n">
        <f aca="false">-I8+I10</f>
        <v>-61079</v>
      </c>
      <c r="J13" s="18" t="n">
        <f aca="false">-J8+J10</f>
        <v>-13247</v>
      </c>
      <c r="K13" s="18" t="n">
        <f aca="false">-K8+K10</f>
        <v>80269</v>
      </c>
      <c r="L13" s="18" t="n">
        <f aca="false">-L8+L10</f>
        <v>-6641</v>
      </c>
      <c r="M13" s="18" t="n">
        <f aca="false">-M8+M10</f>
        <v>176807</v>
      </c>
      <c r="N13" s="18" t="n">
        <f aca="false">-N8+N10</f>
        <v>163749</v>
      </c>
      <c r="O13" s="18" t="n">
        <f aca="false">-O8+O10</f>
        <v>195973</v>
      </c>
      <c r="P13" s="18" t="n">
        <f aca="false">-P8+P10</f>
        <v>273540</v>
      </c>
      <c r="Q13" s="18" t="n">
        <f aca="false">-Q8+Q10</f>
        <v>36077</v>
      </c>
      <c r="R13" s="18" t="n">
        <f aca="false">-R8+R10</f>
        <v>70197</v>
      </c>
      <c r="S13" s="18" t="n">
        <f aca="false">-S8+S10</f>
        <v>-6079</v>
      </c>
      <c r="T13" s="18" t="n">
        <f aca="false">-T8+T10</f>
        <v>74351</v>
      </c>
      <c r="U13" s="18" t="n">
        <f aca="false">-U8+U10</f>
        <v>-13965</v>
      </c>
      <c r="V13" s="18" t="n">
        <f aca="false">-V8+V10</f>
        <v>33241</v>
      </c>
      <c r="W13" s="18" t="n">
        <f aca="false">SUM(K13:V13)</f>
        <v>1077519</v>
      </c>
    </row>
    <row r="14" customFormat="false" ht="12" hidden="false" customHeight="true" outlineLevel="0" collapsed="false">
      <c r="A14" s="50" t="s">
        <v>24</v>
      </c>
      <c r="B14" s="19" t="n">
        <f aca="false">2*B13/(B8+B10)</f>
        <v>0.00134733239120783</v>
      </c>
      <c r="C14" s="19" t="n">
        <f aca="false">2*C13/(C8+C10)</f>
        <v>0.000365177181041777</v>
      </c>
      <c r="D14" s="19" t="n">
        <f aca="false">2*D13/(D8+D10)</f>
        <v>-0.000753469199597652</v>
      </c>
      <c r="E14" s="19" t="n">
        <f aca="false">2*E13/(E8+E10)</f>
        <v>-0.00102489185064972</v>
      </c>
      <c r="F14" s="19" t="n">
        <f aca="false">2*F13/(F8+F10)</f>
        <v>-0.000318513344214741</v>
      </c>
      <c r="G14" s="19" t="n">
        <f aca="false">G13/G8</f>
        <v>-0.000589660742621182</v>
      </c>
      <c r="H14" s="19" t="n">
        <f aca="false">H13/H8</f>
        <v>0.000763708758409472</v>
      </c>
      <c r="I14" s="19" t="n">
        <f aca="false">I13/I8</f>
        <v>-0.000668788649099925</v>
      </c>
      <c r="J14" s="19" t="n">
        <f aca="false">J13/J8</f>
        <v>-0.000132542386699072</v>
      </c>
      <c r="K14" s="19" t="n">
        <f aca="false">K13/K8</f>
        <v>0.000772833688027368</v>
      </c>
      <c r="L14" s="19" t="n">
        <f aca="false">L13/L8</f>
        <v>-7.02427841722287E-005</v>
      </c>
      <c r="M14" s="19" t="n">
        <f aca="false">M13/M8</f>
        <v>0.00174208215840636</v>
      </c>
      <c r="N14" s="19" t="n">
        <f aca="false">N13/N8</f>
        <v>0.00195059003177486</v>
      </c>
      <c r="O14" s="19" t="n">
        <f aca="false">O13/O8</f>
        <v>0.00220060338078114</v>
      </c>
      <c r="P14" s="19" t="n">
        <f aca="false">P13/P8</f>
        <v>0.00314922059208041</v>
      </c>
      <c r="Q14" s="19" t="n">
        <f aca="false">Q13/Q8</f>
        <v>0.000395552610251423</v>
      </c>
      <c r="R14" s="19" t="n">
        <f aca="false">R13/R8</f>
        <v>0.000754914193291264</v>
      </c>
      <c r="S14" s="19" t="n">
        <f aca="false">S13/S8</f>
        <v>-6.96710974076896E-005</v>
      </c>
      <c r="T14" s="19" t="n">
        <f aca="false">T13/T8</f>
        <v>0.000815388243014188</v>
      </c>
      <c r="U14" s="19" t="n">
        <f aca="false">U13/U8</f>
        <v>-0.000157948378036419</v>
      </c>
      <c r="V14" s="19" t="n">
        <f aca="false">V13/V8</f>
        <v>0.000385896344766047</v>
      </c>
      <c r="W14" s="19" t="n">
        <f aca="false">W13/W8</f>
        <v>0.000982289612351094</v>
      </c>
    </row>
    <row r="15" customFormat="false" ht="12" hidden="false" customHeight="true" outlineLevel="0" collapsed="false">
      <c r="A15" s="4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2"/>
      <c r="V15" s="42"/>
      <c r="W15" s="18" t="s">
        <v>1</v>
      </c>
    </row>
    <row r="16" customFormat="false" ht="12" hidden="false" customHeight="true" outlineLevel="0" collapsed="false">
      <c r="A16" s="49" t="s">
        <v>26</v>
      </c>
      <c r="B16" s="18" t="n">
        <v>44743883</v>
      </c>
      <c r="C16" s="18" t="n">
        <v>55158369</v>
      </c>
      <c r="D16" s="18" t="n">
        <v>51571722</v>
      </c>
      <c r="E16" s="18" t="n">
        <v>55346032</v>
      </c>
      <c r="F16" s="18" t="n">
        <v>56694530</v>
      </c>
      <c r="G16" s="18" t="n">
        <v>53117206</v>
      </c>
      <c r="H16" s="18" t="n">
        <v>53458381</v>
      </c>
      <c r="I16" s="18" t="n">
        <v>51629561</v>
      </c>
      <c r="J16" s="18" t="n">
        <v>56121622</v>
      </c>
      <c r="K16" s="18" t="n">
        <v>56357459</v>
      </c>
      <c r="L16" s="18" t="n">
        <v>50983916</v>
      </c>
      <c r="M16" s="18" t="n">
        <v>56484047</v>
      </c>
      <c r="N16" s="18" t="n">
        <v>55269884</v>
      </c>
      <c r="O16" s="18" t="n">
        <v>57033458</v>
      </c>
      <c r="P16" s="18" t="n">
        <v>57524028</v>
      </c>
      <c r="Q16" s="18" t="n">
        <v>58769535</v>
      </c>
      <c r="R16" s="18" t="n">
        <v>60167358</v>
      </c>
      <c r="S16" s="18" t="n">
        <v>54918872</v>
      </c>
      <c r="T16" s="18" t="n">
        <v>57465244</v>
      </c>
      <c r="U16" s="18" t="n">
        <v>53537114</v>
      </c>
      <c r="V16" s="18" t="n">
        <v>53276035</v>
      </c>
      <c r="W16" s="18" t="n">
        <f aca="false">SUM(K16:V16)</f>
        <v>671786950</v>
      </c>
    </row>
    <row r="17" customFormat="false" ht="12" hidden="false" customHeight="true" outlineLevel="0" collapsed="false">
      <c r="A17" s="4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 t="s">
        <v>1</v>
      </c>
    </row>
    <row r="18" customFormat="false" ht="12" hidden="false" customHeight="true" outlineLevel="0" collapsed="false">
      <c r="A18" s="49" t="s">
        <v>27</v>
      </c>
      <c r="B18" s="18" t="n">
        <v>44435588</v>
      </c>
      <c r="C18" s="18" t="n">
        <v>54714831</v>
      </c>
      <c r="D18" s="18" t="n">
        <v>50866605</v>
      </c>
      <c r="E18" s="18" t="n">
        <v>54698357</v>
      </c>
      <c r="F18" s="18" t="n">
        <v>55951948</v>
      </c>
      <c r="G18" s="18" t="n">
        <v>52428485</v>
      </c>
      <c r="H18" s="18" t="n">
        <v>52841708</v>
      </c>
      <c r="I18" s="18" t="n">
        <v>51629561</v>
      </c>
      <c r="J18" s="18" t="n">
        <v>55452931</v>
      </c>
      <c r="K18" s="18" t="n">
        <v>55811517</v>
      </c>
      <c r="L18" s="18" t="n">
        <v>50369525</v>
      </c>
      <c r="M18" s="18" t="n">
        <v>55885437</v>
      </c>
      <c r="N18" s="18" t="n">
        <v>55433633</v>
      </c>
      <c r="O18" s="18" t="n">
        <v>57229431</v>
      </c>
      <c r="P18" s="18" t="n">
        <v>57797568</v>
      </c>
      <c r="Q18" s="18" t="n">
        <v>58805612</v>
      </c>
      <c r="R18" s="18" t="n">
        <v>60237555</v>
      </c>
      <c r="S18" s="18" t="n">
        <v>54912793</v>
      </c>
      <c r="T18" s="18" t="n">
        <v>57539595</v>
      </c>
      <c r="U18" s="18" t="n">
        <v>53523149</v>
      </c>
      <c r="V18" s="18" t="n">
        <v>53309276</v>
      </c>
      <c r="W18" s="18" t="n">
        <f aca="false">SUM(K18:V18)</f>
        <v>670855091</v>
      </c>
    </row>
    <row r="19" customFormat="false" ht="12" hidden="false" customHeight="true" outlineLevel="0" collapsed="false">
      <c r="A19" s="49" t="s">
        <v>28</v>
      </c>
      <c r="B19" s="18" t="n">
        <v>424330</v>
      </c>
      <c r="C19" s="18" t="n">
        <v>534647</v>
      </c>
      <c r="D19" s="18" t="n">
        <v>551826</v>
      </c>
      <c r="E19" s="18" t="n">
        <v>605933</v>
      </c>
      <c r="F19" s="18" t="n">
        <v>602302</v>
      </c>
      <c r="G19" s="18" t="n">
        <v>568144</v>
      </c>
      <c r="H19" s="18" t="n">
        <v>651860</v>
      </c>
      <c r="I19" s="18" t="n">
        <v>493675</v>
      </c>
      <c r="J19" s="18" t="n">
        <v>635714</v>
      </c>
      <c r="K19" s="18" t="n">
        <v>635520</v>
      </c>
      <c r="L19" s="18" t="n">
        <v>570076</v>
      </c>
      <c r="M19" s="18" t="n">
        <v>638720</v>
      </c>
      <c r="N19" s="18" t="n">
        <v>0</v>
      </c>
      <c r="O19" s="18" t="n">
        <v>0</v>
      </c>
      <c r="P19" s="18" t="n">
        <v>0</v>
      </c>
      <c r="Q19" s="18" t="n">
        <v>0</v>
      </c>
      <c r="R19" s="18" t="n">
        <v>0</v>
      </c>
      <c r="S19" s="18" t="n">
        <v>0</v>
      </c>
      <c r="T19" s="18" t="n">
        <v>0</v>
      </c>
      <c r="U19" s="18" t="n">
        <v>0</v>
      </c>
      <c r="V19" s="18" t="n">
        <v>0</v>
      </c>
      <c r="W19" s="18" t="n">
        <f aca="false">SUM(K19:V19)</f>
        <v>1844316</v>
      </c>
    </row>
    <row r="20" customFormat="false" ht="12" hidden="false" customHeight="true" outlineLevel="0" collapsed="false">
      <c r="A20" s="49" t="s">
        <v>29</v>
      </c>
      <c r="B20" s="18" t="n">
        <v>-4177</v>
      </c>
      <c r="C20" s="18" t="n">
        <v>-55221</v>
      </c>
      <c r="D20" s="18" t="n">
        <v>86848</v>
      </c>
      <c r="E20" s="18" t="n">
        <v>-58455</v>
      </c>
      <c r="F20" s="18" t="n">
        <v>107934</v>
      </c>
      <c r="G20" s="18" t="n">
        <v>60400</v>
      </c>
      <c r="H20" s="18" t="n">
        <v>30132</v>
      </c>
      <c r="I20" s="18" t="n">
        <v>-13937</v>
      </c>
      <c r="J20" s="18" t="n">
        <v>15232</v>
      </c>
      <c r="K20" s="18" t="n">
        <v>-17746</v>
      </c>
      <c r="L20" s="18" t="n">
        <v>33996</v>
      </c>
      <c r="M20" s="18" t="n">
        <v>107280</v>
      </c>
      <c r="N20" s="18" t="n">
        <v>0</v>
      </c>
      <c r="O20" s="18" t="n">
        <v>0</v>
      </c>
      <c r="P20" s="18" t="n">
        <v>0</v>
      </c>
      <c r="Q20" s="18" t="n">
        <v>0</v>
      </c>
      <c r="R20" s="18" t="n">
        <v>0</v>
      </c>
      <c r="S20" s="18" t="n">
        <v>0</v>
      </c>
      <c r="T20" s="18" t="n">
        <v>0</v>
      </c>
      <c r="U20" s="18" t="n">
        <v>0</v>
      </c>
      <c r="V20" s="18" t="n">
        <v>0</v>
      </c>
      <c r="W20" s="18" t="n">
        <f aca="false">SUM(K20:V20)</f>
        <v>123530</v>
      </c>
    </row>
    <row r="21" customFormat="false" ht="12" hidden="false" customHeight="true" outlineLevel="0" collapsed="false">
      <c r="A21" s="49" t="s">
        <v>30</v>
      </c>
      <c r="B21" s="18" t="n">
        <v>1136</v>
      </c>
      <c r="C21" s="18" t="n">
        <v>0</v>
      </c>
      <c r="D21" s="18" t="n">
        <v>0</v>
      </c>
      <c r="E21" s="18" t="n">
        <v>4802</v>
      </c>
      <c r="F21" s="18" t="n">
        <v>1398</v>
      </c>
      <c r="G21" s="18" t="n">
        <v>4459</v>
      </c>
      <c r="H21" s="18" t="n">
        <v>7280</v>
      </c>
      <c r="I21" s="18" t="n">
        <v>5810</v>
      </c>
      <c r="J21" s="18" t="n">
        <v>4498</v>
      </c>
      <c r="K21" s="18" t="n">
        <v>8437</v>
      </c>
      <c r="L21" s="18" t="n">
        <v>3678</v>
      </c>
      <c r="M21" s="18" t="n">
        <v>29417</v>
      </c>
      <c r="N21" s="18" t="n">
        <v>0</v>
      </c>
      <c r="O21" s="18" t="n">
        <v>0</v>
      </c>
      <c r="P21" s="18" t="n">
        <v>0</v>
      </c>
      <c r="Q21" s="18" t="n">
        <v>0</v>
      </c>
      <c r="R21" s="18" t="n">
        <v>0</v>
      </c>
      <c r="S21" s="18" t="n">
        <v>0</v>
      </c>
      <c r="T21" s="18" t="n">
        <v>0</v>
      </c>
      <c r="U21" s="18" t="n">
        <v>0</v>
      </c>
      <c r="V21" s="18" t="n">
        <v>0</v>
      </c>
      <c r="W21" s="18" t="n">
        <f aca="false">SUM(K21:V21)</f>
        <v>41532</v>
      </c>
    </row>
    <row r="22" customFormat="false" ht="12" hidden="false" customHeight="true" outlineLevel="0" collapsed="false">
      <c r="A22" s="49" t="s">
        <v>22</v>
      </c>
      <c r="B22" s="18" t="n">
        <f aca="false">SUM(B18:B21)</f>
        <v>44856877</v>
      </c>
      <c r="C22" s="18" t="n">
        <f aca="false">SUM(C18:C21)</f>
        <v>55194257</v>
      </c>
      <c r="D22" s="18" t="n">
        <f aca="false">SUM(D18:D21)</f>
        <v>51505279</v>
      </c>
      <c r="E22" s="18" t="n">
        <f aca="false">SUM(E18:E21)</f>
        <v>55250637</v>
      </c>
      <c r="F22" s="18" t="n">
        <f aca="false">SUM(F18:F21)</f>
        <v>56663582</v>
      </c>
      <c r="G22" s="18" t="n">
        <f aca="false">SUM(G18:G21)</f>
        <v>53061488</v>
      </c>
      <c r="H22" s="18" t="n">
        <f aca="false">SUM(H18:H21)</f>
        <v>53530980</v>
      </c>
      <c r="I22" s="18" t="n">
        <f aca="false">SUM(I18:I21)</f>
        <v>52115109</v>
      </c>
      <c r="J22" s="18" t="n">
        <f aca="false">SUM(J18:J21)</f>
        <v>56108375</v>
      </c>
      <c r="K22" s="18" t="n">
        <f aca="false">SUM(K18:K21)</f>
        <v>56437728</v>
      </c>
      <c r="L22" s="18" t="n">
        <f aca="false">SUM(L18:L21)</f>
        <v>50977275</v>
      </c>
      <c r="M22" s="18" t="n">
        <f aca="false">SUM(M18:M21)</f>
        <v>56660854</v>
      </c>
      <c r="N22" s="18" t="n">
        <f aca="false">SUM(N18:N21)</f>
        <v>55433633</v>
      </c>
      <c r="O22" s="18" t="n">
        <f aca="false">SUM(O18:O21)</f>
        <v>57229431</v>
      </c>
      <c r="P22" s="18" t="n">
        <f aca="false">SUM(P18:P21)</f>
        <v>57797568</v>
      </c>
      <c r="Q22" s="18" t="n">
        <f aca="false">SUM(Q18:Q21)</f>
        <v>58805612</v>
      </c>
      <c r="R22" s="18" t="n">
        <f aca="false">SUM(R18:R21)</f>
        <v>60237555</v>
      </c>
      <c r="S22" s="18" t="n">
        <f aca="false">SUM(S18:S21)</f>
        <v>54912793</v>
      </c>
      <c r="T22" s="18" t="n">
        <f aca="false">SUM(T18:T21)</f>
        <v>57539595</v>
      </c>
      <c r="U22" s="18" t="n">
        <f aca="false">SUM(U18:U21)</f>
        <v>53523149</v>
      </c>
      <c r="V22" s="18" t="n">
        <f aca="false">SUM(V18:V21)</f>
        <v>53309276</v>
      </c>
      <c r="W22" s="18" t="n">
        <f aca="false">SUM(K22:V22)</f>
        <v>672864469</v>
      </c>
    </row>
    <row r="23" customFormat="false" ht="12" hidden="false" customHeight="true" outlineLevel="0" collapsed="false">
      <c r="A23" s="49" t="s">
        <v>66</v>
      </c>
      <c r="B23" s="18" t="n">
        <f aca="false">-B16+B22</f>
        <v>112994</v>
      </c>
      <c r="C23" s="18" t="n">
        <f aca="false">-C16+C22</f>
        <v>35888</v>
      </c>
      <c r="D23" s="18" t="n">
        <f aca="false">-D16+D22</f>
        <v>-66443</v>
      </c>
      <c r="E23" s="18" t="n">
        <f aca="false">-E16+E22</f>
        <v>-95395</v>
      </c>
      <c r="F23" s="18" t="n">
        <f aca="false">-F16+F22</f>
        <v>-30948</v>
      </c>
      <c r="G23" s="18" t="n">
        <f aca="false">-G16+G22</f>
        <v>-55718</v>
      </c>
      <c r="H23" s="18" t="n">
        <f aca="false">-H16+H22</f>
        <v>72599</v>
      </c>
      <c r="I23" s="18" t="n">
        <v>-61079</v>
      </c>
      <c r="J23" s="18" t="n">
        <f aca="false">-J16+J22</f>
        <v>-13247</v>
      </c>
      <c r="K23" s="18" t="n">
        <f aca="false">-K16+K22</f>
        <v>80269</v>
      </c>
      <c r="L23" s="18" t="n">
        <f aca="false">-L16+L22</f>
        <v>-6641</v>
      </c>
      <c r="M23" s="18" t="n">
        <f aca="false">-M16+M22</f>
        <v>176807</v>
      </c>
      <c r="N23" s="18" t="n">
        <f aca="false">-N16+N22</f>
        <v>163749</v>
      </c>
      <c r="O23" s="18" t="n">
        <f aca="false">-O16+O22</f>
        <v>195973</v>
      </c>
      <c r="P23" s="18" t="n">
        <f aca="false">-P16+P22</f>
        <v>273540</v>
      </c>
      <c r="Q23" s="18" t="n">
        <f aca="false">-Q16+Q22</f>
        <v>36077</v>
      </c>
      <c r="R23" s="18" t="n">
        <f aca="false">-R16+R22</f>
        <v>70197</v>
      </c>
      <c r="S23" s="18" t="n">
        <f aca="false">-S16+S22</f>
        <v>-6079</v>
      </c>
      <c r="T23" s="18" t="n">
        <f aca="false">-T16+T22</f>
        <v>74351</v>
      </c>
      <c r="U23" s="18" t="n">
        <f aca="false">-U16+U22</f>
        <v>-13965</v>
      </c>
      <c r="V23" s="18" t="n">
        <f aca="false">-V16+V22</f>
        <v>33241</v>
      </c>
      <c r="W23" s="18" t="n">
        <f aca="false">SUM(K23:V23)</f>
        <v>1077519</v>
      </c>
    </row>
    <row r="24" customFormat="false" ht="12" hidden="false" customHeight="true" outlineLevel="0" collapsed="false">
      <c r="A24" s="50" t="s">
        <v>24</v>
      </c>
      <c r="B24" s="19" t="n">
        <f aca="false">2*B23/(B16+B22)</f>
        <v>0.00252216610662677</v>
      </c>
      <c r="C24" s="19" t="n">
        <f aca="false">2*C23/(C16+C22)</f>
        <v>0.000650424032501048</v>
      </c>
      <c r="D24" s="19" t="n">
        <f aca="false">2*D23/(D16+D22)</f>
        <v>-0.00128919156272309</v>
      </c>
      <c r="E24" s="19" t="n">
        <f aca="false">2*E23/(E16+E22)</f>
        <v>-0.00172509716364062</v>
      </c>
      <c r="F24" s="19" t="n">
        <f aca="false">2*F23/(F16+F22)</f>
        <v>-0.000546021796834443</v>
      </c>
      <c r="G24" s="19" t="n">
        <f aca="false">G23/G16</f>
        <v>-0.00104896330578834</v>
      </c>
      <c r="H24" s="19" t="n">
        <f aca="false">H23/H16</f>
        <v>0.00135804711332354</v>
      </c>
      <c r="I24" s="19" t="n">
        <f aca="false">I23/I16</f>
        <v>-0.0011830238107196</v>
      </c>
      <c r="J24" s="19" t="n">
        <f aca="false">J23/J16</f>
        <v>-0.000236040932672972</v>
      </c>
      <c r="K24" s="19" t="n">
        <f aca="false">K23/K16</f>
        <v>0.00142428351853124</v>
      </c>
      <c r="L24" s="19" t="n">
        <f aca="false">L23/L16</f>
        <v>-0.00013025676568273</v>
      </c>
      <c r="M24" s="19" t="n">
        <f aca="false">M23/M16</f>
        <v>0.00313021126124337</v>
      </c>
      <c r="N24" s="19" t="n">
        <f aca="false">N23/N16</f>
        <v>0.00296271654921512</v>
      </c>
      <c r="O24" s="19" t="n">
        <f aca="false">O23/O16</f>
        <v>0.00343610587315256</v>
      </c>
      <c r="P24" s="19" t="n">
        <f aca="false">P23/P16</f>
        <v>0.00475523028394326</v>
      </c>
      <c r="Q24" s="19" t="n">
        <f aca="false">Q23/Q16</f>
        <v>0.000613872476615648</v>
      </c>
      <c r="R24" s="19" t="n">
        <f aca="false">R23/R16</f>
        <v>0.00116669573558473</v>
      </c>
      <c r="S24" s="19" t="n">
        <f aca="false">S23/S16</f>
        <v>-0.000110690547322239</v>
      </c>
      <c r="T24" s="19" t="n">
        <f aca="false">T23/T16</f>
        <v>0.00129384293574043</v>
      </c>
      <c r="U24" s="19" t="n">
        <f aca="false">U23/U16</f>
        <v>-0.00026084708264252</v>
      </c>
      <c r="V24" s="19" t="n">
        <f aca="false">V23/V16</f>
        <v>0.000623939075045656</v>
      </c>
      <c r="W24" s="19" t="n">
        <f aca="false">W23/W16</f>
        <v>0.00160395941004808</v>
      </c>
    </row>
    <row r="25" customFormat="false" ht="12.75" hidden="false" customHeight="false" outlineLevel="0" collapsed="false">
      <c r="A25" s="4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customFormat="false" ht="13.5" hidden="false" customHeight="false" outlineLevel="0" collapsed="false">
      <c r="A26" s="1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customFormat="false" ht="12.75" hidden="false" customHeight="false" outlineLevel="0" collapsed="false">
      <c r="A27" s="4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customFormat="false" ht="13.5" hidden="false" customHeight="false" outlineLevel="0" collapsed="false">
      <c r="A28" s="15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customFormat="false" ht="13.5" hidden="false" customHeight="false" outlineLevel="0" collapsed="false">
      <c r="A29" s="15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1" customFormat="false" ht="12.75" hidden="false" customHeight="false" outlineLevel="0" collapsed="false">
      <c r="L31" s="0"/>
    </row>
    <row r="32" customFormat="false" ht="12.75" hidden="false" customHeight="false" outlineLevel="0" collapsed="false">
      <c r="L32" s="0"/>
    </row>
    <row r="33" customFormat="false" ht="12.75" hidden="false" customHeight="false" outlineLevel="0" collapsed="false">
      <c r="L33" s="0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DTH PRA (00)12 Month Historical</oddHeader>
    <oddFooter>&amp;L&amp;F&amp;CPage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0" width="10.13"/>
  </cols>
  <sheetData>
    <row r="1" customFormat="false" ht="12.75" hidden="false" customHeight="false" outlineLevel="0" collapsed="false">
      <c r="A1" s="53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customFormat="false" ht="12.75" hidden="false" customHeight="false" outlineLevel="0" collapsed="false">
      <c r="A2" s="53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customFormat="false" ht="12.75" hidden="false" customHeight="false" outlineLevel="0" collapsed="false">
      <c r="A3" s="53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customFormat="false" ht="12.75" hidden="false" customHeight="false" outlineLevel="0" collapsed="false">
      <c r="A4" s="5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customFormat="false" ht="13.5" hidden="false" customHeight="false" outlineLevel="0" collapsed="false">
      <c r="A5" s="53"/>
      <c r="B5" s="44" t="s">
        <v>67</v>
      </c>
      <c r="C5" s="44" t="s">
        <v>16</v>
      </c>
      <c r="D5" s="44" t="s">
        <v>17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10</v>
      </c>
      <c r="J5" s="44" t="s">
        <v>11</v>
      </c>
      <c r="K5" s="44" t="s">
        <v>12</v>
      </c>
      <c r="L5" s="44" t="s">
        <v>13</v>
      </c>
      <c r="M5" s="44" t="s">
        <v>14</v>
      </c>
      <c r="N5" s="45"/>
    </row>
    <row r="6" customFormat="false" ht="13.5" hidden="false" customHeight="false" outlineLevel="0" collapsed="false">
      <c r="A6" s="53"/>
      <c r="B6" s="44" t="n">
        <v>2001</v>
      </c>
      <c r="C6" s="44" t="n">
        <v>2001</v>
      </c>
      <c r="D6" s="44" t="n">
        <v>2001</v>
      </c>
      <c r="E6" s="44" t="n">
        <v>2001</v>
      </c>
      <c r="F6" s="44" t="n">
        <v>2001</v>
      </c>
      <c r="G6" s="44" t="n">
        <v>2001</v>
      </c>
      <c r="H6" s="44" t="n">
        <v>2001</v>
      </c>
      <c r="I6" s="44" t="n">
        <v>2001</v>
      </c>
      <c r="J6" s="44" t="n">
        <v>2001</v>
      </c>
      <c r="K6" s="44" t="n">
        <v>2001</v>
      </c>
      <c r="L6" s="44" t="n">
        <v>2001</v>
      </c>
      <c r="M6" s="44" t="n">
        <v>2001</v>
      </c>
      <c r="N6" s="45" t="s">
        <v>19</v>
      </c>
    </row>
    <row r="7" customFormat="false" ht="12.75" hidden="false" customHeight="false" outlineLevel="0" collapsed="false">
      <c r="A7" s="5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8"/>
    </row>
    <row r="8" customFormat="false" ht="13.5" hidden="false" customHeight="false" outlineLevel="0" collapsed="false">
      <c r="A8" s="53" t="s">
        <v>20</v>
      </c>
      <c r="B8" s="46" t="n">
        <v>100779475</v>
      </c>
      <c r="C8" s="46" t="n">
        <v>91861489</v>
      </c>
      <c r="D8" s="46" t="n">
        <v>99038483</v>
      </c>
      <c r="E8" s="46" t="n">
        <f aca="false">54098141+27424388</f>
        <v>81522529</v>
      </c>
      <c r="F8" s="46" t="n">
        <f aca="false">55705625+30581089</f>
        <v>86286714</v>
      </c>
      <c r="G8" s="46" t="n">
        <f aca="false">56237239+28131426</f>
        <v>84368665</v>
      </c>
      <c r="H8" s="46" t="n">
        <f aca="false">57339300+31127927</f>
        <v>88467227</v>
      </c>
      <c r="I8" s="46" t="n">
        <f aca="false">58687977+31510250</f>
        <v>90198227</v>
      </c>
      <c r="J8" s="46" t="n">
        <f aca="false">53750305+31111300</f>
        <v>84861605</v>
      </c>
      <c r="K8" s="46" t="n">
        <f aca="false">56154816+32385757</f>
        <v>88540573</v>
      </c>
      <c r="L8" s="46" t="n">
        <f aca="false">52313502+33510261</f>
        <v>85823763</v>
      </c>
      <c r="M8" s="46" t="n">
        <f aca="false">52034362+31550447</f>
        <v>83584809</v>
      </c>
      <c r="N8" s="18" t="n">
        <f aca="false">SUM(B8:M8)</f>
        <v>1065333559</v>
      </c>
    </row>
    <row r="9" customFormat="false" ht="13.5" hidden="false" customHeight="false" outlineLevel="0" collapsed="false">
      <c r="A9" s="53" t="s">
        <v>21</v>
      </c>
      <c r="B9" s="46" t="n">
        <v>100209794</v>
      </c>
      <c r="C9" s="46" t="n">
        <v>91262582</v>
      </c>
      <c r="D9" s="46" t="n">
        <v>98458713</v>
      </c>
      <c r="E9" s="46" t="n">
        <f aca="false">54261649+27424388</f>
        <v>81686037</v>
      </c>
      <c r="F9" s="46" t="n">
        <f aca="false">55896863+30581089</f>
        <v>86477952</v>
      </c>
      <c r="G9" s="46" t="n">
        <f aca="false">56473937+28131426</f>
        <v>84605363</v>
      </c>
      <c r="H9" s="46" t="n">
        <f aca="false">57373878+31127927</f>
        <v>88501805</v>
      </c>
      <c r="I9" s="46" t="n">
        <f aca="false">58730174+31510250</f>
        <v>90240424</v>
      </c>
      <c r="J9" s="46" t="n">
        <f aca="false">53690678+31111300</f>
        <v>84801978</v>
      </c>
      <c r="K9" s="46" t="n">
        <f aca="false">56228013+32385757</f>
        <v>88613770</v>
      </c>
      <c r="L9" s="46" t="n">
        <f aca="false">52294368+33510261</f>
        <v>85804629</v>
      </c>
      <c r="M9" s="46" t="n">
        <f aca="false">52061698+31550447</f>
        <v>83612145</v>
      </c>
      <c r="N9" s="18" t="n">
        <f aca="false">SUM(B9:M9)</f>
        <v>1064275192</v>
      </c>
    </row>
    <row r="10" customFormat="false" ht="12.75" hidden="false" customHeight="false" outlineLevel="0" collapsed="false">
      <c r="A10" s="53" t="s">
        <v>22</v>
      </c>
      <c r="B10" s="18" t="n">
        <f aca="false">+B9+B19+B20+B21</f>
        <v>100813466</v>
      </c>
      <c r="C10" s="18" t="n">
        <f aca="false">+C9+C19+C20+C21</f>
        <v>91849453</v>
      </c>
      <c r="D10" s="18" t="n">
        <f aca="false">+D9+D19+D20+D21</f>
        <v>99193098</v>
      </c>
      <c r="E10" s="18" t="n">
        <f aca="false">+E9+E19+E20+E21</f>
        <v>81686037</v>
      </c>
      <c r="F10" s="18" t="n">
        <f aca="false">+F9+F19+F20+F21</f>
        <v>86477952</v>
      </c>
      <c r="G10" s="18" t="n">
        <f aca="false">+G9+G19+G20+G21</f>
        <v>84605363</v>
      </c>
      <c r="H10" s="18" t="n">
        <f aca="false">+H9+H19+H20+H21</f>
        <v>88501805</v>
      </c>
      <c r="I10" s="18" t="n">
        <f aca="false">+I9+I19+I20+I21</f>
        <v>90240424</v>
      </c>
      <c r="J10" s="18" t="n">
        <f aca="false">+J9+J19+J20+J21</f>
        <v>84801978</v>
      </c>
      <c r="K10" s="18" t="n">
        <f aca="false">+K9+K19+K20+K21</f>
        <v>88613770</v>
      </c>
      <c r="L10" s="18" t="n">
        <f aca="false">+L9+L19+L20+L21</f>
        <v>85804629</v>
      </c>
      <c r="M10" s="18" t="n">
        <f aca="false">+M9+M19+M20+M21</f>
        <v>83612145</v>
      </c>
      <c r="N10" s="18" t="n">
        <f aca="false">SUM(B10:M10)</f>
        <v>1066200120</v>
      </c>
    </row>
    <row r="11" customFormat="false" ht="12.75" hidden="false" customHeight="false" outlineLevel="0" collapsed="false">
      <c r="A11" s="53" t="s">
        <v>23</v>
      </c>
      <c r="B11" s="18" t="n">
        <f aca="false">-B8+B10</f>
        <v>33991</v>
      </c>
      <c r="C11" s="18" t="n">
        <f aca="false">-C8+C10</f>
        <v>-12036</v>
      </c>
      <c r="D11" s="18" t="n">
        <f aca="false">-D8+D10</f>
        <v>154615</v>
      </c>
      <c r="E11" s="18" t="n">
        <f aca="false">-E8+E10</f>
        <v>163508</v>
      </c>
      <c r="F11" s="18" t="n">
        <f aca="false">-F8+F10</f>
        <v>191238</v>
      </c>
      <c r="G11" s="18" t="n">
        <f aca="false">-G8+G10</f>
        <v>236698</v>
      </c>
      <c r="H11" s="18" t="n">
        <f aca="false">-H8+H10</f>
        <v>34578</v>
      </c>
      <c r="I11" s="18" t="n">
        <f aca="false">-I8+I10</f>
        <v>42197</v>
      </c>
      <c r="J11" s="18" t="n">
        <f aca="false">-J8+J10</f>
        <v>-59627</v>
      </c>
      <c r="K11" s="18" t="n">
        <f aca="false">-K8+K10</f>
        <v>73197</v>
      </c>
      <c r="L11" s="18" t="n">
        <f aca="false">-L8+L10</f>
        <v>-19134</v>
      </c>
      <c r="M11" s="18" t="n">
        <f aca="false">-M8+M10</f>
        <v>27336</v>
      </c>
      <c r="N11" s="18" t="n">
        <f aca="false">SUM(B11:M11)</f>
        <v>866561</v>
      </c>
    </row>
    <row r="12" customFormat="false" ht="12.75" hidden="false" customHeight="false" outlineLevel="0" collapsed="false">
      <c r="A12" s="54" t="s">
        <v>24</v>
      </c>
      <c r="B12" s="19" t="n">
        <f aca="false">B11/B8</f>
        <v>0.000337280979088252</v>
      </c>
      <c r="C12" s="19" t="n">
        <f aca="false">C11/C8</f>
        <v>-0.000131023349730375</v>
      </c>
      <c r="D12" s="19" t="n">
        <f aca="false">D11/D8</f>
        <v>0.00156116082674651</v>
      </c>
      <c r="E12" s="19" t="n">
        <f aca="false">E11/E8</f>
        <v>0.0020056787001787</v>
      </c>
      <c r="F12" s="19" t="n">
        <f aca="false">F11/F8</f>
        <v>0.00221630875872733</v>
      </c>
      <c r="G12" s="19" t="n">
        <f aca="false">G11/G8</f>
        <v>0.002805520272248</v>
      </c>
      <c r="H12" s="19" t="n">
        <f aca="false">H11/H8</f>
        <v>0.000390856605011481</v>
      </c>
      <c r="I12" s="19" t="n">
        <f aca="false">I11/I8</f>
        <v>0.000467825160244003</v>
      </c>
      <c r="J12" s="19" t="n">
        <f aca="false">J11/J8</f>
        <v>-0.000702638136528292</v>
      </c>
      <c r="K12" s="19" t="n">
        <f aca="false">K11/K8</f>
        <v>0.000826705740881076</v>
      </c>
      <c r="L12" s="19" t="n">
        <f aca="false">L11/L8</f>
        <v>-0.000222945246528051</v>
      </c>
      <c r="M12" s="19" t="n">
        <f aca="false">M11/M8</f>
        <v>0.000327045073465443</v>
      </c>
      <c r="N12" s="19" t="n">
        <f aca="false">2*N11/(N8+N10)</f>
        <v>0.000813086847782338</v>
      </c>
    </row>
    <row r="13" customFormat="false" ht="12.75" hidden="false" customHeight="false" outlineLevel="0" collapsed="false">
      <c r="A13" s="53" t="s">
        <v>25</v>
      </c>
      <c r="B13" s="18" t="n">
        <f aca="false">-B8+B10</f>
        <v>33991</v>
      </c>
      <c r="C13" s="18" t="n">
        <f aca="false">-C8+C10</f>
        <v>-12036</v>
      </c>
      <c r="D13" s="18" t="n">
        <f aca="false">-D8+D10</f>
        <v>154615</v>
      </c>
      <c r="E13" s="18" t="n">
        <f aca="false">-E8+E10</f>
        <v>163508</v>
      </c>
      <c r="F13" s="18" t="n">
        <f aca="false">-F8+F10</f>
        <v>191238</v>
      </c>
      <c r="G13" s="18" t="n">
        <f aca="false">-G8+G10</f>
        <v>236698</v>
      </c>
      <c r="H13" s="18" t="n">
        <f aca="false">-H8+H10</f>
        <v>34578</v>
      </c>
      <c r="I13" s="18" t="n">
        <f aca="false">-I8+I10</f>
        <v>42197</v>
      </c>
      <c r="J13" s="18" t="n">
        <f aca="false">-J8+J10</f>
        <v>-59627</v>
      </c>
      <c r="K13" s="18" t="n">
        <f aca="false">-K8+K10</f>
        <v>73197</v>
      </c>
      <c r="L13" s="18" t="n">
        <f aca="false">-L8+L10</f>
        <v>-19134</v>
      </c>
      <c r="M13" s="18" t="n">
        <f aca="false">-M8+M10</f>
        <v>27336</v>
      </c>
      <c r="N13" s="18" t="n">
        <f aca="false">SUM(B13:M13)</f>
        <v>866561</v>
      </c>
    </row>
    <row r="14" customFormat="false" ht="12.75" hidden="false" customHeight="false" outlineLevel="0" collapsed="false">
      <c r="A14" s="54" t="s">
        <v>24</v>
      </c>
      <c r="B14" s="19" t="n">
        <f aca="false">B13/B8</f>
        <v>0.000337280979088252</v>
      </c>
      <c r="C14" s="19" t="n">
        <f aca="false">C13/C8</f>
        <v>-0.000131023349730375</v>
      </c>
      <c r="D14" s="19" t="n">
        <f aca="false">D13/D8</f>
        <v>0.00156116082674651</v>
      </c>
      <c r="E14" s="19" t="n">
        <f aca="false">E13/E8</f>
        <v>0.0020056787001787</v>
      </c>
      <c r="F14" s="19" t="n">
        <f aca="false">F13/F8</f>
        <v>0.00221630875872733</v>
      </c>
      <c r="G14" s="19" t="n">
        <f aca="false">G13/G8</f>
        <v>0.002805520272248</v>
      </c>
      <c r="H14" s="19" t="n">
        <f aca="false">H13/H8</f>
        <v>0.000390856605011481</v>
      </c>
      <c r="I14" s="19" t="n">
        <f aca="false">I13/I8</f>
        <v>0.000467825160244003</v>
      </c>
      <c r="J14" s="19" t="n">
        <f aca="false">J13/J8</f>
        <v>-0.000702638136528292</v>
      </c>
      <c r="K14" s="19" t="n">
        <f aca="false">K13/K8</f>
        <v>0.000826705740881076</v>
      </c>
      <c r="L14" s="19" t="n">
        <f aca="false">L13/L8</f>
        <v>-0.000222945246528051</v>
      </c>
      <c r="M14" s="19" t="n">
        <f aca="false">M13/M8</f>
        <v>0.000327045073465443</v>
      </c>
      <c r="N14" s="19" t="n">
        <f aca="false">2*N13/(N8+N10)</f>
        <v>0.000813086847782338</v>
      </c>
    </row>
    <row r="15" customFormat="false" ht="13.5" hidden="false" customHeight="false" outlineLevel="0" collapsed="false">
      <c r="A15" s="53"/>
      <c r="B15" s="40"/>
      <c r="C15" s="40"/>
      <c r="D15" s="40"/>
      <c r="E15" s="42"/>
      <c r="F15" s="42"/>
      <c r="G15" s="42"/>
      <c r="H15" s="42"/>
      <c r="I15" s="42"/>
      <c r="J15" s="42"/>
      <c r="K15" s="42"/>
      <c r="L15" s="42"/>
      <c r="M15" s="42"/>
      <c r="N15" s="18" t="s">
        <v>1</v>
      </c>
    </row>
    <row r="16" customFormat="false" ht="12.75" hidden="false" customHeight="false" outlineLevel="0" collapsed="false">
      <c r="A16" s="53" t="s">
        <v>26</v>
      </c>
      <c r="B16" s="18" t="n">
        <v>55069548</v>
      </c>
      <c r="C16" s="18" t="n">
        <v>49885476</v>
      </c>
      <c r="D16" s="18" t="n">
        <v>55438477</v>
      </c>
      <c r="E16" s="18" t="n">
        <v>54098141</v>
      </c>
      <c r="F16" s="18" t="n">
        <v>55705625</v>
      </c>
      <c r="G16" s="18" t="n">
        <v>56237239</v>
      </c>
      <c r="H16" s="18" t="n">
        <v>57339300</v>
      </c>
      <c r="I16" s="18" t="n">
        <v>58687977</v>
      </c>
      <c r="J16" s="18" t="n">
        <v>53750305</v>
      </c>
      <c r="K16" s="18" t="n">
        <v>56154816</v>
      </c>
      <c r="L16" s="18" t="n">
        <v>52313502</v>
      </c>
      <c r="M16" s="18" t="n">
        <v>52034362</v>
      </c>
      <c r="N16" s="18" t="n">
        <f aca="false">SUM(B16:M16)</f>
        <v>656714768</v>
      </c>
    </row>
    <row r="17" customFormat="false" ht="12.75" hidden="false" customHeight="false" outlineLevel="0" collapsed="false">
      <c r="A17" s="5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</row>
    <row r="18" customFormat="false" ht="12.75" hidden="false" customHeight="false" outlineLevel="0" collapsed="false">
      <c r="A18" s="53" t="s">
        <v>27</v>
      </c>
      <c r="B18" s="18" t="n">
        <v>54499867</v>
      </c>
      <c r="C18" s="18" t="n">
        <v>49286569</v>
      </c>
      <c r="D18" s="18" t="n">
        <v>54858707</v>
      </c>
      <c r="E18" s="18" t="n">
        <v>54261649</v>
      </c>
      <c r="F18" s="18" t="n">
        <v>55896863</v>
      </c>
      <c r="G18" s="18" t="n">
        <v>56473937</v>
      </c>
      <c r="H18" s="18" t="n">
        <v>57373878</v>
      </c>
      <c r="I18" s="18" t="n">
        <v>58730174</v>
      </c>
      <c r="J18" s="18" t="n">
        <v>53690678</v>
      </c>
      <c r="K18" s="18" t="n">
        <v>56228013</v>
      </c>
      <c r="L18" s="18" t="n">
        <v>52294368</v>
      </c>
      <c r="M18" s="18" t="n">
        <v>52061698</v>
      </c>
      <c r="N18" s="18" t="n">
        <f aca="false">SUM(B18:M18)</f>
        <v>655656401</v>
      </c>
    </row>
    <row r="19" customFormat="false" ht="12.75" hidden="false" customHeight="false" outlineLevel="0" collapsed="false">
      <c r="A19" s="53" t="s">
        <v>28</v>
      </c>
      <c r="B19" s="18" t="n">
        <v>617427</v>
      </c>
      <c r="C19" s="18" t="n">
        <v>554738</v>
      </c>
      <c r="D19" s="18" t="n">
        <v>622965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0</v>
      </c>
      <c r="L19" s="18" t="n">
        <v>0</v>
      </c>
      <c r="M19" s="18" t="n">
        <v>0</v>
      </c>
      <c r="N19" s="18" t="n">
        <f aca="false">SUM(B19:M19)</f>
        <v>1795130</v>
      </c>
    </row>
    <row r="20" customFormat="false" ht="12.75" hidden="false" customHeight="false" outlineLevel="0" collapsed="false">
      <c r="A20" s="53" t="s">
        <v>29</v>
      </c>
      <c r="B20" s="18" t="n">
        <v>-15345</v>
      </c>
      <c r="C20" s="18" t="n">
        <v>31455</v>
      </c>
      <c r="D20" s="18" t="n">
        <v>105722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0</v>
      </c>
      <c r="L20" s="18" t="n">
        <v>0</v>
      </c>
      <c r="M20" s="18" t="n">
        <v>0</v>
      </c>
      <c r="N20" s="18" t="n">
        <f aca="false">SUM(B20:M20)</f>
        <v>121832</v>
      </c>
    </row>
    <row r="21" customFormat="false" ht="12.75" hidden="false" customHeight="false" outlineLevel="0" collapsed="false">
      <c r="A21" s="53" t="s">
        <v>30</v>
      </c>
      <c r="B21" s="18" t="n">
        <v>1590</v>
      </c>
      <c r="C21" s="18" t="n">
        <v>678</v>
      </c>
      <c r="D21" s="18" t="n">
        <v>5698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0</v>
      </c>
      <c r="N21" s="18" t="n">
        <f aca="false">SUM(B21:M21)</f>
        <v>7966</v>
      </c>
    </row>
    <row r="22" customFormat="false" ht="12.75" hidden="false" customHeight="false" outlineLevel="0" collapsed="false">
      <c r="A22" s="53" t="s">
        <v>22</v>
      </c>
      <c r="B22" s="18" t="n">
        <f aca="false">SUM(B18:B21)</f>
        <v>55103539</v>
      </c>
      <c r="C22" s="18" t="n">
        <f aca="false">SUM(C18:C21)</f>
        <v>49873440</v>
      </c>
      <c r="D22" s="18" t="n">
        <f aca="false">SUM(D18:D21)</f>
        <v>55593092</v>
      </c>
      <c r="E22" s="18" t="n">
        <f aca="false">SUM(E18:E21)</f>
        <v>54261649</v>
      </c>
      <c r="F22" s="18" t="n">
        <f aca="false">SUM(F18:F21)</f>
        <v>55896863</v>
      </c>
      <c r="G22" s="18" t="n">
        <f aca="false">SUM(G18:G21)</f>
        <v>56473937</v>
      </c>
      <c r="H22" s="18" t="n">
        <f aca="false">SUM(H18:H21)</f>
        <v>57373878</v>
      </c>
      <c r="I22" s="18" t="n">
        <f aca="false">SUM(I18:I21)</f>
        <v>58730174</v>
      </c>
      <c r="J22" s="18" t="n">
        <f aca="false">SUM(J18:J21)</f>
        <v>53690678</v>
      </c>
      <c r="K22" s="18" t="n">
        <f aca="false">SUM(K18:K21)</f>
        <v>56228013</v>
      </c>
      <c r="L22" s="18" t="n">
        <f aca="false">SUM(L18:L21)</f>
        <v>52294368</v>
      </c>
      <c r="M22" s="18" t="n">
        <f aca="false">SUM(M18:M21)</f>
        <v>52061698</v>
      </c>
      <c r="N22" s="18" t="n">
        <f aca="false">SUM(B22:M22)</f>
        <v>657581329</v>
      </c>
    </row>
    <row r="23" customFormat="false" ht="12.75" hidden="false" customHeight="false" outlineLevel="0" collapsed="false">
      <c r="A23" s="53" t="s">
        <v>65</v>
      </c>
      <c r="B23" s="18" t="n">
        <f aca="false">-B16+B22</f>
        <v>33991</v>
      </c>
      <c r="C23" s="18" t="n">
        <f aca="false">-C16+C22</f>
        <v>-12036</v>
      </c>
      <c r="D23" s="18" t="n">
        <f aca="false">-D16+D22</f>
        <v>154615</v>
      </c>
      <c r="E23" s="18" t="n">
        <f aca="false">-E16+E22</f>
        <v>163508</v>
      </c>
      <c r="F23" s="18" t="n">
        <f aca="false">-F16+F22</f>
        <v>191238</v>
      </c>
      <c r="G23" s="18" t="n">
        <f aca="false">-G16+G22</f>
        <v>236698</v>
      </c>
      <c r="H23" s="18" t="n">
        <f aca="false">-H16+H22</f>
        <v>34578</v>
      </c>
      <c r="I23" s="18" t="n">
        <f aca="false">-I16+I22</f>
        <v>42197</v>
      </c>
      <c r="J23" s="18" t="n">
        <f aca="false">-J16+J22</f>
        <v>-59627</v>
      </c>
      <c r="K23" s="18" t="n">
        <f aca="false">-K16+K22</f>
        <v>73197</v>
      </c>
      <c r="L23" s="18" t="n">
        <f aca="false">-L16+L22</f>
        <v>-19134</v>
      </c>
      <c r="M23" s="18" t="n">
        <f aca="false">-M16+M22</f>
        <v>27336</v>
      </c>
      <c r="N23" s="18" t="n">
        <f aca="false">SUM(B23:M23)</f>
        <v>866561</v>
      </c>
    </row>
    <row r="24" customFormat="false" ht="12.75" hidden="false" customHeight="false" outlineLevel="0" collapsed="false">
      <c r="A24" s="54" t="s">
        <v>24</v>
      </c>
      <c r="B24" s="19" t="n">
        <f aca="false">B23/B16</f>
        <v>0.00061723767916163</v>
      </c>
      <c r="C24" s="19" t="n">
        <f aca="false">C23/C16</f>
        <v>-0.000241272630133869</v>
      </c>
      <c r="D24" s="19" t="n">
        <f aca="false">D23/D16</f>
        <v>0.00278894746693709</v>
      </c>
      <c r="E24" s="19" t="n">
        <f aca="false">E23/E16</f>
        <v>0.00302243287805398</v>
      </c>
      <c r="F24" s="19" t="n">
        <f aca="false">F23/F16</f>
        <v>0.00343301058017032</v>
      </c>
      <c r="G24" s="19" t="n">
        <f aca="false">G23/G16</f>
        <v>0.00420891928922755</v>
      </c>
      <c r="H24" s="19" t="n">
        <f aca="false">H23/H16</f>
        <v>0.000603041892733256</v>
      </c>
      <c r="I24" s="19" t="n">
        <f aca="false">I23/I16</f>
        <v>0.00071900587065729</v>
      </c>
      <c r="J24" s="19" t="n">
        <f aca="false">J23/J16</f>
        <v>-0.00110933324006254</v>
      </c>
      <c r="K24" s="19" t="n">
        <f aca="false">K23/K16</f>
        <v>0.0013034857063729</v>
      </c>
      <c r="L24" s="19" t="n">
        <f aca="false">L23/L16</f>
        <v>-0.000365756435116884</v>
      </c>
      <c r="M24" s="19" t="n">
        <f aca="false">M23/M16</f>
        <v>0.000525345155572389</v>
      </c>
      <c r="N24" s="19" t="n">
        <f aca="false">N23/N16</f>
        <v>0.00131953938334458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0" width="10.13"/>
  </cols>
  <sheetData>
    <row r="1" customFormat="false" ht="12.75" hidden="false" customHeight="false" outlineLevel="0" collapsed="false">
      <c r="A1" s="53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customFormat="false" ht="12.75" hidden="false" customHeight="false" outlineLevel="0" collapsed="false">
      <c r="A2" s="53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customFormat="false" ht="12.75" hidden="false" customHeight="false" outlineLevel="0" collapsed="false">
      <c r="A3" s="53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customFormat="false" ht="12.75" hidden="false" customHeight="false" outlineLevel="0" collapsed="false">
      <c r="A4" s="5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customFormat="false" ht="13.5" hidden="false" customHeight="false" outlineLevel="0" collapsed="false">
      <c r="A5" s="53"/>
      <c r="B5" s="44" t="s">
        <v>67</v>
      </c>
      <c r="C5" s="44" t="s">
        <v>16</v>
      </c>
      <c r="D5" s="44" t="s">
        <v>17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10</v>
      </c>
      <c r="J5" s="44" t="s">
        <v>11</v>
      </c>
      <c r="K5" s="44" t="s">
        <v>12</v>
      </c>
      <c r="L5" s="44" t="s">
        <v>13</v>
      </c>
      <c r="M5" s="44" t="s">
        <v>14</v>
      </c>
      <c r="N5" s="45"/>
    </row>
    <row r="6" customFormat="false" ht="13.5" hidden="false" customHeight="false" outlineLevel="0" collapsed="false">
      <c r="A6" s="53"/>
      <c r="B6" s="44" t="n">
        <v>2001</v>
      </c>
      <c r="C6" s="44" t="n">
        <v>2001</v>
      </c>
      <c r="D6" s="44" t="n">
        <v>2001</v>
      </c>
      <c r="E6" s="44" t="n">
        <v>2001</v>
      </c>
      <c r="F6" s="44" t="n">
        <v>2001</v>
      </c>
      <c r="G6" s="44" t="n">
        <v>2001</v>
      </c>
      <c r="H6" s="44" t="n">
        <v>2001</v>
      </c>
      <c r="I6" s="44" t="n">
        <v>2001</v>
      </c>
      <c r="J6" s="44" t="n">
        <v>2001</v>
      </c>
      <c r="K6" s="44" t="n">
        <v>2001</v>
      </c>
      <c r="L6" s="44" t="n">
        <v>2001</v>
      </c>
      <c r="M6" s="44" t="n">
        <v>2001</v>
      </c>
      <c r="N6" s="45" t="s">
        <v>19</v>
      </c>
    </row>
    <row r="7" customFormat="false" ht="12.75" hidden="false" customHeight="false" outlineLevel="0" collapsed="false">
      <c r="A7" s="5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8"/>
    </row>
    <row r="8" customFormat="false" ht="13.5" hidden="false" customHeight="false" outlineLevel="0" collapsed="false">
      <c r="A8" s="53" t="s">
        <v>20</v>
      </c>
      <c r="B8" s="46" t="n">
        <v>103863226</v>
      </c>
      <c r="C8" s="46" t="n">
        <v>94543519</v>
      </c>
      <c r="D8" s="46" t="n">
        <v>101491769</v>
      </c>
      <c r="E8" s="18" t="n">
        <f aca="false">55269884+28678561</f>
        <v>83948445</v>
      </c>
      <c r="F8" s="18" t="n">
        <f aca="false">57033458+32020754</f>
        <v>89054212</v>
      </c>
      <c r="G8" s="18" t="n">
        <f aca="false">57524028+29335559</f>
        <v>86859587</v>
      </c>
      <c r="H8" s="18" t="n">
        <f aca="false">58769535+32437043</f>
        <v>91206578</v>
      </c>
      <c r="I8" s="18" t="n">
        <f aca="false">60167358+32819369</f>
        <v>92986727</v>
      </c>
      <c r="J8" s="18" t="n">
        <f aca="false">54918872+32333952</f>
        <v>87252824</v>
      </c>
      <c r="K8" s="18" t="n">
        <f aca="false">57465244+33719539</f>
        <v>91184783</v>
      </c>
      <c r="L8" s="46" t="n">
        <f aca="false">53537114+34877849</f>
        <v>88414963</v>
      </c>
      <c r="M8" s="46" t="n">
        <f aca="false">53276035+32863677</f>
        <v>86139712</v>
      </c>
      <c r="N8" s="18" t="n">
        <f aca="false">SUM(B8:M8)</f>
        <v>1096946345</v>
      </c>
    </row>
    <row r="9" customFormat="false" ht="13.5" hidden="false" customHeight="false" outlineLevel="0" collapsed="false">
      <c r="A9" s="53" t="s">
        <v>21</v>
      </c>
      <c r="B9" s="46" t="n">
        <v>103317284</v>
      </c>
      <c r="C9" s="46" t="n">
        <v>93929128</v>
      </c>
      <c r="D9" s="46" t="n">
        <v>100893159</v>
      </c>
      <c r="E9" s="18" t="n">
        <f aca="false">55433633+28678561</f>
        <v>84112194</v>
      </c>
      <c r="F9" s="18" t="n">
        <f aca="false">57229431+32020754</f>
        <v>89250185</v>
      </c>
      <c r="G9" s="18" t="n">
        <f aca="false">57797568+29335559</f>
        <v>87133127</v>
      </c>
      <c r="H9" s="18" t="n">
        <f aca="false">58805612+32437043</f>
        <v>91242655</v>
      </c>
      <c r="I9" s="18" t="n">
        <f aca="false">60237555+32819369</f>
        <v>93056924</v>
      </c>
      <c r="J9" s="18" t="n">
        <f aca="false">54912793+32333952</f>
        <v>87246745</v>
      </c>
      <c r="K9" s="18" t="n">
        <f aca="false">57539595+33719539</f>
        <v>91259134</v>
      </c>
      <c r="L9" s="46" t="n">
        <f aca="false">53523149+34877849</f>
        <v>88400998</v>
      </c>
      <c r="M9" s="46" t="n">
        <f aca="false">53309276+32863677</f>
        <v>86172953</v>
      </c>
      <c r="N9" s="18" t="n">
        <f aca="false">SUM(B9:M9)</f>
        <v>1096014486</v>
      </c>
    </row>
    <row r="10" customFormat="false" ht="12.75" hidden="false" customHeight="false" outlineLevel="0" collapsed="false">
      <c r="A10" s="53" t="s">
        <v>22</v>
      </c>
      <c r="B10" s="18" t="n">
        <f aca="false">+B9+B19+B20+B21</f>
        <v>103943495</v>
      </c>
      <c r="C10" s="18" t="n">
        <f aca="false">+C9+C19+C20+C21</f>
        <v>94536878</v>
      </c>
      <c r="D10" s="18" t="n">
        <f aca="false">+D9+D19+D20+D21</f>
        <v>101668576</v>
      </c>
      <c r="E10" s="18" t="n">
        <f aca="false">+E9+E19+E20+E21</f>
        <v>84112194</v>
      </c>
      <c r="F10" s="18" t="n">
        <f aca="false">+F9+F19+F20+F21</f>
        <v>89250185</v>
      </c>
      <c r="G10" s="18" t="n">
        <f aca="false">+G9+G19+G20+G21</f>
        <v>87133127</v>
      </c>
      <c r="H10" s="18" t="n">
        <f aca="false">+H9+H19+H20+H21</f>
        <v>91242655</v>
      </c>
      <c r="I10" s="18" t="n">
        <f aca="false">+I9+I19+I20+I21</f>
        <v>93056924</v>
      </c>
      <c r="J10" s="18" t="n">
        <f aca="false">+J9+J19+J20+J21</f>
        <v>87246745</v>
      </c>
      <c r="K10" s="18" t="n">
        <f aca="false">+K9+K19+K20+K21</f>
        <v>91259134</v>
      </c>
      <c r="L10" s="18" t="n">
        <f aca="false">+L9+L19+L20+L21</f>
        <v>88400998</v>
      </c>
      <c r="M10" s="18" t="n">
        <f aca="false">+M9+M19+M20+M21</f>
        <v>86172953</v>
      </c>
      <c r="N10" s="18" t="n">
        <f aca="false">SUM(B10:M10)</f>
        <v>1098023864</v>
      </c>
    </row>
    <row r="11" customFormat="false" ht="12.75" hidden="false" customHeight="false" outlineLevel="0" collapsed="false">
      <c r="A11" s="53" t="s">
        <v>23</v>
      </c>
      <c r="B11" s="18" t="n">
        <f aca="false">-B8+B10</f>
        <v>80269</v>
      </c>
      <c r="C11" s="18" t="n">
        <f aca="false">-C8+C10</f>
        <v>-6641</v>
      </c>
      <c r="D11" s="18" t="n">
        <f aca="false">-D8+D10</f>
        <v>176807</v>
      </c>
      <c r="E11" s="18" t="n">
        <f aca="false">-E8+E10</f>
        <v>163749</v>
      </c>
      <c r="F11" s="18" t="n">
        <f aca="false">-F8+F10</f>
        <v>195973</v>
      </c>
      <c r="G11" s="18" t="n">
        <f aca="false">-G8+G10</f>
        <v>273540</v>
      </c>
      <c r="H11" s="18" t="n">
        <f aca="false">-H8+H10</f>
        <v>36077</v>
      </c>
      <c r="I11" s="18" t="n">
        <f aca="false">-I8+I10</f>
        <v>70197</v>
      </c>
      <c r="J11" s="18" t="n">
        <f aca="false">-J8+J10</f>
        <v>-6079</v>
      </c>
      <c r="K11" s="18" t="n">
        <f aca="false">-K8+K10</f>
        <v>74351</v>
      </c>
      <c r="L11" s="18" t="n">
        <f aca="false">-L8+L10</f>
        <v>-13965</v>
      </c>
      <c r="M11" s="18" t="n">
        <f aca="false">-M8+M10</f>
        <v>33241</v>
      </c>
      <c r="N11" s="18" t="n">
        <f aca="false">SUM(B11:M11)</f>
        <v>1077519</v>
      </c>
    </row>
    <row r="12" customFormat="false" ht="12.75" hidden="false" customHeight="false" outlineLevel="0" collapsed="false">
      <c r="A12" s="54" t="s">
        <v>24</v>
      </c>
      <c r="B12" s="19" t="n">
        <f aca="false">2*B11/(B8+B10)</f>
        <v>0.000772535167426081</v>
      </c>
      <c r="C12" s="19" t="n">
        <f aca="false">2*C11/(C8+C10)</f>
        <v>-7.02452512832412E-005</v>
      </c>
      <c r="D12" s="19" t="n">
        <f aca="false">2*D11/(D8+D10)</f>
        <v>0.00174056605387237</v>
      </c>
      <c r="E12" s="19" t="n">
        <f aca="false">E11/E8</f>
        <v>0.00195059003177486</v>
      </c>
      <c r="F12" s="19" t="n">
        <f aca="false">F11/F8</f>
        <v>0.00220060338078114</v>
      </c>
      <c r="G12" s="19" t="n">
        <f aca="false">G11/G8</f>
        <v>0.00314922059208041</v>
      </c>
      <c r="H12" s="19" t="n">
        <f aca="false">H11/H8</f>
        <v>0.000395552610251423</v>
      </c>
      <c r="I12" s="19" t="n">
        <f aca="false">I11/I8</f>
        <v>0.000754914193291264</v>
      </c>
      <c r="J12" s="19" t="n">
        <f aca="false">J11/J8</f>
        <v>-6.96710974076896E-005</v>
      </c>
      <c r="K12" s="19" t="n">
        <f aca="false">K11/K8</f>
        <v>0.000815388243014188</v>
      </c>
      <c r="L12" s="19" t="n">
        <f aca="false">L11/L8</f>
        <v>-0.000157948378036419</v>
      </c>
      <c r="M12" s="19" t="n">
        <f aca="false">M11/M8</f>
        <v>0.000385896344766047</v>
      </c>
      <c r="N12" s="19" t="n">
        <f aca="false">2*N11/(N8+N10)</f>
        <v>0.000981807402744572</v>
      </c>
    </row>
    <row r="13" customFormat="false" ht="12.75" hidden="false" customHeight="false" outlineLevel="0" collapsed="false">
      <c r="A13" s="53" t="s">
        <v>25</v>
      </c>
      <c r="B13" s="18" t="n">
        <f aca="false">-B8+B10</f>
        <v>80269</v>
      </c>
      <c r="C13" s="18" t="n">
        <f aca="false">-C8+C10</f>
        <v>-6641</v>
      </c>
      <c r="D13" s="18" t="n">
        <f aca="false">-D8+D10</f>
        <v>176807</v>
      </c>
      <c r="E13" s="18" t="n">
        <f aca="false">-E8+E10</f>
        <v>163749</v>
      </c>
      <c r="F13" s="18" t="n">
        <f aca="false">-F8+F10</f>
        <v>195973</v>
      </c>
      <c r="G13" s="18" t="n">
        <f aca="false">-G8+G10</f>
        <v>273540</v>
      </c>
      <c r="H13" s="18" t="n">
        <f aca="false">-H8+H10</f>
        <v>36077</v>
      </c>
      <c r="I13" s="18" t="n">
        <f aca="false">-I8+I10</f>
        <v>70197</v>
      </c>
      <c r="J13" s="18" t="n">
        <f aca="false">-J8+J10</f>
        <v>-6079</v>
      </c>
      <c r="K13" s="18" t="n">
        <f aca="false">-K8+K10</f>
        <v>74351</v>
      </c>
      <c r="L13" s="18" t="n">
        <f aca="false">-L8+L10</f>
        <v>-13965</v>
      </c>
      <c r="M13" s="18" t="n">
        <f aca="false">-M8+M10</f>
        <v>33241</v>
      </c>
      <c r="N13" s="18" t="n">
        <f aca="false">SUM(B13:M13)</f>
        <v>1077519</v>
      </c>
    </row>
    <row r="14" customFormat="false" ht="12.75" hidden="false" customHeight="false" outlineLevel="0" collapsed="false">
      <c r="A14" s="54" t="s">
        <v>24</v>
      </c>
      <c r="B14" s="19" t="n">
        <f aca="false">2*B13/(B8+B10)</f>
        <v>0.000772535167426081</v>
      </c>
      <c r="C14" s="19" t="n">
        <f aca="false">2*C13/(C8+C10)</f>
        <v>-7.02452512832412E-005</v>
      </c>
      <c r="D14" s="19" t="n">
        <f aca="false">2*D13/(D8+D10)</f>
        <v>0.00174056605387237</v>
      </c>
      <c r="E14" s="19" t="n">
        <f aca="false">E13/E8</f>
        <v>0.00195059003177486</v>
      </c>
      <c r="F14" s="19" t="n">
        <f aca="false">F13/F8</f>
        <v>0.00220060338078114</v>
      </c>
      <c r="G14" s="19" t="n">
        <f aca="false">G13/G8</f>
        <v>0.00314922059208041</v>
      </c>
      <c r="H14" s="19" t="n">
        <f aca="false">H13/H8</f>
        <v>0.000395552610251423</v>
      </c>
      <c r="I14" s="19" t="n">
        <f aca="false">I13/I8</f>
        <v>0.000754914193291264</v>
      </c>
      <c r="J14" s="19" t="n">
        <f aca="false">J13/J8</f>
        <v>-6.96710974076896E-005</v>
      </c>
      <c r="K14" s="19" t="n">
        <f aca="false">K13/K8</f>
        <v>0.000815388243014188</v>
      </c>
      <c r="L14" s="19" t="n">
        <f aca="false">L13/L8</f>
        <v>-0.000157948378036419</v>
      </c>
      <c r="M14" s="19" t="n">
        <f aca="false">M13/M8</f>
        <v>0.000385896344766047</v>
      </c>
      <c r="N14" s="19" t="n">
        <f aca="false">2*N13/(N8+N10)</f>
        <v>0.000981807402744572</v>
      </c>
    </row>
    <row r="15" customFormat="false" ht="13.5" hidden="false" customHeight="false" outlineLevel="0" collapsed="false">
      <c r="A15" s="53"/>
      <c r="B15" s="40"/>
      <c r="C15" s="40"/>
      <c r="D15" s="40"/>
      <c r="E15" s="18"/>
      <c r="F15" s="18"/>
      <c r="G15" s="18"/>
      <c r="H15" s="18"/>
      <c r="I15" s="18"/>
      <c r="J15" s="18"/>
      <c r="K15" s="18"/>
      <c r="L15" s="42"/>
      <c r="M15" s="42"/>
      <c r="N15" s="18" t="s">
        <v>1</v>
      </c>
    </row>
    <row r="16" customFormat="false" ht="12.75" hidden="false" customHeight="false" outlineLevel="0" collapsed="false">
      <c r="A16" s="53" t="s">
        <v>26</v>
      </c>
      <c r="B16" s="18" t="n">
        <v>56357459</v>
      </c>
      <c r="C16" s="18" t="n">
        <v>50983916</v>
      </c>
      <c r="D16" s="18" t="n">
        <v>56484047</v>
      </c>
      <c r="E16" s="18" t="n">
        <v>55269884</v>
      </c>
      <c r="F16" s="18" t="n">
        <v>57033458</v>
      </c>
      <c r="G16" s="18" t="n">
        <v>57524028</v>
      </c>
      <c r="H16" s="18" t="n">
        <v>58769535</v>
      </c>
      <c r="I16" s="18" t="n">
        <v>60167358</v>
      </c>
      <c r="J16" s="18" t="n">
        <v>54918872</v>
      </c>
      <c r="K16" s="18" t="n">
        <v>57465244</v>
      </c>
      <c r="L16" s="18" t="n">
        <v>53537114</v>
      </c>
      <c r="M16" s="18" t="n">
        <v>53276035</v>
      </c>
      <c r="N16" s="18" t="n">
        <f aca="false">SUM(B16:M16)</f>
        <v>671786950</v>
      </c>
    </row>
    <row r="17" customFormat="false" ht="12.75" hidden="false" customHeight="false" outlineLevel="0" collapsed="false">
      <c r="A17" s="5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1</v>
      </c>
    </row>
    <row r="18" customFormat="false" ht="12.75" hidden="false" customHeight="false" outlineLevel="0" collapsed="false">
      <c r="A18" s="53" t="s">
        <v>27</v>
      </c>
      <c r="B18" s="18" t="n">
        <v>55811517</v>
      </c>
      <c r="C18" s="18" t="n">
        <v>50369525</v>
      </c>
      <c r="D18" s="18" t="n">
        <v>55885437</v>
      </c>
      <c r="E18" s="18" t="n">
        <v>55433633</v>
      </c>
      <c r="F18" s="18" t="n">
        <v>57229431</v>
      </c>
      <c r="G18" s="18" t="n">
        <v>57797568</v>
      </c>
      <c r="H18" s="18" t="n">
        <v>58805612</v>
      </c>
      <c r="I18" s="18" t="n">
        <v>60237555</v>
      </c>
      <c r="J18" s="18" t="n">
        <v>54912793</v>
      </c>
      <c r="K18" s="18" t="n">
        <v>57539595</v>
      </c>
      <c r="L18" s="18" t="n">
        <v>53523149</v>
      </c>
      <c r="M18" s="18" t="n">
        <v>53309276</v>
      </c>
      <c r="N18" s="18" t="n">
        <f aca="false">SUM(B18:M18)</f>
        <v>670855091</v>
      </c>
    </row>
    <row r="19" customFormat="false" ht="12.75" hidden="false" customHeight="false" outlineLevel="0" collapsed="false">
      <c r="A19" s="53" t="s">
        <v>28</v>
      </c>
      <c r="B19" s="18" t="n">
        <v>635520</v>
      </c>
      <c r="C19" s="18" t="n">
        <v>570076</v>
      </c>
      <c r="D19" s="18" t="n">
        <v>638720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0</v>
      </c>
      <c r="L19" s="18" t="n">
        <v>0</v>
      </c>
      <c r="M19" s="18" t="n">
        <v>0</v>
      </c>
      <c r="N19" s="18" t="n">
        <f aca="false">SUM(B19:M19)</f>
        <v>1844316</v>
      </c>
    </row>
    <row r="20" customFormat="false" ht="12.75" hidden="false" customHeight="false" outlineLevel="0" collapsed="false">
      <c r="A20" s="53" t="s">
        <v>29</v>
      </c>
      <c r="B20" s="18" t="n">
        <v>-17746</v>
      </c>
      <c r="C20" s="18" t="n">
        <v>33996</v>
      </c>
      <c r="D20" s="18" t="n">
        <v>107280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0</v>
      </c>
      <c r="L20" s="18" t="n">
        <v>0</v>
      </c>
      <c r="M20" s="18" t="n">
        <v>0</v>
      </c>
      <c r="N20" s="18" t="n">
        <f aca="false">SUM(B20:M20)</f>
        <v>123530</v>
      </c>
    </row>
    <row r="21" customFormat="false" ht="12.75" hidden="false" customHeight="false" outlineLevel="0" collapsed="false">
      <c r="A21" s="53" t="s">
        <v>30</v>
      </c>
      <c r="B21" s="18" t="n">
        <v>8437</v>
      </c>
      <c r="C21" s="18" t="n">
        <v>3678</v>
      </c>
      <c r="D21" s="18" t="n">
        <v>29417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0</v>
      </c>
      <c r="N21" s="18" t="n">
        <f aca="false">SUM(B21:M21)</f>
        <v>41532</v>
      </c>
    </row>
    <row r="22" customFormat="false" ht="12.75" hidden="false" customHeight="false" outlineLevel="0" collapsed="false">
      <c r="A22" s="53" t="s">
        <v>22</v>
      </c>
      <c r="B22" s="18" t="n">
        <f aca="false">SUM(B18:B21)</f>
        <v>56437728</v>
      </c>
      <c r="C22" s="18" t="n">
        <f aca="false">SUM(C18:C21)</f>
        <v>50977275</v>
      </c>
      <c r="D22" s="18" t="n">
        <f aca="false">SUM(D18:D21)</f>
        <v>56660854</v>
      </c>
      <c r="E22" s="18" t="n">
        <f aca="false">SUM(E18:E21)</f>
        <v>55433633</v>
      </c>
      <c r="F22" s="18" t="n">
        <f aca="false">SUM(F18:F21)</f>
        <v>57229431</v>
      </c>
      <c r="G22" s="18" t="n">
        <f aca="false">SUM(G18:G21)</f>
        <v>57797568</v>
      </c>
      <c r="H22" s="18" t="n">
        <f aca="false">SUM(H18:H21)</f>
        <v>58805612</v>
      </c>
      <c r="I22" s="18" t="n">
        <f aca="false">SUM(I18:I21)</f>
        <v>60237555</v>
      </c>
      <c r="J22" s="18" t="n">
        <f aca="false">SUM(J18:J21)</f>
        <v>54912793</v>
      </c>
      <c r="K22" s="18" t="n">
        <f aca="false">SUM(K18:K21)</f>
        <v>57539595</v>
      </c>
      <c r="L22" s="18" t="n">
        <f aca="false">SUM(L18:L21)</f>
        <v>53523149</v>
      </c>
      <c r="M22" s="18" t="n">
        <f aca="false">SUM(M18:M21)</f>
        <v>53309276</v>
      </c>
      <c r="N22" s="18" t="n">
        <f aca="false">SUM(B22:M22)</f>
        <v>672864469</v>
      </c>
    </row>
    <row r="23" customFormat="false" ht="12.75" hidden="false" customHeight="false" outlineLevel="0" collapsed="false">
      <c r="A23" s="53" t="s">
        <v>66</v>
      </c>
      <c r="B23" s="18" t="n">
        <f aca="false">-B16+B22</f>
        <v>80269</v>
      </c>
      <c r="C23" s="18" t="n">
        <f aca="false">-C16+C22</f>
        <v>-6641</v>
      </c>
      <c r="D23" s="18" t="n">
        <f aca="false">-D16+D22</f>
        <v>176807</v>
      </c>
      <c r="E23" s="18" t="n">
        <f aca="false">-E16+E22</f>
        <v>163749</v>
      </c>
      <c r="F23" s="18" t="n">
        <f aca="false">-F16+F22</f>
        <v>195973</v>
      </c>
      <c r="G23" s="18" t="n">
        <f aca="false">-G16+G22</f>
        <v>273540</v>
      </c>
      <c r="H23" s="18" t="n">
        <f aca="false">-H16+H22</f>
        <v>36077</v>
      </c>
      <c r="I23" s="18" t="n">
        <f aca="false">-I16+I22</f>
        <v>70197</v>
      </c>
      <c r="J23" s="18" t="n">
        <f aca="false">-J16+J22</f>
        <v>-6079</v>
      </c>
      <c r="K23" s="18" t="n">
        <f aca="false">-K16+K22</f>
        <v>74351</v>
      </c>
      <c r="L23" s="18" t="n">
        <f aca="false">-L16+L22</f>
        <v>-13965</v>
      </c>
      <c r="M23" s="18" t="n">
        <f aca="false">-M16+M22</f>
        <v>33241</v>
      </c>
      <c r="N23" s="18" t="n">
        <f aca="false">SUM(B23:M23)</f>
        <v>1077519</v>
      </c>
    </row>
    <row r="24" customFormat="false" ht="12.75" hidden="false" customHeight="false" outlineLevel="0" collapsed="false">
      <c r="A24" s="54" t="s">
        <v>24</v>
      </c>
      <c r="B24" s="19" t="n">
        <f aca="false">B23/B16</f>
        <v>0.00142428351853124</v>
      </c>
      <c r="C24" s="19" t="n">
        <f aca="false">C23/C16</f>
        <v>-0.00013025676568273</v>
      </c>
      <c r="D24" s="19" t="n">
        <f aca="false">D23/D16</f>
        <v>0.00313021126124337</v>
      </c>
      <c r="E24" s="19" t="n">
        <f aca="false">E23/E16</f>
        <v>0.00296271654921512</v>
      </c>
      <c r="F24" s="19" t="n">
        <f aca="false">F23/F16</f>
        <v>0.00343610587315256</v>
      </c>
      <c r="G24" s="19" t="n">
        <f aca="false">G23/G16</f>
        <v>0.00475523028394326</v>
      </c>
      <c r="H24" s="19" t="n">
        <f aca="false">H23/H16</f>
        <v>0.000613872476615648</v>
      </c>
      <c r="I24" s="19" t="n">
        <f aca="false">I23/I16</f>
        <v>0.00116669573558473</v>
      </c>
      <c r="J24" s="19" t="n">
        <f aca="false">J23/J16</f>
        <v>-0.000110690547322239</v>
      </c>
      <c r="K24" s="19" t="n">
        <f aca="false">K23/K16</f>
        <v>0.00129384293574043</v>
      </c>
      <c r="L24" s="19" t="n">
        <f aca="false">L23/L16</f>
        <v>-0.00026084708264252</v>
      </c>
      <c r="M24" s="19" t="n">
        <f aca="false">M23/M16</f>
        <v>0.000623939075045656</v>
      </c>
      <c r="N24" s="19" t="n">
        <f aca="false">N23/N16</f>
        <v>0.00160395941004808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43" activeCellId="0" sqref="F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" width="8.14"/>
    <col collapsed="false" customWidth="true" hidden="false" outlineLevel="0" max="2" min="2" style="20" width="6.56"/>
    <col collapsed="false" customWidth="true" hidden="false" outlineLevel="0" max="3" min="3" style="20" width="3.28"/>
    <col collapsed="false" customWidth="true" hidden="false" outlineLevel="0" max="4" min="4" style="21" width="25.13"/>
    <col collapsed="false" customWidth="true" hidden="false" outlineLevel="0" max="5" min="5" style="21" width="9.41"/>
    <col collapsed="false" customWidth="true" hidden="false" outlineLevel="0" max="6" min="6" style="21" width="9.56"/>
    <col collapsed="false" customWidth="true" hidden="false" outlineLevel="0" max="7" min="7" style="21" width="7.56"/>
    <col collapsed="false" customWidth="true" hidden="false" outlineLevel="0" max="8" min="8" style="21" width="8.7"/>
    <col collapsed="false" customWidth="true" hidden="false" outlineLevel="0" max="9" min="9" style="21" width="9.99"/>
    <col collapsed="false" customWidth="true" hidden="false" outlineLevel="0" max="10" min="10" style="21" width="8.28"/>
    <col collapsed="false" customWidth="true" hidden="false" outlineLevel="0" max="11" min="11" style="20" width="4.14"/>
    <col collapsed="false" customWidth="true" hidden="false" outlineLevel="0" max="12" min="12" style="20" width="6.56"/>
    <col collapsed="false" customWidth="true" hidden="false" outlineLevel="0" max="13" min="13" style="20" width="12.7"/>
    <col collapsed="false" customWidth="true" hidden="false" outlineLevel="0" max="14" min="14" style="21" width="39.85"/>
    <col collapsed="false" customWidth="false" hidden="false" outlineLevel="0" max="257" min="15" style="21" width="9.14"/>
  </cols>
  <sheetData>
    <row r="1" customFormat="false" ht="11.25" hidden="false" customHeight="false" outlineLevel="0" collapsed="false">
      <c r="A1" s="23"/>
      <c r="B1" s="23"/>
      <c r="C1" s="23"/>
      <c r="D1" s="23"/>
      <c r="E1" s="24"/>
      <c r="F1" s="25" t="s">
        <v>37</v>
      </c>
      <c r="G1" s="26"/>
      <c r="H1" s="24"/>
      <c r="I1" s="25" t="s">
        <v>38</v>
      </c>
      <c r="J1" s="26"/>
      <c r="K1" s="23" t="s">
        <v>39</v>
      </c>
      <c r="L1" s="23" t="s">
        <v>39</v>
      </c>
      <c r="M1" s="23" t="s">
        <v>39</v>
      </c>
      <c r="N1" s="55" t="s">
        <v>40</v>
      </c>
    </row>
    <row r="2" customFormat="false" ht="11.25" hidden="false" customHeight="false" outlineLevel="0" collapsed="false">
      <c r="A2" s="28" t="s">
        <v>68</v>
      </c>
      <c r="B2" s="28" t="s">
        <v>42</v>
      </c>
      <c r="C2" s="28" t="s">
        <v>43</v>
      </c>
      <c r="D2" s="28" t="s">
        <v>44</v>
      </c>
      <c r="E2" s="29" t="s">
        <v>45</v>
      </c>
      <c r="F2" s="30" t="s">
        <v>46</v>
      </c>
      <c r="G2" s="31" t="s">
        <v>47</v>
      </c>
      <c r="H2" s="29" t="s">
        <v>45</v>
      </c>
      <c r="I2" s="30" t="s">
        <v>48</v>
      </c>
      <c r="J2" s="31" t="s">
        <v>47</v>
      </c>
      <c r="K2" s="28" t="s">
        <v>49</v>
      </c>
      <c r="L2" s="28" t="s">
        <v>50</v>
      </c>
      <c r="M2" s="28" t="s">
        <v>51</v>
      </c>
      <c r="N2" s="56" t="s">
        <v>52</v>
      </c>
    </row>
    <row r="3" customFormat="false" ht="22.5" hidden="false" customHeight="true" outlineLevel="0" collapsed="false">
      <c r="G3" s="21" t="n">
        <f aca="false">+F3-E3</f>
        <v>0</v>
      </c>
      <c r="J3" s="21" t="n">
        <f aca="false">+I3-H3</f>
        <v>0</v>
      </c>
      <c r="L3" s="37"/>
    </row>
    <row r="4" customFormat="false" ht="22.5" hidden="false" customHeight="true" outlineLevel="0" collapsed="false">
      <c r="G4" s="21" t="n">
        <f aca="false">+F4-E4</f>
        <v>0</v>
      </c>
      <c r="J4" s="21" t="n">
        <f aca="false">+I4-H4</f>
        <v>0</v>
      </c>
      <c r="L4" s="37"/>
    </row>
    <row r="5" customFormat="false" ht="22.5" hidden="false" customHeight="true" outlineLevel="0" collapsed="false">
      <c r="A5" s="21"/>
      <c r="B5" s="21"/>
      <c r="C5" s="21"/>
      <c r="K5" s="21"/>
      <c r="L5" s="21"/>
      <c r="M5" s="21"/>
    </row>
    <row r="6" customFormat="false" ht="30" hidden="false" customHeight="true" outlineLevel="0" collapsed="false">
      <c r="G6" s="36"/>
      <c r="J6" s="36"/>
      <c r="L6" s="37"/>
    </row>
    <row r="7" customFormat="false" ht="30" hidden="false" customHeight="true" outlineLevel="0" collapsed="false">
      <c r="G7" s="36"/>
      <c r="J7" s="36"/>
      <c r="L7" s="37"/>
    </row>
    <row r="8" customFormat="false" ht="30" hidden="false" customHeight="true" outlineLevel="0" collapsed="false">
      <c r="G8" s="36"/>
      <c r="J8" s="36"/>
      <c r="L8" s="37"/>
    </row>
    <row r="9" customFormat="false" ht="30" hidden="false" customHeight="true" outlineLevel="0" collapsed="false">
      <c r="G9" s="36"/>
      <c r="J9" s="36"/>
      <c r="L9" s="37"/>
    </row>
    <row r="10" customFormat="false" ht="30" hidden="false" customHeight="true" outlineLevel="0" collapsed="false"/>
    <row r="11" customFormat="false" ht="30" hidden="false" customHeight="true" outlineLevel="0" collapsed="false"/>
    <row r="12" customFormat="false" ht="30" hidden="false" customHeight="true" outlineLevel="0" collapsed="false"/>
    <row r="13" customFormat="false" ht="30" hidden="false" customHeight="true" outlineLevel="0" collapsed="false"/>
    <row r="14" customFormat="false" ht="30" hidden="false" customHeight="true" outlineLevel="0" collapsed="false"/>
    <row r="15" customFormat="false" ht="30" hidden="false" customHeight="true" outlineLevel="0" collapsed="false"/>
    <row r="16" customFormat="false" ht="30" hidden="false" customHeight="true" outlineLevel="0" collapsed="false"/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Corrections Over 25,000 DTH</oddHeader>
    <oddFooter>&amp;L&amp;F&amp;CPage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3" activeCellId="0" sqref="F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18.41"/>
    <col collapsed="false" customWidth="true" hidden="false" outlineLevel="0" max="2" min="2" style="7" width="11.85"/>
    <col collapsed="false" customWidth="true" hidden="false" outlineLevel="0" max="3" min="3" style="7" width="11.42"/>
    <col collapsed="false" customWidth="true" hidden="false" outlineLevel="0" max="4" min="4" style="7" width="11.13"/>
    <col collapsed="false" customWidth="true" hidden="false" outlineLevel="0" max="5" min="5" style="7" width="12.14"/>
    <col collapsed="false" customWidth="true" hidden="false" outlineLevel="0" max="6" min="6" style="7" width="11.42"/>
    <col collapsed="false" customWidth="true" hidden="false" outlineLevel="0" max="7" min="7" style="7" width="11.85"/>
    <col collapsed="false" customWidth="true" hidden="false" outlineLevel="0" max="8" min="8" style="7" width="11.42"/>
    <col collapsed="false" customWidth="true" hidden="false" outlineLevel="0" max="9" min="9" style="7" width="10.99"/>
    <col collapsed="false" customWidth="true" hidden="false" outlineLevel="0" max="10" min="10" style="7" width="12.56"/>
    <col collapsed="false" customWidth="true" hidden="false" outlineLevel="0" max="11" min="11" style="7" width="11.7"/>
    <col collapsed="false" customWidth="true" hidden="false" outlineLevel="0" max="12" min="12" style="7" width="11.99"/>
    <col collapsed="false" customWidth="true" hidden="false" outlineLevel="0" max="13" min="13" style="7" width="12.42"/>
    <col collapsed="false" customWidth="true" hidden="false" outlineLevel="0" max="14" min="14" style="7" width="13.28"/>
    <col collapsed="false" customWidth="false" hidden="false" outlineLevel="0" max="257" min="15" style="7" width="9.14"/>
  </cols>
  <sheetData>
    <row r="1" customFormat="false" ht="12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12" t="s">
        <v>2</v>
      </c>
      <c r="I1" s="3" t="n">
        <f aca="true">NOW()</f>
        <v>45926.9288974956</v>
      </c>
      <c r="J1" s="2"/>
      <c r="K1" s="2"/>
      <c r="L1" s="2"/>
      <c r="M1" s="2"/>
      <c r="N1" s="2"/>
    </row>
    <row r="2" customFormat="false" ht="12" hidden="false" customHeight="true" outlineLevel="0" collapsed="false">
      <c r="A2" s="1" t="s">
        <v>32</v>
      </c>
      <c r="B2" s="2"/>
      <c r="C2" s="2"/>
      <c r="D2" s="2"/>
      <c r="E2" s="2"/>
      <c r="F2" s="2"/>
      <c r="G2" s="2"/>
      <c r="H2" s="2" t="s">
        <v>4</v>
      </c>
      <c r="I2" s="2"/>
      <c r="J2" s="2"/>
      <c r="K2" s="2"/>
      <c r="L2" s="2"/>
      <c r="M2" s="2"/>
      <c r="N2" s="2"/>
    </row>
    <row r="3" customFormat="false" ht="12" hidden="false" customHeight="true" outlineLevel="0" collapsed="false">
      <c r="A3" s="1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2" hidden="false" customHeight="true" outlineLevel="0" collapsed="false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2" hidden="false" customHeight="true" outlineLevel="0" collapsed="false">
      <c r="A5" s="1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18</v>
      </c>
    </row>
    <row r="6" customFormat="false" ht="12" hidden="false" customHeight="true" outlineLevel="0" collapsed="false">
      <c r="A6" s="1"/>
      <c r="B6" s="5" t="n">
        <v>1999</v>
      </c>
      <c r="C6" s="5" t="n">
        <v>1999</v>
      </c>
      <c r="D6" s="5" t="n">
        <v>1999</v>
      </c>
      <c r="E6" s="5" t="n">
        <v>1999</v>
      </c>
      <c r="F6" s="5" t="n">
        <v>1999</v>
      </c>
      <c r="G6" s="5" t="n">
        <v>1999</v>
      </c>
      <c r="H6" s="5" t="n">
        <v>1999</v>
      </c>
      <c r="I6" s="5" t="n">
        <v>1999</v>
      </c>
      <c r="J6" s="5" t="n">
        <v>1999</v>
      </c>
      <c r="K6" s="5" t="n">
        <v>2000</v>
      </c>
      <c r="L6" s="5" t="n">
        <v>2000</v>
      </c>
      <c r="M6" s="5" t="n">
        <v>2000</v>
      </c>
      <c r="N6" s="6" t="s">
        <v>19</v>
      </c>
    </row>
    <row r="7" customFormat="false" ht="12" hidden="false" customHeight="true" outlineLevel="0" collapsed="false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12" hidden="false" customHeight="true" outlineLevel="0" collapsed="false">
      <c r="A8" s="8" t="s">
        <v>20</v>
      </c>
      <c r="B8" s="2" t="n">
        <v>287071880</v>
      </c>
      <c r="C8" s="2" t="n">
        <v>234509419</v>
      </c>
      <c r="D8" s="2" t="n">
        <v>227519513</v>
      </c>
      <c r="E8" s="2" t="n">
        <v>240700039</v>
      </c>
      <c r="F8" s="2" t="n">
        <v>237908535</v>
      </c>
      <c r="G8" s="2" t="n">
        <v>243128948</v>
      </c>
      <c r="H8" s="2" t="n">
        <v>297907211</v>
      </c>
      <c r="I8" s="2" t="n">
        <v>286899111</v>
      </c>
      <c r="J8" s="2" t="n">
        <v>332329964</v>
      </c>
      <c r="K8" s="2" t="n">
        <v>389462524</v>
      </c>
      <c r="L8" s="2" t="n">
        <v>327592311</v>
      </c>
      <c r="M8" s="2" t="n">
        <v>287137686</v>
      </c>
      <c r="N8" s="2" t="n">
        <f aca="false">SUM(B8:M8)</f>
        <v>3392167141</v>
      </c>
    </row>
    <row r="9" customFormat="false" ht="12" hidden="false" customHeight="true" outlineLevel="0" collapsed="false">
      <c r="A9" s="8" t="s">
        <v>21</v>
      </c>
      <c r="B9" s="2" t="n">
        <v>285228167</v>
      </c>
      <c r="C9" s="2" t="n">
        <v>232942153</v>
      </c>
      <c r="D9" s="2" t="n">
        <v>225739747</v>
      </c>
      <c r="E9" s="2" t="n">
        <v>238327952</v>
      </c>
      <c r="F9" s="2" t="n">
        <v>235624857</v>
      </c>
      <c r="G9" s="2" t="n">
        <v>240597758</v>
      </c>
      <c r="H9" s="2" t="n">
        <v>295391210</v>
      </c>
      <c r="I9" s="2" t="n">
        <v>284477637</v>
      </c>
      <c r="J9" s="2" t="n">
        <v>329496964</v>
      </c>
      <c r="K9" s="2" t="n">
        <v>386562421</v>
      </c>
      <c r="L9" s="2" t="n">
        <v>324141831</v>
      </c>
      <c r="M9" s="2" t="n">
        <v>284806968</v>
      </c>
      <c r="N9" s="2" t="n">
        <f aca="false">SUM(B9:M9)</f>
        <v>3363337665</v>
      </c>
    </row>
    <row r="10" customFormat="false" ht="12" hidden="false" customHeight="true" outlineLevel="0" collapsed="false">
      <c r="A10" s="8" t="s">
        <v>22</v>
      </c>
      <c r="B10" s="2" t="n">
        <f aca="false">+B9+B19+B20+B21</f>
        <v>287435858</v>
      </c>
      <c r="C10" s="2" t="n">
        <f aca="false">+C9+C19+C20+C21</f>
        <v>234512395</v>
      </c>
      <c r="D10" s="2" t="n">
        <f aca="false">+D9+D19+D20+D21</f>
        <v>227422520</v>
      </c>
      <c r="E10" s="2" t="n">
        <f aca="false">+E9+E19+E20+E21</f>
        <v>240204179</v>
      </c>
      <c r="F10" s="2" t="n">
        <f aca="false">+F9+F19+F20+F21</f>
        <v>237335566</v>
      </c>
      <c r="G10" s="2" t="n">
        <f aca="false">+G9+G19+G20+G21</f>
        <v>242640474</v>
      </c>
      <c r="H10" s="2" t="n">
        <f aca="false">+H9+H19+H20+H21</f>
        <v>297632403</v>
      </c>
      <c r="I10" s="2" t="n">
        <f aca="false">+I9+I19+I20+I21</f>
        <v>286685608</v>
      </c>
      <c r="J10" s="2" t="n">
        <f aca="false">+J9+J19+J20+J21</f>
        <v>332032931</v>
      </c>
      <c r="K10" s="2" t="n">
        <f aca="false">+K9+K19+K20+K21</f>
        <v>389241753</v>
      </c>
      <c r="L10" s="2" t="n">
        <f aca="false">+L9+L19+L20+L21</f>
        <v>326911329</v>
      </c>
      <c r="M10" s="2" t="n">
        <f aca="false">+M9+M19+M20+M21</f>
        <v>286962772</v>
      </c>
      <c r="N10" s="2" t="n">
        <f aca="false">SUM(B10:M10)</f>
        <v>3389017788</v>
      </c>
    </row>
    <row r="11" customFormat="false" ht="12" hidden="false" customHeight="true" outlineLevel="0" collapsed="false">
      <c r="A11" s="8" t="s">
        <v>23</v>
      </c>
      <c r="B11" s="2" t="n">
        <f aca="false">-B8+B10</f>
        <v>363978</v>
      </c>
      <c r="C11" s="2" t="n">
        <f aca="false">-C8+C10</f>
        <v>2976</v>
      </c>
      <c r="D11" s="2" t="n">
        <f aca="false">-D8+D10</f>
        <v>-96993</v>
      </c>
      <c r="E11" s="2" t="n">
        <f aca="false">-E8+E10</f>
        <v>-495860</v>
      </c>
      <c r="F11" s="2" t="n">
        <f aca="false">-F8+F10</f>
        <v>-572969</v>
      </c>
      <c r="G11" s="2" t="n">
        <f aca="false">-G8+G10</f>
        <v>-488474</v>
      </c>
      <c r="H11" s="2" t="n">
        <f aca="false">-H8+H10</f>
        <v>-274808</v>
      </c>
      <c r="I11" s="2" t="n">
        <f aca="false">-I8+I10</f>
        <v>-213503</v>
      </c>
      <c r="J11" s="2" t="n">
        <f aca="false">-J8+J10</f>
        <v>-297033</v>
      </c>
      <c r="K11" s="2" t="n">
        <f aca="false">-K8+K10</f>
        <v>-220771</v>
      </c>
      <c r="L11" s="2" t="n">
        <f aca="false">-L8+L10</f>
        <v>-680982</v>
      </c>
      <c r="M11" s="2" t="n">
        <f aca="false">-M8+M10</f>
        <v>-174914</v>
      </c>
      <c r="N11" s="2" t="n">
        <f aca="false">SUM(B11:M11)</f>
        <v>-3149353</v>
      </c>
    </row>
    <row r="12" customFormat="false" ht="12" hidden="false" customHeight="true" outlineLevel="0" collapsed="false">
      <c r="A12" s="10" t="s">
        <v>24</v>
      </c>
      <c r="B12" s="11" t="n">
        <f aca="false">B11/B8</f>
        <v>0.00126789847894541</v>
      </c>
      <c r="C12" s="11" t="n">
        <f aca="false">C11/C8</f>
        <v>1.26903218330859E-005</v>
      </c>
      <c r="D12" s="11" t="n">
        <f aca="false">D11/D8</f>
        <v>-0.000426306292243162</v>
      </c>
      <c r="E12" s="11" t="n">
        <f aca="false">E11/E8</f>
        <v>-0.00206007444809762</v>
      </c>
      <c r="F12" s="11" t="n">
        <f aca="false">F11/F8</f>
        <v>-0.0024083583214028</v>
      </c>
      <c r="G12" s="11" t="n">
        <f aca="false">G11/G8</f>
        <v>-0.00200911493270641</v>
      </c>
      <c r="H12" s="11" t="n">
        <f aca="false">H11/H8</f>
        <v>-0.000922461725842548</v>
      </c>
      <c r="I12" s="11" t="n">
        <f aca="false">I11/I8</f>
        <v>-0.000744174491359787</v>
      </c>
      <c r="J12" s="11" t="n">
        <f aca="false">J11/J8</f>
        <v>-0.000893789402631175</v>
      </c>
      <c r="K12" s="11" t="n">
        <f aca="false">K11/K8</f>
        <v>-0.000566860702623085</v>
      </c>
      <c r="L12" s="11" t="n">
        <f aca="false">L11/L8</f>
        <v>-0.00207874842337188</v>
      </c>
      <c r="M12" s="11" t="n">
        <f aca="false">M11/M8</f>
        <v>-0.000609164204241724</v>
      </c>
      <c r="N12" s="11" t="n">
        <f aca="false">N11/N8</f>
        <v>-0.000928419169543509</v>
      </c>
    </row>
    <row r="13" customFormat="false" ht="12" hidden="false" customHeight="true" outlineLevel="0" collapsed="false">
      <c r="A13" s="8" t="s">
        <v>25</v>
      </c>
      <c r="B13" s="2" t="n">
        <f aca="false">-B8+B10</f>
        <v>363978</v>
      </c>
      <c r="C13" s="2" t="n">
        <f aca="false">-C8+C10</f>
        <v>2976</v>
      </c>
      <c r="D13" s="2" t="n">
        <f aca="false">-D8+D10</f>
        <v>-96993</v>
      </c>
      <c r="E13" s="2" t="n">
        <f aca="false">-E8+E10</f>
        <v>-495860</v>
      </c>
      <c r="F13" s="2" t="n">
        <f aca="false">-F8+F10</f>
        <v>-572969</v>
      </c>
      <c r="G13" s="2" t="n">
        <f aca="false">-G8+G10</f>
        <v>-488474</v>
      </c>
      <c r="H13" s="2" t="n">
        <f aca="false">-H8+H10</f>
        <v>-274808</v>
      </c>
      <c r="I13" s="2" t="n">
        <f aca="false">-I8+I10</f>
        <v>-213503</v>
      </c>
      <c r="J13" s="2" t="n">
        <f aca="false">-J8+J10</f>
        <v>-297033</v>
      </c>
      <c r="K13" s="2" t="n">
        <f aca="false">-K8+K10</f>
        <v>-220771</v>
      </c>
      <c r="L13" s="2" t="n">
        <f aca="false">-L8+L10</f>
        <v>-680982</v>
      </c>
      <c r="M13" s="2" t="n">
        <f aca="false">-M8+M10</f>
        <v>-174914</v>
      </c>
      <c r="N13" s="2" t="n">
        <f aca="false">SUM(B13:M13)</f>
        <v>-3149353</v>
      </c>
    </row>
    <row r="14" customFormat="false" ht="12" hidden="false" customHeight="true" outlineLevel="0" collapsed="false">
      <c r="A14" s="10" t="s">
        <v>24</v>
      </c>
      <c r="B14" s="11" t="n">
        <f aca="false">B13/B8</f>
        <v>0.00126789847894541</v>
      </c>
      <c r="C14" s="11" t="n">
        <f aca="false">C13/C8</f>
        <v>1.26903218330859E-005</v>
      </c>
      <c r="D14" s="11" t="n">
        <f aca="false">D13/D8</f>
        <v>-0.000426306292243162</v>
      </c>
      <c r="E14" s="11" t="n">
        <f aca="false">E13/E8</f>
        <v>-0.00206007444809762</v>
      </c>
      <c r="F14" s="11" t="n">
        <f aca="false">F13/F8</f>
        <v>-0.0024083583214028</v>
      </c>
      <c r="G14" s="11" t="n">
        <f aca="false">G13/G8</f>
        <v>-0.00200911493270641</v>
      </c>
      <c r="H14" s="11" t="n">
        <f aca="false">H13/H8</f>
        <v>-0.000922461725842548</v>
      </c>
      <c r="I14" s="11" t="n">
        <f aca="false">I13/I8</f>
        <v>-0.000744174491359787</v>
      </c>
      <c r="J14" s="11" t="n">
        <f aca="false">J13/J8</f>
        <v>-0.000893789402631175</v>
      </c>
      <c r="K14" s="11" t="n">
        <f aca="false">K13/K8</f>
        <v>-0.000566860702623085</v>
      </c>
      <c r="L14" s="11" t="n">
        <f aca="false">L13/L8</f>
        <v>-0.00207874842337188</v>
      </c>
      <c r="M14" s="11" t="n">
        <f aca="false">M13/M8</f>
        <v>-0.000609164204241724</v>
      </c>
      <c r="N14" s="11" t="n">
        <f aca="false">N13/N8</f>
        <v>-0.000928419169543509</v>
      </c>
    </row>
    <row r="15" customFormat="false" ht="12" hidden="false" customHeight="true" outlineLevel="0" collapsed="false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1</v>
      </c>
    </row>
    <row r="16" customFormat="false" ht="12" hidden="false" customHeight="true" outlineLevel="0" collapsed="false">
      <c r="A16" s="8" t="s">
        <v>26</v>
      </c>
      <c r="B16" s="2" t="n">
        <v>111245060</v>
      </c>
      <c r="C16" s="2" t="n">
        <v>100752299</v>
      </c>
      <c r="D16" s="2" t="n">
        <v>102165617</v>
      </c>
      <c r="E16" s="2" t="n">
        <v>107025781</v>
      </c>
      <c r="F16" s="2" t="n">
        <v>109371841</v>
      </c>
      <c r="G16" s="2" t="n">
        <v>105987374</v>
      </c>
      <c r="H16" s="2" t="n">
        <v>113951011</v>
      </c>
      <c r="I16" s="2" t="n">
        <v>113897847</v>
      </c>
      <c r="J16" s="2" t="n">
        <v>134852297</v>
      </c>
      <c r="K16" s="2" t="n">
        <v>149428069</v>
      </c>
      <c r="L16" s="2" t="n">
        <v>127927568</v>
      </c>
      <c r="M16" s="2" t="n">
        <v>120128005</v>
      </c>
      <c r="N16" s="2" t="n">
        <f aca="false">SUM(B16:M16)</f>
        <v>1396732769</v>
      </c>
    </row>
    <row r="17" customFormat="false" ht="12" hidden="false" customHeight="tru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</v>
      </c>
    </row>
    <row r="18" customFormat="false" ht="12" hidden="false" customHeight="true" outlineLevel="0" collapsed="false">
      <c r="A18" s="8" t="s">
        <v>27</v>
      </c>
      <c r="B18" s="2" t="n">
        <v>109401347</v>
      </c>
      <c r="C18" s="2" t="n">
        <v>99185033</v>
      </c>
      <c r="D18" s="2" t="n">
        <v>100385851</v>
      </c>
      <c r="E18" s="2" t="n">
        <v>104653694</v>
      </c>
      <c r="F18" s="2" t="n">
        <v>107088163</v>
      </c>
      <c r="G18" s="2" t="n">
        <v>103456184</v>
      </c>
      <c r="H18" s="2" t="n">
        <v>111435010</v>
      </c>
      <c r="I18" s="2" t="n">
        <v>111476373</v>
      </c>
      <c r="J18" s="2" t="n">
        <v>132019297</v>
      </c>
      <c r="K18" s="2" t="n">
        <v>146527966</v>
      </c>
      <c r="L18" s="2" t="n">
        <v>124477088</v>
      </c>
      <c r="M18" s="2" t="n">
        <v>117797287</v>
      </c>
      <c r="N18" s="2" t="n">
        <f aca="false">SUM(B18:M18)</f>
        <v>1367903293</v>
      </c>
    </row>
    <row r="19" customFormat="false" ht="12" hidden="false" customHeight="true" outlineLevel="0" collapsed="false">
      <c r="A19" s="8" t="s">
        <v>28</v>
      </c>
      <c r="B19" s="2" t="n">
        <v>2107850</v>
      </c>
      <c r="C19" s="2" t="n">
        <v>1758146</v>
      </c>
      <c r="D19" s="2" t="n">
        <v>1662779</v>
      </c>
      <c r="E19" s="2" t="n">
        <v>1703484</v>
      </c>
      <c r="F19" s="2" t="n">
        <v>1710235</v>
      </c>
      <c r="G19" s="2" t="n">
        <v>1795181</v>
      </c>
      <c r="H19" s="2" t="n">
        <v>2148528</v>
      </c>
      <c r="I19" s="2" t="n">
        <v>2093994</v>
      </c>
      <c r="J19" s="2" t="n">
        <v>2325836</v>
      </c>
      <c r="K19" s="2" t="n">
        <v>2820089</v>
      </c>
      <c r="L19" s="2" t="n">
        <v>2514315</v>
      </c>
      <c r="M19" s="2" t="n">
        <v>2233298</v>
      </c>
      <c r="N19" s="2" t="n">
        <f aca="false">SUM(B19:M19)</f>
        <v>24873735</v>
      </c>
    </row>
    <row r="20" customFormat="false" ht="12" hidden="false" customHeight="true" outlineLevel="0" collapsed="false">
      <c r="A20" s="8" t="s">
        <v>29</v>
      </c>
      <c r="B20" s="2" t="n">
        <v>-40094</v>
      </c>
      <c r="C20" s="2" t="n">
        <v>-242478</v>
      </c>
      <c r="D20" s="2" t="n">
        <v>-90948</v>
      </c>
      <c r="E20" s="2" t="n">
        <v>82432</v>
      </c>
      <c r="F20" s="2" t="n">
        <v>-99557</v>
      </c>
      <c r="G20" s="2" t="n">
        <v>146966</v>
      </c>
      <c r="H20" s="2" t="n">
        <v>-5734</v>
      </c>
      <c r="I20" s="2" t="n">
        <v>5873</v>
      </c>
      <c r="J20" s="2" t="n">
        <v>92940</v>
      </c>
      <c r="K20" s="2" t="n">
        <v>-271818</v>
      </c>
      <c r="L20" s="2" t="n">
        <v>108969</v>
      </c>
      <c r="M20" s="2" t="n">
        <v>-216600</v>
      </c>
      <c r="N20" s="2" t="n">
        <f aca="false">SUM(B20:M20)</f>
        <v>-530049</v>
      </c>
    </row>
    <row r="21" customFormat="false" ht="12" hidden="false" customHeight="true" outlineLevel="0" collapsed="false">
      <c r="A21" s="8" t="s">
        <v>30</v>
      </c>
      <c r="B21" s="2" t="n">
        <v>139935</v>
      </c>
      <c r="C21" s="2" t="n">
        <v>54574</v>
      </c>
      <c r="D21" s="2" t="n">
        <v>110942</v>
      </c>
      <c r="E21" s="2" t="n">
        <v>90311</v>
      </c>
      <c r="F21" s="2" t="n">
        <v>100031</v>
      </c>
      <c r="G21" s="2" t="n">
        <v>100569</v>
      </c>
      <c r="H21" s="2" t="n">
        <v>98399</v>
      </c>
      <c r="I21" s="2" t="n">
        <v>108104</v>
      </c>
      <c r="J21" s="2" t="n">
        <v>117191</v>
      </c>
      <c r="K21" s="2" t="n">
        <v>131061</v>
      </c>
      <c r="L21" s="2" t="n">
        <v>146214</v>
      </c>
      <c r="M21" s="2" t="n">
        <v>139106</v>
      </c>
      <c r="N21" s="2" t="n">
        <f aca="false">SUM(B21:M21)</f>
        <v>1336437</v>
      </c>
    </row>
    <row r="22" customFormat="false" ht="12" hidden="false" customHeight="true" outlineLevel="0" collapsed="false">
      <c r="A22" s="8" t="s">
        <v>22</v>
      </c>
      <c r="B22" s="2" t="n">
        <f aca="false">SUM(B18:B21)</f>
        <v>111609038</v>
      </c>
      <c r="C22" s="2" t="n">
        <f aca="false">SUM(C18:C21)</f>
        <v>100755275</v>
      </c>
      <c r="D22" s="2" t="n">
        <f aca="false">SUM(D18:D21)</f>
        <v>102068624</v>
      </c>
      <c r="E22" s="2" t="n">
        <f aca="false">SUM(E18:E21)</f>
        <v>106529921</v>
      </c>
      <c r="F22" s="2" t="n">
        <f aca="false">SUM(F18:F21)</f>
        <v>108798872</v>
      </c>
      <c r="G22" s="2" t="n">
        <f aca="false">SUM(G18:G21)</f>
        <v>105498900</v>
      </c>
      <c r="H22" s="2" t="n">
        <f aca="false">SUM(H18:H21)</f>
        <v>113676203</v>
      </c>
      <c r="I22" s="2" t="n">
        <f aca="false">SUM(I18:I21)</f>
        <v>113684344</v>
      </c>
      <c r="J22" s="2" t="n">
        <f aca="false">SUM(J18:J21)</f>
        <v>134555264</v>
      </c>
      <c r="K22" s="2" t="n">
        <f aca="false">SUM(K18:K21)</f>
        <v>149207298</v>
      </c>
      <c r="L22" s="2" t="n">
        <f aca="false">SUM(L18:L21)</f>
        <v>127246586</v>
      </c>
      <c r="M22" s="2" t="n">
        <f aca="false">SUM(M18:M21)</f>
        <v>119953091</v>
      </c>
      <c r="N22" s="2" t="n">
        <f aca="false">SUM(B22:M22)</f>
        <v>1393583416</v>
      </c>
    </row>
    <row r="23" customFormat="false" ht="12" hidden="false" customHeight="true" outlineLevel="0" collapsed="false">
      <c r="A23" s="8" t="s">
        <v>33</v>
      </c>
      <c r="B23" s="2" t="n">
        <f aca="false">-B16+B22</f>
        <v>363978</v>
      </c>
      <c r="C23" s="2" t="n">
        <f aca="false">-C16+C22</f>
        <v>2976</v>
      </c>
      <c r="D23" s="2" t="n">
        <f aca="false">-D16+D22</f>
        <v>-96993</v>
      </c>
      <c r="E23" s="2" t="n">
        <f aca="false">-E16+E22</f>
        <v>-495860</v>
      </c>
      <c r="F23" s="2" t="n">
        <f aca="false">-F16+F22</f>
        <v>-572969</v>
      </c>
      <c r="G23" s="2" t="n">
        <f aca="false">-G16+G22</f>
        <v>-488474</v>
      </c>
      <c r="H23" s="2" t="n">
        <f aca="false">-H16+H22</f>
        <v>-274808</v>
      </c>
      <c r="I23" s="2" t="n">
        <f aca="false">-I16+I22</f>
        <v>-213503</v>
      </c>
      <c r="J23" s="2" t="n">
        <f aca="false">-J16+J22</f>
        <v>-297033</v>
      </c>
      <c r="K23" s="2" t="n">
        <f aca="false">-K16+K22</f>
        <v>-220771</v>
      </c>
      <c r="L23" s="2" t="n">
        <f aca="false">-L16+L22</f>
        <v>-680982</v>
      </c>
      <c r="M23" s="2" t="n">
        <f aca="false">-M16+M22</f>
        <v>-174914</v>
      </c>
      <c r="N23" s="2" t="n">
        <f aca="false">SUM(B23:M23)</f>
        <v>-3149353</v>
      </c>
    </row>
    <row r="24" customFormat="false" ht="12" hidden="false" customHeight="true" outlineLevel="0" collapsed="false">
      <c r="A24" s="10" t="s">
        <v>24</v>
      </c>
      <c r="B24" s="11" t="n">
        <f aca="false">B23/B16</f>
        <v>0.00327185764473497</v>
      </c>
      <c r="C24" s="11" t="n">
        <f aca="false">C23/C16</f>
        <v>2.95377875198659E-005</v>
      </c>
      <c r="D24" s="11" t="n">
        <f aca="false">D23/D16</f>
        <v>-0.000949370275911905</v>
      </c>
      <c r="E24" s="11" t="n">
        <f aca="false">E23/E16</f>
        <v>-0.00463308929275648</v>
      </c>
      <c r="F24" s="11" t="n">
        <f aca="false">F23/F16</f>
        <v>-0.00523872502063854</v>
      </c>
      <c r="G24" s="11" t="n">
        <f aca="false">G23/G16</f>
        <v>-0.00460879425128506</v>
      </c>
      <c r="H24" s="11" t="n">
        <f aca="false">H23/H16</f>
        <v>-0.00241163283755332</v>
      </c>
      <c r="I24" s="11" t="n">
        <f aca="false">I23/I16</f>
        <v>-0.00187451304500953</v>
      </c>
      <c r="J24" s="11" t="n">
        <f aca="false">J23/J16</f>
        <v>-0.0022026543604222</v>
      </c>
      <c r="K24" s="11" t="n">
        <f aca="false">K23/K16</f>
        <v>-0.00147743995808445</v>
      </c>
      <c r="L24" s="11" t="n">
        <f aca="false">L23/L16</f>
        <v>-0.00532318413182059</v>
      </c>
      <c r="M24" s="11" t="n">
        <f aca="false">M23/M16</f>
        <v>-0.00145606347162762</v>
      </c>
      <c r="N24" s="11" t="n">
        <f aca="false">N23/N16</f>
        <v>-0.00225479996596257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2"/>
    </row>
    <row r="26" customFormat="false" ht="13.5" hidden="false" customHeight="false" outlineLevel="0" collapsed="false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customFormat="false" ht="13.5" hidden="false" customHeight="false" outlineLevel="0" collapsed="false">
      <c r="A27" s="15"/>
    </row>
    <row r="28" customFormat="false" ht="13.5" hidden="false" customHeight="false" outlineLevel="0" collapsed="false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customFormat="false" ht="13.5" hidden="false" customHeight="false" outlineLevel="0" collapsed="false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Italic"&amp;12NNG DTH PRA (99)12 Month Historical</oddHeader>
    <oddFooter>&amp;L&amp;F&amp;CPage &amp;P&amp;R&amp;D 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4" min="4" style="0" width="8.99"/>
    <col collapsed="false" customWidth="true" hidden="false" outlineLevel="0" max="6" min="5" style="0" width="9.28"/>
    <col collapsed="false" customWidth="true" hidden="false" outlineLevel="0" max="9" min="8" style="0" width="9.28"/>
    <col collapsed="false" customWidth="true" hidden="false" outlineLevel="0" max="10" min="10" style="0" width="10.71"/>
    <col collapsed="false" customWidth="true" hidden="false" outlineLevel="0" max="11" min="11" style="0" width="8.99"/>
    <col collapsed="false" customWidth="true" hidden="false" outlineLevel="0" max="12" min="12" style="0" width="10.85"/>
    <col collapsed="false" customWidth="true" hidden="false" outlineLevel="0" max="13" min="13" style="0" width="9.85"/>
    <col collapsed="false" customWidth="true" hidden="false" outlineLevel="0" max="14" min="14" style="0" width="10.71"/>
  </cols>
  <sheetData>
    <row r="1" customFormat="false" ht="12.75" hidden="false" customHeight="false" outlineLevel="0" collapsed="false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2.75" hidden="false" customHeight="false" outlineLevel="0" collapsed="false">
      <c r="A2" s="1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13.5" hidden="false" customHeight="false" outlineLevel="0" collapsed="false">
      <c r="A5" s="1"/>
      <c r="B5" s="5" t="s">
        <v>15</v>
      </c>
      <c r="C5" s="5" t="s">
        <v>16</v>
      </c>
      <c r="D5" s="5" t="s">
        <v>17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/>
    </row>
    <row r="6" customFormat="false" ht="13.5" hidden="false" customHeight="false" outlineLevel="0" collapsed="false">
      <c r="A6" s="1"/>
      <c r="B6" s="5" t="n">
        <v>2000</v>
      </c>
      <c r="C6" s="5" t="n">
        <v>2000</v>
      </c>
      <c r="D6" s="5" t="n">
        <v>2000</v>
      </c>
      <c r="E6" s="5" t="n">
        <v>2000</v>
      </c>
      <c r="F6" s="5" t="n">
        <v>2000</v>
      </c>
      <c r="G6" s="5" t="n">
        <v>2000</v>
      </c>
      <c r="H6" s="5" t="n">
        <v>2000</v>
      </c>
      <c r="I6" s="5" t="n">
        <v>2000</v>
      </c>
      <c r="J6" s="5" t="n">
        <v>2000</v>
      </c>
      <c r="K6" s="5" t="n">
        <v>2000</v>
      </c>
      <c r="L6" s="5" t="n">
        <v>2000</v>
      </c>
      <c r="M6" s="5" t="n">
        <v>2000</v>
      </c>
      <c r="N6" s="6" t="s">
        <v>19</v>
      </c>
    </row>
    <row r="7" customFormat="false" ht="13.5" hidden="false" customHeight="false" outlineLevel="0" collapsed="false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"/>
    </row>
    <row r="8" customFormat="false" ht="13.5" hidden="false" customHeight="false" outlineLevel="0" collapsed="false">
      <c r="A8" s="8" t="s">
        <v>20</v>
      </c>
      <c r="B8" s="9" t="n">
        <v>383648778</v>
      </c>
      <c r="C8" s="9" t="n">
        <v>322883049</v>
      </c>
      <c r="D8" s="9" t="n">
        <v>282853628</v>
      </c>
      <c r="E8" s="9" t="n">
        <v>259837653</v>
      </c>
      <c r="F8" s="9" t="n">
        <v>233128019</v>
      </c>
      <c r="G8" s="9" t="n">
        <v>212598681</v>
      </c>
      <c r="H8" s="9" t="n">
        <v>217531439</v>
      </c>
      <c r="I8" s="9" t="n">
        <v>224610474</v>
      </c>
      <c r="J8" s="9" t="n">
        <v>233074589</v>
      </c>
      <c r="K8" s="9" t="n">
        <v>264953601</v>
      </c>
      <c r="L8" s="9" t="n">
        <v>313359285</v>
      </c>
      <c r="M8" s="9" t="n">
        <v>372209697</v>
      </c>
      <c r="N8" s="2" t="n">
        <f aca="false">SUM(B8:M8)</f>
        <v>3320688893</v>
      </c>
    </row>
    <row r="9" customFormat="false" ht="13.5" hidden="false" customHeight="false" outlineLevel="0" collapsed="false">
      <c r="A9" s="8" t="s">
        <v>21</v>
      </c>
      <c r="B9" s="9" t="n">
        <v>380965837</v>
      </c>
      <c r="C9" s="9" t="n">
        <v>319742774</v>
      </c>
      <c r="D9" s="9" t="n">
        <v>280808213</v>
      </c>
      <c r="E9" s="9" t="n">
        <v>257340924</v>
      </c>
      <c r="F9" s="9" t="n">
        <v>231522390</v>
      </c>
      <c r="G9" s="9" t="n">
        <v>210583422</v>
      </c>
      <c r="H9" s="9" t="n">
        <v>215852270</v>
      </c>
      <c r="I9" s="9" t="n">
        <v>222571433</v>
      </c>
      <c r="J9" s="9" t="n">
        <v>231304863</v>
      </c>
      <c r="K9" s="9" t="n">
        <v>263053407</v>
      </c>
      <c r="L9" s="9" t="n">
        <v>311106093</v>
      </c>
      <c r="M9" s="9" t="n">
        <v>369297433</v>
      </c>
      <c r="N9" s="2" t="n">
        <f aca="false">SUM(B9:M9)</f>
        <v>3294149059</v>
      </c>
    </row>
    <row r="10" customFormat="false" ht="12.75" hidden="false" customHeight="false" outlineLevel="0" collapsed="false">
      <c r="A10" s="8" t="s">
        <v>22</v>
      </c>
      <c r="B10" s="2" t="n">
        <f aca="false">+B9+B19+B20+B21</f>
        <v>383510647</v>
      </c>
      <c r="C10" s="2" t="n">
        <f aca="false">+C9+C19+C20+C21</f>
        <v>322373162</v>
      </c>
      <c r="D10" s="2" t="n">
        <f aca="false">+D9+D19+D20+D21</f>
        <v>282828865</v>
      </c>
      <c r="E10" s="2" t="n">
        <f aca="false">+E9+E19+E20+E21</f>
        <v>259677983</v>
      </c>
      <c r="F10" s="2" t="n">
        <f aca="false">+F9+F19+F20+F21</f>
        <v>233093426</v>
      </c>
      <c r="G10" s="2" t="n">
        <f aca="false">+G9+G19+G20+G21</f>
        <v>212357055</v>
      </c>
      <c r="H10" s="2" t="n">
        <f aca="false">+H9+H19+H20+H21</f>
        <v>217854514</v>
      </c>
      <c r="I10" s="2" t="n">
        <f aca="false">+I9+I19+I20+I21</f>
        <v>224034715</v>
      </c>
      <c r="J10" s="2" t="n">
        <f aca="false">+J9+J19+J20+J21</f>
        <v>233271710</v>
      </c>
      <c r="K10" s="2" t="n">
        <f aca="false">+K9+K19+K20+K21</f>
        <v>265008528</v>
      </c>
      <c r="L10" s="2" t="n">
        <f aca="false">+L9+L19+L20+L21</f>
        <v>313410778</v>
      </c>
      <c r="M10" s="2" t="n">
        <f aca="false">+M9+M19+M20+M21</f>
        <v>371776705</v>
      </c>
      <c r="N10" s="2" t="n">
        <f aca="false">SUM(B10:M10)</f>
        <v>3319198088</v>
      </c>
    </row>
    <row r="11" customFormat="false" ht="12.75" hidden="false" customHeight="false" outlineLevel="0" collapsed="false">
      <c r="A11" s="8" t="s">
        <v>23</v>
      </c>
      <c r="B11" s="2" t="n">
        <f aca="false">-B8+B10</f>
        <v>-138131</v>
      </c>
      <c r="C11" s="2" t="n">
        <f aca="false">-C8+C10</f>
        <v>-509887</v>
      </c>
      <c r="D11" s="2" t="n">
        <f aca="false">-D8+D10</f>
        <v>-24763</v>
      </c>
      <c r="E11" s="2" t="n">
        <f aca="false">-E8+E10</f>
        <v>-159670</v>
      </c>
      <c r="F11" s="2" t="n">
        <f aca="false">-F8+F10</f>
        <v>-34593</v>
      </c>
      <c r="G11" s="2" t="n">
        <f aca="false">-G8+G10</f>
        <v>-241626</v>
      </c>
      <c r="H11" s="2" t="n">
        <f aca="false">-H8+H10</f>
        <v>323075</v>
      </c>
      <c r="I11" s="2" t="n">
        <f aca="false">-I8+I10</f>
        <v>-575759</v>
      </c>
      <c r="J11" s="2" t="n">
        <f aca="false">-J8+J10</f>
        <v>197121</v>
      </c>
      <c r="K11" s="2" t="n">
        <f aca="false">-K8+K10</f>
        <v>54927</v>
      </c>
      <c r="L11" s="2" t="n">
        <f aca="false">-L8+L10</f>
        <v>51493</v>
      </c>
      <c r="M11" s="2" t="n">
        <f aca="false">-M8+M10</f>
        <v>-432992</v>
      </c>
      <c r="N11" s="2" t="n">
        <f aca="false">SUM(B11:M11)</f>
        <v>-1490805</v>
      </c>
    </row>
    <row r="12" customFormat="false" ht="12.75" hidden="false" customHeight="false" outlineLevel="0" collapsed="false">
      <c r="A12" s="10" t="s">
        <v>24</v>
      </c>
      <c r="B12" s="11" t="n">
        <f aca="false">B11/B8</f>
        <v>-0.0003600454580361</v>
      </c>
      <c r="C12" s="11" t="n">
        <f aca="false">C11/C8</f>
        <v>-0.00157916930473485</v>
      </c>
      <c r="D12" s="11" t="n">
        <f aca="false">D11/D8</f>
        <v>-8.75470474785637E-005</v>
      </c>
      <c r="E12" s="11" t="n">
        <f aca="false">E11/E8</f>
        <v>-0.000614499084934392</v>
      </c>
      <c r="F12" s="11" t="n">
        <f aca="false">F11/F8</f>
        <v>-0.000148386282131107</v>
      </c>
      <c r="G12" s="11" t="n">
        <f aca="false">G11/G8</f>
        <v>-0.00113653574360605</v>
      </c>
      <c r="H12" s="11" t="n">
        <f aca="false">H11/H8</f>
        <v>0.00148518761924799</v>
      </c>
      <c r="I12" s="11" t="n">
        <f aca="false">I11/I8</f>
        <v>-0.00256336665760298</v>
      </c>
      <c r="J12" s="11" t="n">
        <f aca="false">J11/J8</f>
        <v>0.000845742132789946</v>
      </c>
      <c r="K12" s="11" t="n">
        <f aca="false">K11/K8</f>
        <v>0.000207307995787534</v>
      </c>
      <c r="L12" s="11" t="n">
        <f aca="false">L11/L8</f>
        <v>0.000164325751509166</v>
      </c>
      <c r="M12" s="11" t="n">
        <f aca="false">M11/M8</f>
        <v>-0.00116330123446515</v>
      </c>
      <c r="N12" s="11" t="n">
        <f aca="false">N11/N8</f>
        <v>-0.000448944495566149</v>
      </c>
    </row>
    <row r="13" customFormat="false" ht="12.75" hidden="false" customHeight="false" outlineLevel="0" collapsed="false">
      <c r="A13" s="8" t="s">
        <v>25</v>
      </c>
      <c r="B13" s="2" t="n">
        <f aca="false">-B8+B10</f>
        <v>-138131</v>
      </c>
      <c r="C13" s="2" t="n">
        <f aca="false">-C8+C10</f>
        <v>-509887</v>
      </c>
      <c r="D13" s="2" t="n">
        <f aca="false">-D8+D10</f>
        <v>-24763</v>
      </c>
      <c r="E13" s="2" t="n">
        <f aca="false">-E8+E10</f>
        <v>-159670</v>
      </c>
      <c r="F13" s="2" t="n">
        <f aca="false">-F8+F10</f>
        <v>-34593</v>
      </c>
      <c r="G13" s="2" t="n">
        <f aca="false">-G8+G10</f>
        <v>-241626</v>
      </c>
      <c r="H13" s="2" t="n">
        <f aca="false">-H8+H10</f>
        <v>323075</v>
      </c>
      <c r="I13" s="2" t="n">
        <f aca="false">-I8+I10</f>
        <v>-575759</v>
      </c>
      <c r="J13" s="2" t="n">
        <f aca="false">-J8+J10</f>
        <v>197121</v>
      </c>
      <c r="K13" s="2" t="n">
        <f aca="false">-K8+K10</f>
        <v>54927</v>
      </c>
      <c r="L13" s="2" t="n">
        <f aca="false">-L8+L10</f>
        <v>51493</v>
      </c>
      <c r="M13" s="2" t="n">
        <f aca="false">-M8+M10</f>
        <v>-432992</v>
      </c>
      <c r="N13" s="2" t="n">
        <f aca="false">SUM(B13:M13)</f>
        <v>-1490805</v>
      </c>
    </row>
    <row r="14" customFormat="false" ht="12.75" hidden="false" customHeight="false" outlineLevel="0" collapsed="false">
      <c r="A14" s="10" t="s">
        <v>24</v>
      </c>
      <c r="B14" s="11" t="n">
        <f aca="false">B13/B8</f>
        <v>-0.0003600454580361</v>
      </c>
      <c r="C14" s="11" t="n">
        <f aca="false">C13/C8</f>
        <v>-0.00157916930473485</v>
      </c>
      <c r="D14" s="11" t="n">
        <f aca="false">D13/D8</f>
        <v>-8.75470474785637E-005</v>
      </c>
      <c r="E14" s="11" t="n">
        <f aca="false">E13/E8</f>
        <v>-0.000614499084934392</v>
      </c>
      <c r="F14" s="11" t="n">
        <f aca="false">F13/F8</f>
        <v>-0.000148386282131107</v>
      </c>
      <c r="G14" s="11" t="n">
        <f aca="false">G13/G8</f>
        <v>-0.00113653574360605</v>
      </c>
      <c r="H14" s="11" t="n">
        <f aca="false">H13/H8</f>
        <v>0.00148518761924799</v>
      </c>
      <c r="I14" s="11" t="n">
        <f aca="false">I13/I8</f>
        <v>-0.00256336665760298</v>
      </c>
      <c r="J14" s="11" t="n">
        <f aca="false">J13/J8</f>
        <v>0.000845742132789946</v>
      </c>
      <c r="K14" s="11" t="n">
        <f aca="false">K13/K8</f>
        <v>0.000207307995787534</v>
      </c>
      <c r="L14" s="11" t="n">
        <f aca="false">L13/L8</f>
        <v>0.000164325751509166</v>
      </c>
      <c r="M14" s="11" t="n">
        <f aca="false">M13/M8</f>
        <v>-0.00116330123446515</v>
      </c>
      <c r="N14" s="11" t="n">
        <f aca="false">N13/N8</f>
        <v>-0.000448944495566149</v>
      </c>
    </row>
    <row r="15" customFormat="false" ht="13.5" hidden="false" customHeight="false" outlineLevel="0" collapsed="false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" t="s">
        <v>1</v>
      </c>
    </row>
    <row r="16" customFormat="false" ht="12.75" hidden="false" customHeight="false" outlineLevel="0" collapsed="false">
      <c r="A16" s="8" t="s">
        <v>26</v>
      </c>
      <c r="B16" s="2" t="n">
        <v>146830605</v>
      </c>
      <c r="C16" s="2" t="n">
        <v>125650260</v>
      </c>
      <c r="D16" s="2" t="n">
        <v>117994083</v>
      </c>
      <c r="E16" s="2" t="n">
        <v>106825498</v>
      </c>
      <c r="F16" s="2" t="n">
        <v>102366920</v>
      </c>
      <c r="G16" s="2" t="n">
        <v>91567485</v>
      </c>
      <c r="H16" s="2" t="n">
        <v>98924687</v>
      </c>
      <c r="I16" s="2" t="n">
        <v>100482767</v>
      </c>
      <c r="J16" s="2" t="n">
        <v>104400357</v>
      </c>
      <c r="K16" s="2" t="n">
        <v>111613192</v>
      </c>
      <c r="L16" s="2" t="n">
        <v>128467892</v>
      </c>
      <c r="M16" s="2" t="n">
        <v>151266999</v>
      </c>
      <c r="N16" s="2" t="n">
        <f aca="false">SUM(B16:M16)</f>
        <v>1386390745</v>
      </c>
    </row>
    <row r="17" customFormat="false" ht="12.75" hidden="false" customHeight="fals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</v>
      </c>
    </row>
    <row r="18" customFormat="false" ht="12.75" hidden="false" customHeight="false" outlineLevel="0" collapsed="false">
      <c r="A18" s="8" t="s">
        <v>27</v>
      </c>
      <c r="B18" s="2" t="n">
        <v>144147664</v>
      </c>
      <c r="C18" s="2" t="n">
        <v>122509985</v>
      </c>
      <c r="D18" s="2" t="n">
        <v>115948668</v>
      </c>
      <c r="E18" s="2" t="n">
        <v>104328769</v>
      </c>
      <c r="F18" s="2" t="n">
        <v>100761291</v>
      </c>
      <c r="G18" s="2" t="n">
        <v>89552226</v>
      </c>
      <c r="H18" s="2" t="n">
        <v>97245518</v>
      </c>
      <c r="I18" s="2" t="n">
        <v>98443726</v>
      </c>
      <c r="J18" s="2" t="n">
        <v>102630631</v>
      </c>
      <c r="K18" s="2" t="n">
        <v>109712998</v>
      </c>
      <c r="L18" s="2" t="n">
        <v>126214700</v>
      </c>
      <c r="M18" s="2" t="n">
        <v>148354735</v>
      </c>
      <c r="N18" s="2" t="n">
        <f aca="false">SUM(B18:M18)</f>
        <v>1359850911</v>
      </c>
    </row>
    <row r="19" customFormat="false" ht="12.75" hidden="false" customHeight="false" outlineLevel="0" collapsed="false">
      <c r="A19" s="8" t="s">
        <v>28</v>
      </c>
      <c r="B19" s="2" t="n">
        <v>2790141</v>
      </c>
      <c r="C19" s="2" t="n">
        <v>2491772</v>
      </c>
      <c r="D19" s="2" t="n">
        <v>2207421</v>
      </c>
      <c r="E19" s="2" t="n">
        <v>1963902</v>
      </c>
      <c r="F19" s="2" t="n">
        <v>1713206</v>
      </c>
      <c r="G19" s="2" t="n">
        <v>1543042</v>
      </c>
      <c r="H19" s="2" t="n">
        <v>1534964</v>
      </c>
      <c r="I19" s="2" t="n">
        <v>1589917</v>
      </c>
      <c r="J19" s="2" t="n">
        <v>1762126</v>
      </c>
      <c r="K19" s="2" t="n">
        <v>1864924</v>
      </c>
      <c r="L19" s="2" t="n">
        <v>2217394</v>
      </c>
      <c r="M19" s="2" t="n">
        <v>2520014</v>
      </c>
      <c r="N19" s="2" t="n">
        <f aca="false">SUM(B19:M19)</f>
        <v>24198823</v>
      </c>
    </row>
    <row r="20" customFormat="false" ht="12.75" hidden="false" customHeight="false" outlineLevel="0" collapsed="false">
      <c r="A20" s="8" t="s">
        <v>29</v>
      </c>
      <c r="B20" s="2" t="n">
        <v>-273610</v>
      </c>
      <c r="C20" s="2" t="n">
        <v>107270</v>
      </c>
      <c r="D20" s="2" t="n">
        <v>-216580</v>
      </c>
      <c r="E20" s="2" t="n">
        <v>329178</v>
      </c>
      <c r="F20" s="2" t="n">
        <v>-182730</v>
      </c>
      <c r="G20" s="2" t="n">
        <v>198720</v>
      </c>
      <c r="H20" s="2" t="n">
        <v>446385</v>
      </c>
      <c r="I20" s="2" t="n">
        <v>-144738</v>
      </c>
      <c r="J20" s="2" t="n">
        <v>176208</v>
      </c>
      <c r="K20" s="2" t="n">
        <v>73204</v>
      </c>
      <c r="L20" s="2" t="n">
        <v>62360</v>
      </c>
      <c r="M20" s="2" t="n">
        <v>-71705</v>
      </c>
      <c r="N20" s="2" t="n">
        <f aca="false">SUM(B20:M20)</f>
        <v>503962</v>
      </c>
    </row>
    <row r="21" customFormat="false" ht="12.75" hidden="false" customHeight="false" outlineLevel="0" collapsed="false">
      <c r="A21" s="8" t="s">
        <v>30</v>
      </c>
      <c r="B21" s="2" t="n">
        <v>28279</v>
      </c>
      <c r="C21" s="2" t="n">
        <v>31346</v>
      </c>
      <c r="D21" s="2" t="n">
        <v>29811</v>
      </c>
      <c r="E21" s="2" t="n">
        <v>43979</v>
      </c>
      <c r="F21" s="2" t="n">
        <v>40560</v>
      </c>
      <c r="G21" s="2" t="n">
        <v>31871</v>
      </c>
      <c r="H21" s="2" t="n">
        <v>20895</v>
      </c>
      <c r="I21" s="2" t="n">
        <v>18103</v>
      </c>
      <c r="J21" s="2" t="n">
        <v>28513</v>
      </c>
      <c r="K21" s="2" t="n">
        <v>16993</v>
      </c>
      <c r="L21" s="2" t="n">
        <v>24931</v>
      </c>
      <c r="M21" s="2" t="n">
        <v>30963</v>
      </c>
      <c r="N21" s="2" t="n">
        <f aca="false">SUM(B21:M21)</f>
        <v>346244</v>
      </c>
    </row>
    <row r="22" customFormat="false" ht="12.75" hidden="false" customHeight="false" outlineLevel="0" collapsed="false">
      <c r="A22" s="8" t="s">
        <v>22</v>
      </c>
      <c r="B22" s="2" t="n">
        <f aca="false">SUM(B18:B21)</f>
        <v>146692474</v>
      </c>
      <c r="C22" s="2" t="n">
        <f aca="false">SUM(C18:C21)</f>
        <v>125140373</v>
      </c>
      <c r="D22" s="2" t="n">
        <f aca="false">SUM(D18:D21)</f>
        <v>117969320</v>
      </c>
      <c r="E22" s="2" t="n">
        <f aca="false">SUM(E18:E21)</f>
        <v>106665828</v>
      </c>
      <c r="F22" s="2" t="n">
        <f aca="false">SUM(F18:F21)</f>
        <v>102332327</v>
      </c>
      <c r="G22" s="2" t="n">
        <f aca="false">SUM(G18:G21)</f>
        <v>91325859</v>
      </c>
      <c r="H22" s="2" t="n">
        <f aca="false">SUM(H18:H21)</f>
        <v>99247762</v>
      </c>
      <c r="I22" s="2" t="n">
        <f aca="false">SUM(I18:I21)</f>
        <v>99907008</v>
      </c>
      <c r="J22" s="2" t="n">
        <f aca="false">SUM(J18:J21)</f>
        <v>104597478</v>
      </c>
      <c r="K22" s="2" t="n">
        <f aca="false">SUM(K18:K21)</f>
        <v>111668119</v>
      </c>
      <c r="L22" s="2" t="n">
        <f aca="false">SUM(L18:L21)</f>
        <v>128519385</v>
      </c>
      <c r="M22" s="2" t="n">
        <f aca="false">SUM(M18:M21)</f>
        <v>150834007</v>
      </c>
      <c r="N22" s="2" t="n">
        <f aca="false">SUM(B22:M22)</f>
        <v>1384899940</v>
      </c>
    </row>
    <row r="23" customFormat="false" ht="12.75" hidden="false" customHeight="false" outlineLevel="0" collapsed="false">
      <c r="A23" s="8" t="s">
        <v>31</v>
      </c>
      <c r="B23" s="2" t="n">
        <f aca="false">-B16+B22</f>
        <v>-138131</v>
      </c>
      <c r="C23" s="2" t="n">
        <f aca="false">-C16+C22</f>
        <v>-509887</v>
      </c>
      <c r="D23" s="2" t="n">
        <f aca="false">-D16+D22</f>
        <v>-24763</v>
      </c>
      <c r="E23" s="2" t="n">
        <f aca="false">-E16+E22</f>
        <v>-159670</v>
      </c>
      <c r="F23" s="2" t="n">
        <f aca="false">-F16+F22</f>
        <v>-34593</v>
      </c>
      <c r="G23" s="2" t="n">
        <f aca="false">-G16+G22</f>
        <v>-241626</v>
      </c>
      <c r="H23" s="2" t="n">
        <f aca="false">-H16+H22</f>
        <v>323075</v>
      </c>
      <c r="I23" s="2" t="n">
        <f aca="false">-I16+I22</f>
        <v>-575759</v>
      </c>
      <c r="J23" s="2" t="n">
        <f aca="false">-J16+J22</f>
        <v>197121</v>
      </c>
      <c r="K23" s="2" t="n">
        <f aca="false">-K16+K22</f>
        <v>54927</v>
      </c>
      <c r="L23" s="2" t="n">
        <f aca="false">-L16+L22</f>
        <v>51493</v>
      </c>
      <c r="M23" s="2" t="n">
        <f aca="false">-M16+M22</f>
        <v>-432992</v>
      </c>
      <c r="N23" s="2" t="n">
        <f aca="false">SUM(B23:M23)</f>
        <v>-1490805</v>
      </c>
    </row>
    <row r="24" customFormat="false" ht="12.75" hidden="false" customHeight="false" outlineLevel="0" collapsed="false">
      <c r="A24" s="10" t="s">
        <v>24</v>
      </c>
      <c r="B24" s="11" t="n">
        <f aca="false">B23/B16</f>
        <v>-0.000940750737899636</v>
      </c>
      <c r="C24" s="11" t="n">
        <f aca="false">C23/C16</f>
        <v>-0.00405798603202254</v>
      </c>
      <c r="D24" s="11" t="n">
        <f aca="false">D23/D16</f>
        <v>-0.000209866455761176</v>
      </c>
      <c r="E24" s="11" t="n">
        <f aca="false">E23/E16</f>
        <v>-0.0014946806051866</v>
      </c>
      <c r="F24" s="11" t="n">
        <f aca="false">F23/F16</f>
        <v>-0.000337931433318498</v>
      </c>
      <c r="G24" s="11" t="n">
        <f aca="false">G23/G16</f>
        <v>-0.00263877510668771</v>
      </c>
      <c r="H24" s="11" t="n">
        <f aca="false">H23/H16</f>
        <v>0.00326586830646227</v>
      </c>
      <c r="I24" s="11" t="n">
        <f aca="false">I23/I16</f>
        <v>-0.00572992779946038</v>
      </c>
      <c r="J24" s="11" t="n">
        <f aca="false">J23/J16</f>
        <v>0.00188812572738616</v>
      </c>
      <c r="K24" s="11" t="n">
        <f aca="false">K23/K16</f>
        <v>0.000492119246979336</v>
      </c>
      <c r="L24" s="11" t="n">
        <f aca="false">L23/L16</f>
        <v>0.000400823888353364</v>
      </c>
      <c r="M24" s="11" t="n">
        <f aca="false">M23/M16</f>
        <v>-0.00286243531545172</v>
      </c>
      <c r="N24" s="11" t="n">
        <f aca="false">N23/N16</f>
        <v>-0.00107531372766052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" min="3" style="0" width="9.28"/>
    <col collapsed="false" customWidth="true" hidden="false" outlineLevel="0" max="6" min="4" style="0" width="8.99"/>
    <col collapsed="false" customWidth="true" hidden="false" outlineLevel="0" max="7" min="7" style="0" width="8.85"/>
    <col collapsed="false" customWidth="true" hidden="false" outlineLevel="0" max="9" min="8" style="0" width="8.99"/>
    <col collapsed="false" customWidth="true" hidden="false" outlineLevel="0" max="10" min="10" style="0" width="10.28"/>
    <col collapsed="false" customWidth="true" hidden="false" outlineLevel="0" max="11" min="11" style="0" width="9.41"/>
    <col collapsed="false" customWidth="true" hidden="false" outlineLevel="0" max="13" min="12" style="0" width="10.28"/>
    <col collapsed="false" customWidth="true" hidden="false" outlineLevel="0" max="14" min="14" style="0" width="10.13"/>
  </cols>
  <sheetData>
    <row r="1" customFormat="false" ht="12.75" hidden="false" customHeight="false" outlineLevel="0" collapsed="false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2.75" hidden="false" customHeight="false" outlineLevel="0" collapsed="false">
      <c r="A2" s="1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13.5" hidden="false" customHeight="false" outlineLevel="0" collapsed="false">
      <c r="A5" s="1"/>
      <c r="B5" s="5" t="s">
        <v>15</v>
      </c>
      <c r="C5" s="5" t="s">
        <v>16</v>
      </c>
      <c r="D5" s="5" t="s">
        <v>17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/>
    </row>
    <row r="6" customFormat="false" ht="13.5" hidden="false" customHeight="false" outlineLevel="0" collapsed="false">
      <c r="A6" s="1"/>
      <c r="B6" s="5" t="n">
        <v>2000</v>
      </c>
      <c r="C6" s="5" t="n">
        <v>2000</v>
      </c>
      <c r="D6" s="5" t="n">
        <v>2000</v>
      </c>
      <c r="E6" s="5" t="n">
        <v>2000</v>
      </c>
      <c r="F6" s="5" t="n">
        <v>2000</v>
      </c>
      <c r="G6" s="5" t="n">
        <v>2000</v>
      </c>
      <c r="H6" s="5" t="n">
        <v>2000</v>
      </c>
      <c r="I6" s="5" t="n">
        <v>2000</v>
      </c>
      <c r="J6" s="5" t="n">
        <v>2000</v>
      </c>
      <c r="K6" s="5" t="n">
        <v>2000</v>
      </c>
      <c r="L6" s="5" t="n">
        <v>2000</v>
      </c>
      <c r="M6" s="5" t="n">
        <v>2000</v>
      </c>
      <c r="N6" s="6" t="s">
        <v>19</v>
      </c>
    </row>
    <row r="7" customFormat="false" ht="13.5" hidden="false" customHeight="false" outlineLevel="0" collapsed="false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"/>
    </row>
    <row r="8" customFormat="false" ht="13.5" hidden="false" customHeight="false" outlineLevel="0" collapsed="false">
      <c r="A8" s="8" t="s">
        <v>20</v>
      </c>
      <c r="B8" s="9" t="n">
        <v>389462524</v>
      </c>
      <c r="C8" s="9" t="n">
        <v>327592311</v>
      </c>
      <c r="D8" s="9" t="n">
        <v>287137686</v>
      </c>
      <c r="E8" s="9" t="n">
        <v>264736025</v>
      </c>
      <c r="F8" s="9" t="n">
        <v>238071405</v>
      </c>
      <c r="G8" s="9" t="n">
        <v>218685444</v>
      </c>
      <c r="H8" s="9" t="n">
        <v>223482056</v>
      </c>
      <c r="I8" s="9" t="n">
        <v>230223503</v>
      </c>
      <c r="J8" s="9" t="n">
        <v>238858380</v>
      </c>
      <c r="K8" s="9" t="n">
        <v>269939084</v>
      </c>
      <c r="L8" s="9" t="n">
        <v>317732541</v>
      </c>
      <c r="M8" s="9" t="n">
        <v>378284649</v>
      </c>
      <c r="N8" s="2" t="n">
        <f aca="false">SUM(B8:M8)</f>
        <v>3384205608</v>
      </c>
    </row>
    <row r="9" customFormat="false" ht="13.5" hidden="false" customHeight="false" outlineLevel="0" collapsed="false">
      <c r="A9" s="8" t="s">
        <v>21</v>
      </c>
      <c r="B9" s="9" t="n">
        <v>386562421</v>
      </c>
      <c r="C9" s="9" t="n">
        <v>324141831</v>
      </c>
      <c r="D9" s="9" t="n">
        <v>284806968</v>
      </c>
      <c r="E9" s="9" t="n">
        <v>261888455</v>
      </c>
      <c r="F9" s="9" t="n">
        <v>236216917</v>
      </c>
      <c r="G9" s="9" t="n">
        <v>216410637</v>
      </c>
      <c r="H9" s="9" t="n">
        <v>221725930</v>
      </c>
      <c r="I9" s="9" t="n">
        <v>228125235</v>
      </c>
      <c r="J9" s="9" t="n">
        <v>237123161</v>
      </c>
      <c r="K9" s="9" t="n">
        <v>268039685</v>
      </c>
      <c r="L9" s="9" t="n">
        <v>315403855</v>
      </c>
      <c r="M9" s="9" t="n">
        <v>375190523</v>
      </c>
      <c r="N9" s="2" t="n">
        <f aca="false">SUM(B9:M9)</f>
        <v>3355635618</v>
      </c>
    </row>
    <row r="10" customFormat="false" ht="12.75" hidden="false" customHeight="false" outlineLevel="0" collapsed="false">
      <c r="A10" s="8" t="s">
        <v>22</v>
      </c>
      <c r="B10" s="2" t="n">
        <f aca="false">+B9+B19+B20+B21</f>
        <v>389241753</v>
      </c>
      <c r="C10" s="2" t="n">
        <f aca="false">+C9+C19+C20+C21</f>
        <v>326911329</v>
      </c>
      <c r="D10" s="2" t="n">
        <f aca="false">+D9+D19+D20+D21</f>
        <v>286962772</v>
      </c>
      <c r="E10" s="2" t="n">
        <f aca="false">+E9+E19+E20+E21</f>
        <v>264414093</v>
      </c>
      <c r="F10" s="2" t="n">
        <f aca="false">+F9+F19+F20+F21</f>
        <v>237982633</v>
      </c>
      <c r="G10" s="2" t="n">
        <f aca="false">+G9+G19+G20+G21</f>
        <v>218346083</v>
      </c>
      <c r="H10" s="2" t="n">
        <f aca="false">+H9+H19+H20+H21</f>
        <v>223859803</v>
      </c>
      <c r="I10" s="2" t="n">
        <f aca="false">+I9+I19+I20+I21</f>
        <v>229693649</v>
      </c>
      <c r="J10" s="2" t="n">
        <f aca="false">+J9+J19+J20+J21</f>
        <v>239236200</v>
      </c>
      <c r="K10" s="2" t="n">
        <f aca="false">+K9+K19+K20+K21</f>
        <v>270095595</v>
      </c>
      <c r="L10" s="2" t="n">
        <f aca="false">+L9+L19+L20+L21</f>
        <v>317836229</v>
      </c>
      <c r="M10" s="2" t="n">
        <f aca="false">+M9+M19+M20+M21</f>
        <v>377825541</v>
      </c>
      <c r="N10" s="2" t="n">
        <f aca="false">SUM(B10:M10)</f>
        <v>3382405680</v>
      </c>
    </row>
    <row r="11" customFormat="false" ht="12.75" hidden="false" customHeight="false" outlineLevel="0" collapsed="false">
      <c r="A11" s="8" t="s">
        <v>23</v>
      </c>
      <c r="B11" s="2" t="n">
        <f aca="false">-B8+B10</f>
        <v>-220771</v>
      </c>
      <c r="C11" s="2" t="n">
        <f aca="false">-C8+C10</f>
        <v>-680982</v>
      </c>
      <c r="D11" s="2" t="n">
        <f aca="false">-D8+D10</f>
        <v>-174914</v>
      </c>
      <c r="E11" s="2" t="n">
        <f aca="false">-E8+E10</f>
        <v>-321932</v>
      </c>
      <c r="F11" s="2" t="n">
        <f aca="false">-F8+F10</f>
        <v>-88772</v>
      </c>
      <c r="G11" s="2" t="n">
        <f aca="false">-G8+G10</f>
        <v>-339361</v>
      </c>
      <c r="H11" s="2" t="n">
        <f aca="false">-H8+H10</f>
        <v>377747</v>
      </c>
      <c r="I11" s="2" t="n">
        <f aca="false">-I8+I10</f>
        <v>-529854</v>
      </c>
      <c r="J11" s="2" t="n">
        <f aca="false">-J8+J10</f>
        <v>377820</v>
      </c>
      <c r="K11" s="2" t="n">
        <f aca="false">-K8+K10</f>
        <v>156511</v>
      </c>
      <c r="L11" s="2" t="n">
        <f aca="false">-L8+L10</f>
        <v>103688</v>
      </c>
      <c r="M11" s="2" t="n">
        <f aca="false">-M8+M10</f>
        <v>-459108</v>
      </c>
      <c r="N11" s="2" t="n">
        <f aca="false">SUM(B11:M11)</f>
        <v>-1799928</v>
      </c>
    </row>
    <row r="12" customFormat="false" ht="12.75" hidden="false" customHeight="false" outlineLevel="0" collapsed="false">
      <c r="A12" s="10" t="s">
        <v>24</v>
      </c>
      <c r="B12" s="11" t="n">
        <f aca="false">B11/B8</f>
        <v>-0.000566860702623085</v>
      </c>
      <c r="C12" s="11" t="n">
        <f aca="false">C11/C8</f>
        <v>-0.00207874842337188</v>
      </c>
      <c r="D12" s="11" t="n">
        <f aca="false">D11/D8</f>
        <v>-0.000609164204241724</v>
      </c>
      <c r="E12" s="11" t="n">
        <f aca="false">E11/E8</f>
        <v>-0.00121604908134433</v>
      </c>
      <c r="F12" s="11" t="n">
        <f aca="false">F11/F8</f>
        <v>-0.000372879724887582</v>
      </c>
      <c r="G12" s="11" t="n">
        <f aca="false">G11/G8</f>
        <v>-0.00155182253465393</v>
      </c>
      <c r="H12" s="11" t="n">
        <f aca="false">H11/H8</f>
        <v>0.00169027888306165</v>
      </c>
      <c r="I12" s="11" t="n">
        <f aca="false">I11/I8</f>
        <v>-0.00230147657860979</v>
      </c>
      <c r="J12" s="11" t="n">
        <f aca="false">J11/J8</f>
        <v>0.00158177410396905</v>
      </c>
      <c r="K12" s="11" t="n">
        <f aca="false">K11/K8</f>
        <v>0.000579801182106701</v>
      </c>
      <c r="L12" s="11" t="n">
        <f aca="false">L11/L8</f>
        <v>0.000326337364355765</v>
      </c>
      <c r="M12" s="11" t="n">
        <f aca="false">M11/M8</f>
        <v>-0.00121365749631569</v>
      </c>
      <c r="N12" s="11" t="n">
        <f aca="false">N11/N8</f>
        <v>-0.000531861301732114</v>
      </c>
    </row>
    <row r="13" customFormat="false" ht="12.75" hidden="false" customHeight="false" outlineLevel="0" collapsed="false">
      <c r="A13" s="8" t="s">
        <v>25</v>
      </c>
      <c r="B13" s="2" t="n">
        <f aca="false">-B8+B10</f>
        <v>-220771</v>
      </c>
      <c r="C13" s="2" t="n">
        <f aca="false">-C8+C10</f>
        <v>-680982</v>
      </c>
      <c r="D13" s="2" t="n">
        <f aca="false">-D8+D10</f>
        <v>-174914</v>
      </c>
      <c r="E13" s="2" t="n">
        <f aca="false">-E8+E10</f>
        <v>-321932</v>
      </c>
      <c r="F13" s="2" t="n">
        <f aca="false">-F8+F10</f>
        <v>-88772</v>
      </c>
      <c r="G13" s="2" t="n">
        <f aca="false">-G8+G10</f>
        <v>-339361</v>
      </c>
      <c r="H13" s="2" t="n">
        <f aca="false">-H8+H10</f>
        <v>377747</v>
      </c>
      <c r="I13" s="2" t="n">
        <f aca="false">-I8+I10</f>
        <v>-529854</v>
      </c>
      <c r="J13" s="2" t="n">
        <f aca="false">-J8+J10</f>
        <v>377820</v>
      </c>
      <c r="K13" s="2" t="n">
        <f aca="false">-K8+K10</f>
        <v>156511</v>
      </c>
      <c r="L13" s="2" t="n">
        <f aca="false">-L8+L10</f>
        <v>103688</v>
      </c>
      <c r="M13" s="2" t="n">
        <f aca="false">-M8+M10</f>
        <v>-459108</v>
      </c>
      <c r="N13" s="2" t="n">
        <f aca="false">SUM(B13:M13)</f>
        <v>-1799928</v>
      </c>
    </row>
    <row r="14" customFormat="false" ht="12.75" hidden="false" customHeight="false" outlineLevel="0" collapsed="false">
      <c r="A14" s="10" t="s">
        <v>24</v>
      </c>
      <c r="B14" s="11" t="n">
        <f aca="false">B13/B8</f>
        <v>-0.000566860702623085</v>
      </c>
      <c r="C14" s="11" t="n">
        <f aca="false">C13/C8</f>
        <v>-0.00207874842337188</v>
      </c>
      <c r="D14" s="11" t="n">
        <f aca="false">D13/D8</f>
        <v>-0.000609164204241724</v>
      </c>
      <c r="E14" s="11" t="n">
        <f aca="false">E13/E8</f>
        <v>-0.00121604908134433</v>
      </c>
      <c r="F14" s="11" t="n">
        <f aca="false">F13/F8</f>
        <v>-0.000372879724887582</v>
      </c>
      <c r="G14" s="11" t="n">
        <f aca="false">G13/G8</f>
        <v>-0.00155182253465393</v>
      </c>
      <c r="H14" s="11" t="n">
        <f aca="false">H13/H8</f>
        <v>0.00169027888306165</v>
      </c>
      <c r="I14" s="11" t="n">
        <f aca="false">I13/I8</f>
        <v>-0.00230147657860979</v>
      </c>
      <c r="J14" s="11" t="n">
        <f aca="false">J13/J8</f>
        <v>0.00158177410396905</v>
      </c>
      <c r="K14" s="11" t="n">
        <f aca="false">K13/K8</f>
        <v>0.000579801182106701</v>
      </c>
      <c r="L14" s="11" t="n">
        <f aca="false">L13/L8</f>
        <v>0.000326337364355765</v>
      </c>
      <c r="M14" s="11" t="n">
        <f aca="false">M13/M8</f>
        <v>-0.00121365749631569</v>
      </c>
      <c r="N14" s="11" t="n">
        <f aca="false">N13/N8</f>
        <v>-0.000531861301732114</v>
      </c>
    </row>
    <row r="15" customFormat="false" ht="13.5" hidden="false" customHeight="false" outlineLevel="0" collapsed="false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" t="s">
        <v>1</v>
      </c>
    </row>
    <row r="16" customFormat="false" ht="12.75" hidden="false" customHeight="false" outlineLevel="0" collapsed="false">
      <c r="A16" s="8" t="s">
        <v>26</v>
      </c>
      <c r="B16" s="2" t="n">
        <v>149428069</v>
      </c>
      <c r="C16" s="2" t="n">
        <v>127927568</v>
      </c>
      <c r="D16" s="2" t="n">
        <v>120128005</v>
      </c>
      <c r="E16" s="2" t="n">
        <v>109021045</v>
      </c>
      <c r="F16" s="2" t="n">
        <v>104397477</v>
      </c>
      <c r="G16" s="2" t="n">
        <v>93951694</v>
      </c>
      <c r="H16" s="2" t="n">
        <v>101266797</v>
      </c>
      <c r="I16" s="2" t="n">
        <v>102814096</v>
      </c>
      <c r="J16" s="2" t="n">
        <v>106572865</v>
      </c>
      <c r="K16" s="2" t="n">
        <v>113468501</v>
      </c>
      <c r="L16" s="2" t="n">
        <v>130371967</v>
      </c>
      <c r="M16" s="2" t="n">
        <v>153792963</v>
      </c>
      <c r="N16" s="2" t="n">
        <f aca="false">SUM(B16:M16)</f>
        <v>1413141047</v>
      </c>
    </row>
    <row r="17" customFormat="false" ht="12.75" hidden="false" customHeight="fals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</v>
      </c>
    </row>
    <row r="18" customFormat="false" ht="12.75" hidden="false" customHeight="false" outlineLevel="0" collapsed="false">
      <c r="A18" s="8" t="s">
        <v>27</v>
      </c>
      <c r="B18" s="2" t="n">
        <v>146527966</v>
      </c>
      <c r="C18" s="2" t="n">
        <v>124477088</v>
      </c>
      <c r="D18" s="2" t="n">
        <v>117797287</v>
      </c>
      <c r="E18" s="2" t="n">
        <v>106173475</v>
      </c>
      <c r="F18" s="2" t="n">
        <v>102542989</v>
      </c>
      <c r="G18" s="2" t="n">
        <v>91676887</v>
      </c>
      <c r="H18" s="2" t="n">
        <v>99510671</v>
      </c>
      <c r="I18" s="2" t="n">
        <v>100715828</v>
      </c>
      <c r="J18" s="2" t="n">
        <v>104837646</v>
      </c>
      <c r="K18" s="2" t="n">
        <v>111569102</v>
      </c>
      <c r="L18" s="2" t="n">
        <v>128043281</v>
      </c>
      <c r="M18" s="2" t="n">
        <v>150698837</v>
      </c>
      <c r="N18" s="2" t="n">
        <f aca="false">SUM(B18:M18)</f>
        <v>1384571057</v>
      </c>
    </row>
    <row r="19" customFormat="false" ht="12.75" hidden="false" customHeight="false" outlineLevel="0" collapsed="false">
      <c r="A19" s="8" t="s">
        <v>28</v>
      </c>
      <c r="B19" s="2" t="n">
        <v>2820089</v>
      </c>
      <c r="C19" s="2" t="n">
        <v>2514315</v>
      </c>
      <c r="D19" s="2" t="n">
        <v>2233298</v>
      </c>
      <c r="E19" s="2" t="n">
        <v>1996836</v>
      </c>
      <c r="F19" s="2" t="n">
        <v>1751913</v>
      </c>
      <c r="G19" s="2" t="n">
        <v>1584762</v>
      </c>
      <c r="H19" s="2" t="n">
        <v>1573207</v>
      </c>
      <c r="I19" s="2" t="n">
        <v>1630148</v>
      </c>
      <c r="J19" s="2" t="n">
        <v>1800184</v>
      </c>
      <c r="K19" s="2" t="n">
        <v>1893976</v>
      </c>
      <c r="L19" s="2" t="n">
        <v>2250282</v>
      </c>
      <c r="M19" s="2" t="n">
        <v>2561882</v>
      </c>
      <c r="N19" s="2" t="n">
        <f aca="false">SUM(B19:M19)</f>
        <v>24610892</v>
      </c>
    </row>
    <row r="20" customFormat="false" ht="12.75" hidden="false" customHeight="false" outlineLevel="0" collapsed="false">
      <c r="A20" s="8" t="s">
        <v>29</v>
      </c>
      <c r="B20" s="2" t="n">
        <v>-271818</v>
      </c>
      <c r="C20" s="2" t="n">
        <v>108969</v>
      </c>
      <c r="D20" s="2" t="n">
        <v>-216600</v>
      </c>
      <c r="E20" s="2" t="n">
        <v>326931</v>
      </c>
      <c r="F20" s="2" t="n">
        <v>-178902</v>
      </c>
      <c r="G20" s="2" t="n">
        <v>200231</v>
      </c>
      <c r="H20" s="2" t="n">
        <v>461593</v>
      </c>
      <c r="I20" s="2" t="n">
        <v>-147789</v>
      </c>
      <c r="J20" s="2" t="n">
        <v>177964</v>
      </c>
      <c r="K20" s="2" t="n">
        <v>72651</v>
      </c>
      <c r="L20" s="2" t="n">
        <v>62705</v>
      </c>
      <c r="M20" s="2" t="n">
        <v>-72228</v>
      </c>
      <c r="N20" s="2" t="n">
        <f aca="false">SUM(B20:M20)</f>
        <v>523707</v>
      </c>
    </row>
    <row r="21" customFormat="false" ht="12.75" hidden="false" customHeight="false" outlineLevel="0" collapsed="false">
      <c r="A21" s="8" t="s">
        <v>30</v>
      </c>
      <c r="B21" s="2" t="n">
        <v>131061</v>
      </c>
      <c r="C21" s="2" t="n">
        <v>146214</v>
      </c>
      <c r="D21" s="2" t="n">
        <v>139106</v>
      </c>
      <c r="E21" s="2" t="n">
        <v>201871</v>
      </c>
      <c r="F21" s="2" t="n">
        <v>192705</v>
      </c>
      <c r="G21" s="2" t="n">
        <v>150453</v>
      </c>
      <c r="H21" s="2" t="n">
        <v>99073</v>
      </c>
      <c r="I21" s="2" t="n">
        <v>86055</v>
      </c>
      <c r="J21" s="2" t="n">
        <v>134891</v>
      </c>
      <c r="K21" s="2" t="n">
        <v>89283</v>
      </c>
      <c r="L21" s="2" t="n">
        <v>119387</v>
      </c>
      <c r="M21" s="2" t="n">
        <v>145364</v>
      </c>
      <c r="N21" s="2" t="n">
        <f aca="false">SUM(B21:M21)</f>
        <v>1635463</v>
      </c>
    </row>
    <row r="22" customFormat="false" ht="12.75" hidden="false" customHeight="false" outlineLevel="0" collapsed="false">
      <c r="A22" s="8" t="s">
        <v>22</v>
      </c>
      <c r="B22" s="2" t="n">
        <f aca="false">SUM(B18:B21)</f>
        <v>149207298</v>
      </c>
      <c r="C22" s="2" t="n">
        <f aca="false">SUM(C18:C21)</f>
        <v>127246586</v>
      </c>
      <c r="D22" s="2" t="n">
        <f aca="false">SUM(D18:D21)</f>
        <v>119953091</v>
      </c>
      <c r="E22" s="2" t="n">
        <f aca="false">SUM(E18:E21)</f>
        <v>108699113</v>
      </c>
      <c r="F22" s="2" t="n">
        <f aca="false">SUM(F18:F21)</f>
        <v>104308705</v>
      </c>
      <c r="G22" s="2" t="n">
        <f aca="false">SUM(G18:G21)</f>
        <v>93612333</v>
      </c>
      <c r="H22" s="2" t="n">
        <f aca="false">SUM(H18:H21)</f>
        <v>101644544</v>
      </c>
      <c r="I22" s="2" t="n">
        <f aca="false">SUM(I18:I21)</f>
        <v>102284242</v>
      </c>
      <c r="J22" s="2" t="n">
        <f aca="false">SUM(J18:J21)</f>
        <v>106950685</v>
      </c>
      <c r="K22" s="2" t="n">
        <f aca="false">SUM(K18:K21)</f>
        <v>113625012</v>
      </c>
      <c r="L22" s="2" t="n">
        <f aca="false">SUM(L18:L21)</f>
        <v>130475655</v>
      </c>
      <c r="M22" s="2" t="n">
        <f aca="false">SUM(M18:M21)</f>
        <v>153333855</v>
      </c>
      <c r="N22" s="2" t="n">
        <f aca="false">SUM(B22:M22)</f>
        <v>1411341119</v>
      </c>
    </row>
    <row r="23" customFormat="false" ht="12.75" hidden="false" customHeight="false" outlineLevel="0" collapsed="false">
      <c r="A23" s="8" t="s">
        <v>33</v>
      </c>
      <c r="B23" s="2" t="n">
        <f aca="false">-B16+B22</f>
        <v>-220771</v>
      </c>
      <c r="C23" s="2" t="n">
        <f aca="false">-C16+C22</f>
        <v>-680982</v>
      </c>
      <c r="D23" s="2" t="n">
        <f aca="false">-D16+D22</f>
        <v>-174914</v>
      </c>
      <c r="E23" s="2" t="n">
        <f aca="false">-E16+E22</f>
        <v>-321932</v>
      </c>
      <c r="F23" s="2" t="n">
        <f aca="false">-F16+F22</f>
        <v>-88772</v>
      </c>
      <c r="G23" s="2" t="n">
        <f aca="false">-G16+G22</f>
        <v>-339361</v>
      </c>
      <c r="H23" s="2" t="n">
        <f aca="false">-H16+H22</f>
        <v>377747</v>
      </c>
      <c r="I23" s="2" t="n">
        <f aca="false">-I16+I22</f>
        <v>-529854</v>
      </c>
      <c r="J23" s="2" t="n">
        <f aca="false">-J16+J22</f>
        <v>377820</v>
      </c>
      <c r="K23" s="2" t="n">
        <f aca="false">-K16+K22</f>
        <v>156511</v>
      </c>
      <c r="L23" s="2" t="n">
        <f aca="false">-L16+L22</f>
        <v>103688</v>
      </c>
      <c r="M23" s="2" t="n">
        <f aca="false">-M16+M22</f>
        <v>-459108</v>
      </c>
      <c r="N23" s="2" t="n">
        <f aca="false">SUM(B23:M23)</f>
        <v>-1799928</v>
      </c>
    </row>
    <row r="24" customFormat="false" ht="12.75" hidden="false" customHeight="false" outlineLevel="0" collapsed="false">
      <c r="A24" s="10" t="s">
        <v>24</v>
      </c>
      <c r="B24" s="11" t="n">
        <f aca="false">B23/B16</f>
        <v>-0.00147743995808445</v>
      </c>
      <c r="C24" s="11" t="n">
        <f aca="false">C23/C16</f>
        <v>-0.00532318413182059</v>
      </c>
      <c r="D24" s="11" t="n">
        <f aca="false">D23/D16</f>
        <v>-0.00145606347162762</v>
      </c>
      <c r="E24" s="11" t="n">
        <f aca="false">E23/E16</f>
        <v>-0.00295293445407719</v>
      </c>
      <c r="F24" s="11" t="n">
        <f aca="false">F23/F16</f>
        <v>-0.00085032706298065</v>
      </c>
      <c r="G24" s="11" t="n">
        <f aca="false">G23/G16</f>
        <v>-0.00361207962892079</v>
      </c>
      <c r="H24" s="11" t="n">
        <f aca="false">H23/H16</f>
        <v>0.00373021573892576</v>
      </c>
      <c r="I24" s="11" t="n">
        <f aca="false">I23/I16</f>
        <v>-0.00515351513667931</v>
      </c>
      <c r="J24" s="11" t="n">
        <f aca="false">J23/J16</f>
        <v>0.00354518009814224</v>
      </c>
      <c r="K24" s="11" t="n">
        <f aca="false">K23/K16</f>
        <v>0.00137933434054972</v>
      </c>
      <c r="L24" s="11" t="n">
        <f aca="false">L23/L16</f>
        <v>0.000795324350671184</v>
      </c>
      <c r="M24" s="11" t="n">
        <f aca="false">M23/M16</f>
        <v>-0.002985234116336</v>
      </c>
      <c r="N24" s="11" t="n">
        <f aca="false">N23/N16</f>
        <v>-0.00127370725223864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true" outlineLevel="0" max="2" min="2" style="2" width="11.85"/>
    <col collapsed="false" customWidth="true" hidden="true" outlineLevel="0" max="3" min="3" style="2" width="11.99"/>
    <col collapsed="false" customWidth="true" hidden="true" outlineLevel="0" max="4" min="4" style="2" width="11.7"/>
    <col collapsed="false" customWidth="true" hidden="true" outlineLevel="0" max="5" min="5" style="2" width="12.14"/>
    <col collapsed="false" customWidth="true" hidden="true" outlineLevel="0" max="6" min="6" style="2" width="11.42"/>
    <col collapsed="false" customWidth="true" hidden="true" outlineLevel="0" max="7" min="7" style="2" width="11.85"/>
    <col collapsed="false" customWidth="true" hidden="true" outlineLevel="0" max="8" min="8" style="2" width="11.42"/>
    <col collapsed="false" customWidth="true" hidden="true" outlineLevel="0" max="9" min="9" style="2" width="10.99"/>
    <col collapsed="false" customWidth="true" hidden="true" outlineLevel="0" max="10" min="10" style="2" width="11.42"/>
    <col collapsed="false" customWidth="true" hidden="false" outlineLevel="0" max="11" min="11" style="2" width="9.99"/>
    <col collapsed="false" customWidth="true" hidden="false" outlineLevel="0" max="12" min="12" style="2" width="10.56"/>
    <col collapsed="false" customWidth="true" hidden="false" outlineLevel="0" max="18" min="13" style="2" width="9.85"/>
    <col collapsed="false" customWidth="true" hidden="false" outlineLevel="0" max="22" min="19" style="2" width="11.7"/>
    <col collapsed="false" customWidth="true" hidden="false" outlineLevel="0" max="23" min="23" style="2" width="12.99"/>
    <col collapsed="false" customWidth="false" hidden="false" outlineLevel="0" max="257" min="24" style="2" width="9.14"/>
  </cols>
  <sheetData>
    <row r="1" customFormat="false" ht="12" hidden="false" customHeight="true" outlineLevel="0" collapsed="false">
      <c r="A1" s="1" t="s">
        <v>0</v>
      </c>
      <c r="F1" s="2" t="s">
        <v>1</v>
      </c>
      <c r="I1" s="2" t="s">
        <v>2</v>
      </c>
      <c r="J1" s="3" t="n">
        <f aca="true">NOW()</f>
        <v>45926.9288975595</v>
      </c>
    </row>
    <row r="2" customFormat="false" ht="12" hidden="false" customHeight="true" outlineLevel="0" collapsed="false">
      <c r="A2" s="1" t="s">
        <v>3</v>
      </c>
      <c r="I2" s="4" t="s">
        <v>35</v>
      </c>
    </row>
    <row r="3" customFormat="false" ht="12" hidden="false" customHeight="true" outlineLevel="0" collapsed="false">
      <c r="A3" s="1" t="s">
        <v>5</v>
      </c>
    </row>
    <row r="4" customFormat="false" ht="12" hidden="false" customHeight="true" outlineLevel="0" collapsed="false"/>
    <row r="5" customFormat="false" ht="12" hidden="false" customHeight="true" outlineLevel="0" collapsed="false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6</v>
      </c>
      <c r="O5" s="5" t="s">
        <v>7</v>
      </c>
      <c r="P5" s="5" t="s">
        <v>8</v>
      </c>
      <c r="Q5" s="5" t="s">
        <v>9</v>
      </c>
      <c r="R5" s="5" t="s">
        <v>10</v>
      </c>
      <c r="S5" s="5" t="s">
        <v>11</v>
      </c>
      <c r="T5" s="5" t="s">
        <v>12</v>
      </c>
      <c r="U5" s="5" t="s">
        <v>13</v>
      </c>
      <c r="V5" s="5" t="s">
        <v>14</v>
      </c>
      <c r="W5" s="6" t="s">
        <v>18</v>
      </c>
    </row>
    <row r="6" customFormat="false" ht="12" hidden="false" customHeight="true" outlineLevel="0" collapsed="false">
      <c r="B6" s="5" t="n">
        <v>2000</v>
      </c>
      <c r="C6" s="5" t="n">
        <v>2000</v>
      </c>
      <c r="D6" s="5" t="n">
        <v>2000</v>
      </c>
      <c r="E6" s="5" t="n">
        <v>2000</v>
      </c>
      <c r="F6" s="5" t="n">
        <v>2000</v>
      </c>
      <c r="G6" s="5" t="n">
        <v>2000</v>
      </c>
      <c r="H6" s="5" t="n">
        <v>2000</v>
      </c>
      <c r="I6" s="5" t="n">
        <v>2000</v>
      </c>
      <c r="J6" s="5" t="n">
        <v>2000</v>
      </c>
      <c r="K6" s="5" t="n">
        <v>2001</v>
      </c>
      <c r="L6" s="5" t="n">
        <v>2001</v>
      </c>
      <c r="M6" s="5" t="n">
        <v>2001</v>
      </c>
      <c r="N6" s="5" t="n">
        <v>2001</v>
      </c>
      <c r="O6" s="5" t="n">
        <v>2001</v>
      </c>
      <c r="P6" s="5" t="n">
        <v>2001</v>
      </c>
      <c r="Q6" s="5" t="n">
        <v>2001</v>
      </c>
      <c r="R6" s="5" t="n">
        <v>2001</v>
      </c>
      <c r="S6" s="5" t="n">
        <v>2001</v>
      </c>
      <c r="T6" s="5" t="n">
        <v>2001</v>
      </c>
      <c r="U6" s="5" t="n">
        <v>2001</v>
      </c>
      <c r="V6" s="5" t="n">
        <v>2001</v>
      </c>
      <c r="W6" s="6" t="s">
        <v>19</v>
      </c>
    </row>
    <row r="7" customFormat="false" ht="12" hidden="false" customHeight="tru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12" hidden="false" customHeight="true" outlineLevel="0" collapsed="false">
      <c r="A8" s="8" t="s">
        <v>20</v>
      </c>
      <c r="B8" s="9" t="n">
        <v>259837653</v>
      </c>
      <c r="C8" s="9" t="n">
        <v>233128019</v>
      </c>
      <c r="D8" s="9" t="n">
        <v>212598681</v>
      </c>
      <c r="E8" s="9" t="n">
        <v>217531439</v>
      </c>
      <c r="F8" s="9" t="n">
        <v>224610474</v>
      </c>
      <c r="G8" s="9" t="n">
        <v>233074589</v>
      </c>
      <c r="H8" s="9" t="n">
        <v>264953601</v>
      </c>
      <c r="I8" s="9" t="n">
        <v>313359285</v>
      </c>
      <c r="J8" s="9" t="n">
        <v>372209697</v>
      </c>
      <c r="K8" s="9" t="n">
        <v>301077970</v>
      </c>
      <c r="L8" s="9" t="n">
        <v>311599155</v>
      </c>
      <c r="M8" s="9" t="n">
        <v>309650897</v>
      </c>
      <c r="N8" s="9" t="n">
        <f aca="false">97887777+139191081</f>
        <v>237078858</v>
      </c>
      <c r="O8" s="9" t="n">
        <f aca="false">92157544+124284973</f>
        <v>216442517</v>
      </c>
      <c r="P8" s="9" t="n">
        <f aca="false">93848102+118865202</f>
        <v>212713304</v>
      </c>
      <c r="Q8" s="9" t="n">
        <f aca="false">103227400+138344707</f>
        <v>241572107</v>
      </c>
      <c r="R8" s="9" t="n">
        <f aca="false">103206147+131144289</f>
        <v>234350436</v>
      </c>
      <c r="S8" s="9" t="n">
        <f aca="false">98788913+127534070</f>
        <v>226322983</v>
      </c>
      <c r="T8" s="9" t="n">
        <f aca="false">109813680+177525952</f>
        <v>287339632</v>
      </c>
      <c r="U8" s="9" t="n">
        <f aca="false">106741721+164340922</f>
        <v>271082643</v>
      </c>
      <c r="V8" s="9" t="n">
        <f aca="false">124172161+185116905</f>
        <v>309289066</v>
      </c>
      <c r="W8" s="18" t="n">
        <f aca="false">SUM(K8:V8)</f>
        <v>3158519568</v>
      </c>
    </row>
    <row r="9" customFormat="false" ht="12" hidden="false" customHeight="true" outlineLevel="0" collapsed="false">
      <c r="A9" s="8" t="s">
        <v>21</v>
      </c>
      <c r="B9" s="9" t="n">
        <v>257321963</v>
      </c>
      <c r="C9" s="9" t="n">
        <v>231522390</v>
      </c>
      <c r="D9" s="9" t="n">
        <v>210583422</v>
      </c>
      <c r="E9" s="9" t="n">
        <v>215852270</v>
      </c>
      <c r="F9" s="9" t="n">
        <v>222571433</v>
      </c>
      <c r="G9" s="9" t="n">
        <v>231304863</v>
      </c>
      <c r="H9" s="9" t="n">
        <v>263053407</v>
      </c>
      <c r="I9" s="9" t="n">
        <v>311106093</v>
      </c>
      <c r="J9" s="9" t="n">
        <v>369297433</v>
      </c>
      <c r="K9" s="9" t="n">
        <v>298863441</v>
      </c>
      <c r="L9" s="9" t="n">
        <v>309684869</v>
      </c>
      <c r="M9" s="9" t="n">
        <v>307112445</v>
      </c>
      <c r="N9" s="9" t="n">
        <f aca="false">97821818+139191081</f>
        <v>237012899</v>
      </c>
      <c r="O9" s="9" t="n">
        <f aca="false">91900590+124284973</f>
        <v>216185563</v>
      </c>
      <c r="P9" s="9" t="n">
        <f aca="false">93450786+118865202</f>
        <v>212315988</v>
      </c>
      <c r="Q9" s="9" t="n">
        <f aca="false">102449558+138344707</f>
        <v>240794265</v>
      </c>
      <c r="R9" s="9" t="n">
        <f aca="false">102672492+131144289</f>
        <v>233816781</v>
      </c>
      <c r="S9" s="9" t="n">
        <f aca="false">98389327+127534070</f>
        <v>225923397</v>
      </c>
      <c r="T9" s="9" t="n">
        <f aca="false">109050271+177525952</f>
        <v>286576223</v>
      </c>
      <c r="U9" s="9" t="n">
        <f aca="false">106229270+164340922</f>
        <v>270570192</v>
      </c>
      <c r="V9" s="9" t="n">
        <f aca="false">123278953+185116905</f>
        <v>308395858</v>
      </c>
      <c r="W9" s="18" t="n">
        <f aca="false">SUM(K9:V9)</f>
        <v>3147251921</v>
      </c>
    </row>
    <row r="10" customFormat="false" ht="12" hidden="false" customHeight="true" outlineLevel="0" collapsed="false">
      <c r="A10" s="8" t="s">
        <v>22</v>
      </c>
      <c r="B10" s="2" t="n">
        <f aca="false">+B9+B19+B20+B21</f>
        <v>259659022</v>
      </c>
      <c r="C10" s="2" t="n">
        <f aca="false">+C9+C19+C20+C21</f>
        <v>233093426</v>
      </c>
      <c r="D10" s="2" t="n">
        <f aca="false">+D9+D19+D20+D21</f>
        <v>212357055</v>
      </c>
      <c r="E10" s="2" t="n">
        <f aca="false">+E9+E19+E20+E21</f>
        <v>217854514</v>
      </c>
      <c r="F10" s="2" t="n">
        <f aca="false">+F9+F19+F20+F21</f>
        <v>224034715</v>
      </c>
      <c r="G10" s="2" t="n">
        <f aca="false">+G9+G19+G20+G21</f>
        <v>233271710</v>
      </c>
      <c r="H10" s="2" t="n">
        <f aca="false">+H9+H19+H20+H21</f>
        <v>265008528</v>
      </c>
      <c r="I10" s="2" t="n">
        <f aca="false">+I9+I19+I20+I21</f>
        <v>313410778</v>
      </c>
      <c r="J10" s="2" t="n">
        <f aca="false">+J9+J19+J20+J21</f>
        <v>371776705</v>
      </c>
      <c r="K10" s="2" t="n">
        <f aca="false">+K9+K19+K20+K21</f>
        <v>300800124</v>
      </c>
      <c r="L10" s="2" t="n">
        <f aca="false">+L9+L19+L20+L21</f>
        <v>311592168</v>
      </c>
      <c r="M10" s="2" t="n">
        <f aca="false">+M9+M19+M20+M21</f>
        <v>309276630</v>
      </c>
      <c r="N10" s="2" t="n">
        <f aca="false">+N9+N19+N20+N21</f>
        <v>237012899</v>
      </c>
      <c r="O10" s="2" t="n">
        <f aca="false">+O9+O19+O20+O21</f>
        <v>216185563</v>
      </c>
      <c r="P10" s="2" t="n">
        <f aca="false">+P9+P19+P20+P21</f>
        <v>212315988</v>
      </c>
      <c r="Q10" s="2" t="n">
        <f aca="false">+Q9+Q19+Q20+Q21</f>
        <v>240794265</v>
      </c>
      <c r="R10" s="2" t="n">
        <f aca="false">+R9+R19+R20+R21</f>
        <v>233816781</v>
      </c>
      <c r="S10" s="2" t="n">
        <f aca="false">+S9+S19+S20+S21</f>
        <v>225923397</v>
      </c>
      <c r="T10" s="2" t="n">
        <f aca="false">+T9+T19+T20+T21</f>
        <v>286576223</v>
      </c>
      <c r="U10" s="2" t="n">
        <f aca="false">+U9+U19+U20+U21</f>
        <v>270570192</v>
      </c>
      <c r="V10" s="2" t="n">
        <f aca="false">+V9+V19+V20+V21</f>
        <v>308395858</v>
      </c>
      <c r="W10" s="18" t="n">
        <f aca="false">SUM(K10:V10)</f>
        <v>3153260088</v>
      </c>
    </row>
    <row r="11" customFormat="false" ht="12" hidden="false" customHeight="true" outlineLevel="0" collapsed="false">
      <c r="A11" s="8" t="s">
        <v>23</v>
      </c>
      <c r="B11" s="2" t="n">
        <f aca="false">-B8+B10</f>
        <v>-178631</v>
      </c>
      <c r="C11" s="2" t="n">
        <f aca="false">-C8+C10</f>
        <v>-34593</v>
      </c>
      <c r="D11" s="2" t="n">
        <f aca="false">-D8+D10</f>
        <v>-241626</v>
      </c>
      <c r="E11" s="2" t="n">
        <f aca="false">-E8+E10</f>
        <v>323075</v>
      </c>
      <c r="F11" s="2" t="n">
        <f aca="false">-F8+F10</f>
        <v>-575759</v>
      </c>
      <c r="G11" s="2" t="n">
        <f aca="false">-G8+G10</f>
        <v>197121</v>
      </c>
      <c r="H11" s="2" t="n">
        <f aca="false">-H8+H10</f>
        <v>54927</v>
      </c>
      <c r="I11" s="2" t="n">
        <f aca="false">-I8+I10</f>
        <v>51493</v>
      </c>
      <c r="J11" s="2" t="n">
        <f aca="false">-J8+J10</f>
        <v>-432992</v>
      </c>
      <c r="K11" s="2" t="n">
        <f aca="false">-K8+K10</f>
        <v>-277846</v>
      </c>
      <c r="L11" s="2" t="n">
        <f aca="false">-L8+L10</f>
        <v>-6987</v>
      </c>
      <c r="M11" s="2" t="n">
        <f aca="false">-M8+M10</f>
        <v>-374267</v>
      </c>
      <c r="N11" s="2" t="n">
        <f aca="false">-N8+N10</f>
        <v>-65959</v>
      </c>
      <c r="O11" s="2" t="n">
        <f aca="false">-O8+O10</f>
        <v>-256954</v>
      </c>
      <c r="P11" s="2" t="n">
        <f aca="false">-P8+P10</f>
        <v>-397316</v>
      </c>
      <c r="Q11" s="2" t="n">
        <f aca="false">-Q8+Q10</f>
        <v>-777842</v>
      </c>
      <c r="R11" s="2" t="n">
        <f aca="false">-R8+R10</f>
        <v>-533655</v>
      </c>
      <c r="S11" s="2" t="n">
        <f aca="false">-S8+S10</f>
        <v>-399586</v>
      </c>
      <c r="T11" s="2" t="n">
        <f aca="false">-T8+T10</f>
        <v>-763409</v>
      </c>
      <c r="U11" s="2" t="n">
        <f aca="false">-U8+U10</f>
        <v>-512451</v>
      </c>
      <c r="V11" s="2" t="n">
        <f aca="false">-V8+V10</f>
        <v>-893208</v>
      </c>
      <c r="W11" s="18" t="n">
        <f aca="false">SUM(K11:V11)</f>
        <v>-5259480</v>
      </c>
      <c r="X11" s="2" t="s">
        <v>1</v>
      </c>
    </row>
    <row r="12" customFormat="false" ht="12" hidden="false" customHeight="true" outlineLevel="0" collapsed="false">
      <c r="A12" s="10" t="s">
        <v>24</v>
      </c>
      <c r="B12" s="11" t="n">
        <f aca="false">2*B11/(B8+B10)</f>
        <v>-0.000687707962712177</v>
      </c>
      <c r="C12" s="11" t="n">
        <f aca="false">2*C11/(C8+C10)</f>
        <v>-0.00014839729219234</v>
      </c>
      <c r="D12" s="11" t="n">
        <f aca="false">2*D11/(D8+D10)</f>
        <v>-0.00113718196758262</v>
      </c>
      <c r="E12" s="11" t="n">
        <f aca="false">2*E11/(E8+E10)</f>
        <v>0.0014840855465082</v>
      </c>
      <c r="F12" s="11" t="n">
        <f aca="false">2*F11/(F8+F10)</f>
        <v>-0.00256665629819113</v>
      </c>
      <c r="G12" s="11" t="n">
        <f aca="false">G11/G8</f>
        <v>0.000845742132789946</v>
      </c>
      <c r="H12" s="11" t="n">
        <f aca="false">H11/H8</f>
        <v>0.000207307995787534</v>
      </c>
      <c r="I12" s="11" t="n">
        <f aca="false">I11/I8</f>
        <v>0.000164325751509166</v>
      </c>
      <c r="J12" s="11" t="n">
        <f aca="false">J11/J8</f>
        <v>-0.00116330123446515</v>
      </c>
      <c r="K12" s="11" t="n">
        <f aca="false">K11/K8</f>
        <v>-0.00092283736335807</v>
      </c>
      <c r="L12" s="11" t="n">
        <f aca="false">L11/L8</f>
        <v>-2.24230389841718E-005</v>
      </c>
      <c r="M12" s="11" t="n">
        <f aca="false">M11/M8</f>
        <v>-0.00120867403784721</v>
      </c>
      <c r="N12" s="11" t="n">
        <f aca="false">N11/N8</f>
        <v>-0.000278215445090426</v>
      </c>
      <c r="O12" s="11" t="n">
        <f aca="false">O11/O8</f>
        <v>-0.00118716970935983</v>
      </c>
      <c r="P12" s="11" t="n">
        <f aca="false">P11/P8</f>
        <v>-0.00186784743844701</v>
      </c>
      <c r="Q12" s="11" t="n">
        <f aca="false">Q11/Q8</f>
        <v>-0.00321991644507203</v>
      </c>
      <c r="R12" s="11" t="n">
        <f aca="false">R11/R8</f>
        <v>-0.00227716666164001</v>
      </c>
      <c r="S12" s="11" t="n">
        <f aca="false">S11/S8</f>
        <v>-0.00176555643931222</v>
      </c>
      <c r="T12" s="11" t="n">
        <f aca="false">T11/T8</f>
        <v>-0.00265681762966829</v>
      </c>
      <c r="U12" s="11" t="n">
        <f aca="false">U11/U8</f>
        <v>-0.00189038661542045</v>
      </c>
      <c r="V12" s="11" t="n">
        <f aca="false">V11/V8</f>
        <v>-0.00288793914234265</v>
      </c>
      <c r="W12" s="19" t="n">
        <f aca="false">W11/W8</f>
        <v>-0.00166517252363592</v>
      </c>
      <c r="X12" s="11" t="s">
        <v>1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" hidden="false" customHeight="true" outlineLevel="0" collapsed="false">
      <c r="A13" s="8" t="s">
        <v>25</v>
      </c>
      <c r="B13" s="2" t="n">
        <f aca="false">-B8+B10</f>
        <v>-178631</v>
      </c>
      <c r="C13" s="2" t="n">
        <f aca="false">-C8+C10</f>
        <v>-34593</v>
      </c>
      <c r="D13" s="2" t="n">
        <f aca="false">-D8+D10</f>
        <v>-241626</v>
      </c>
      <c r="E13" s="2" t="n">
        <f aca="false">-E8+E10</f>
        <v>323075</v>
      </c>
      <c r="F13" s="2" t="n">
        <f aca="false">-F8+F10</f>
        <v>-575759</v>
      </c>
      <c r="G13" s="2" t="n">
        <f aca="false">-G8+G10</f>
        <v>197121</v>
      </c>
      <c r="H13" s="2" t="n">
        <f aca="false">-H8+H10</f>
        <v>54927</v>
      </c>
      <c r="I13" s="2" t="n">
        <f aca="false">-I8+I10</f>
        <v>51493</v>
      </c>
      <c r="J13" s="2" t="n">
        <f aca="false">-J8+J10</f>
        <v>-432992</v>
      </c>
      <c r="K13" s="2" t="n">
        <f aca="false">-K8+K10</f>
        <v>-277846</v>
      </c>
      <c r="L13" s="2" t="n">
        <f aca="false">-L8+L10</f>
        <v>-6987</v>
      </c>
      <c r="M13" s="2" t="n">
        <f aca="false">-M8+M10</f>
        <v>-374267</v>
      </c>
      <c r="N13" s="2" t="n">
        <f aca="false">-N8+N10</f>
        <v>-65959</v>
      </c>
      <c r="O13" s="2" t="n">
        <f aca="false">-O8+O10</f>
        <v>-256954</v>
      </c>
      <c r="P13" s="2" t="n">
        <f aca="false">-P8+P10</f>
        <v>-397316</v>
      </c>
      <c r="Q13" s="2" t="n">
        <f aca="false">-Q8+Q10</f>
        <v>-777842</v>
      </c>
      <c r="R13" s="2" t="n">
        <f aca="false">-R8+R10</f>
        <v>-533655</v>
      </c>
      <c r="S13" s="2" t="n">
        <f aca="false">-S8+S10</f>
        <v>-399586</v>
      </c>
      <c r="T13" s="2" t="n">
        <f aca="false">-T8+T10</f>
        <v>-763409</v>
      </c>
      <c r="U13" s="2" t="n">
        <f aca="false">-U8+U10</f>
        <v>-512451</v>
      </c>
      <c r="V13" s="2" t="n">
        <f aca="false">-V8+V10</f>
        <v>-893208</v>
      </c>
      <c r="W13" s="18" t="n">
        <f aca="false">SUM(K13:V13)</f>
        <v>-5259480</v>
      </c>
    </row>
    <row r="14" customFormat="false" ht="12" hidden="false" customHeight="true" outlineLevel="0" collapsed="false">
      <c r="A14" s="10" t="s">
        <v>24</v>
      </c>
      <c r="B14" s="11" t="n">
        <f aca="false">2*B13/(B8+B10)</f>
        <v>-0.000687707962712177</v>
      </c>
      <c r="C14" s="11" t="n">
        <f aca="false">2*C13/(C8+C10)</f>
        <v>-0.00014839729219234</v>
      </c>
      <c r="D14" s="11" t="n">
        <f aca="false">2*D13/(D8+D10)</f>
        <v>-0.00113718196758262</v>
      </c>
      <c r="E14" s="11" t="n">
        <f aca="false">2*E13/(E8+E10)</f>
        <v>0.0014840855465082</v>
      </c>
      <c r="F14" s="11" t="n">
        <f aca="false">2*F13/(F8+F10)</f>
        <v>-0.00256665629819113</v>
      </c>
      <c r="G14" s="11" t="n">
        <f aca="false">G13/G8</f>
        <v>0.000845742132789946</v>
      </c>
      <c r="H14" s="11" t="n">
        <f aca="false">H13/H8</f>
        <v>0.000207307995787534</v>
      </c>
      <c r="I14" s="11" t="n">
        <f aca="false">I13/I8</f>
        <v>0.000164325751509166</v>
      </c>
      <c r="J14" s="11" t="n">
        <f aca="false">J13/J8</f>
        <v>-0.00116330123446515</v>
      </c>
      <c r="K14" s="11" t="n">
        <f aca="false">K13/K8</f>
        <v>-0.00092283736335807</v>
      </c>
      <c r="L14" s="11" t="n">
        <f aca="false">L13/L8</f>
        <v>-2.24230389841718E-005</v>
      </c>
      <c r="M14" s="11" t="n">
        <f aca="false">M13/M8</f>
        <v>-0.00120867403784721</v>
      </c>
      <c r="N14" s="11" t="n">
        <f aca="false">N13/N8</f>
        <v>-0.000278215445090426</v>
      </c>
      <c r="O14" s="11" t="n">
        <f aca="false">O13/O8</f>
        <v>-0.00118716970935983</v>
      </c>
      <c r="P14" s="11" t="n">
        <f aca="false">P13/P8</f>
        <v>-0.00186784743844701</v>
      </c>
      <c r="Q14" s="11" t="n">
        <f aca="false">Q13/Q8</f>
        <v>-0.00321991644507203</v>
      </c>
      <c r="R14" s="11" t="n">
        <f aca="false">R13/R8</f>
        <v>-0.00227716666164001</v>
      </c>
      <c r="S14" s="11" t="n">
        <f aca="false">S13/S8</f>
        <v>-0.00176555643931222</v>
      </c>
      <c r="T14" s="11" t="n">
        <f aca="false">T13/T8</f>
        <v>-0.00265681762966829</v>
      </c>
      <c r="U14" s="11" t="n">
        <f aca="false">U13/U8</f>
        <v>-0.00189038661542045</v>
      </c>
      <c r="V14" s="11" t="n">
        <f aca="false">V13/V8</f>
        <v>-0.00288793914234265</v>
      </c>
      <c r="W14" s="19" t="n">
        <f aca="false">W13/W8</f>
        <v>-0.00166517252363592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" hidden="false" customHeight="true" outlineLevel="0" collapsed="false">
      <c r="A15" s="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 t="s">
        <v>1</v>
      </c>
    </row>
    <row r="16" customFormat="false" ht="12" hidden="false" customHeight="true" outlineLevel="0" collapsed="false">
      <c r="A16" s="8" t="s">
        <v>26</v>
      </c>
      <c r="B16" s="2" t="n">
        <v>106825498</v>
      </c>
      <c r="C16" s="2" t="n">
        <v>102366920</v>
      </c>
      <c r="D16" s="2" t="n">
        <v>91567485</v>
      </c>
      <c r="E16" s="2" t="n">
        <v>98924687</v>
      </c>
      <c r="F16" s="2" t="n">
        <v>100482767</v>
      </c>
      <c r="G16" s="2" t="n">
        <v>104400357</v>
      </c>
      <c r="H16" s="2" t="n">
        <v>111613192</v>
      </c>
      <c r="I16" s="2" t="n">
        <v>128467892</v>
      </c>
      <c r="J16" s="2" t="n">
        <v>151266999</v>
      </c>
      <c r="K16" s="2" t="n">
        <v>130852732</v>
      </c>
      <c r="L16" s="2" t="n">
        <v>121693805</v>
      </c>
      <c r="M16" s="2" t="n">
        <v>123738465</v>
      </c>
      <c r="N16" s="2" t="n">
        <v>97887777</v>
      </c>
      <c r="O16" s="2" t="n">
        <v>92157544</v>
      </c>
      <c r="P16" s="2" t="n">
        <v>93848102</v>
      </c>
      <c r="Q16" s="2" t="n">
        <v>103227400</v>
      </c>
      <c r="R16" s="2" t="n">
        <v>103206147</v>
      </c>
      <c r="S16" s="2" t="n">
        <v>98788913</v>
      </c>
      <c r="T16" s="2" t="n">
        <v>109813680</v>
      </c>
      <c r="U16" s="2" t="n">
        <v>106741721</v>
      </c>
      <c r="V16" s="2" t="n">
        <v>124172161</v>
      </c>
      <c r="W16" s="18" t="n">
        <f aca="false">SUM(K16:V16)</f>
        <v>1306128447</v>
      </c>
    </row>
    <row r="17" customFormat="false" ht="12" hidden="false" customHeight="true" outlineLevel="0" collapsed="false">
      <c r="A17" s="8"/>
      <c r="W17" s="18" t="s">
        <v>1</v>
      </c>
    </row>
    <row r="18" customFormat="false" ht="12" hidden="false" customHeight="true" outlineLevel="0" collapsed="false">
      <c r="A18" s="8" t="s">
        <v>27</v>
      </c>
      <c r="B18" s="2" t="n">
        <v>104309808</v>
      </c>
      <c r="C18" s="2" t="n">
        <v>100761291</v>
      </c>
      <c r="D18" s="2" t="n">
        <v>89552226</v>
      </c>
      <c r="E18" s="2" t="n">
        <v>97245518</v>
      </c>
      <c r="F18" s="2" t="n">
        <v>98443726</v>
      </c>
      <c r="G18" s="2" t="n">
        <v>102630631</v>
      </c>
      <c r="H18" s="2" t="n">
        <v>109712998</v>
      </c>
      <c r="I18" s="2" t="n">
        <v>126214700</v>
      </c>
      <c r="J18" s="2" t="n">
        <v>148354735</v>
      </c>
      <c r="K18" s="2" t="n">
        <v>128638203</v>
      </c>
      <c r="L18" s="2" t="n">
        <v>119779519</v>
      </c>
      <c r="M18" s="2" t="n">
        <v>121200013</v>
      </c>
      <c r="N18" s="2" t="n">
        <v>97821818</v>
      </c>
      <c r="O18" s="2" t="n">
        <v>91900590</v>
      </c>
      <c r="P18" s="2" t="n">
        <v>93450786</v>
      </c>
      <c r="Q18" s="2" t="n">
        <v>102449558</v>
      </c>
      <c r="R18" s="2" t="n">
        <v>102672492</v>
      </c>
      <c r="S18" s="2" t="n">
        <v>98389327</v>
      </c>
      <c r="T18" s="2" t="n">
        <v>109050271</v>
      </c>
      <c r="U18" s="2" t="n">
        <v>106229270</v>
      </c>
      <c r="V18" s="2" t="n">
        <v>123278953</v>
      </c>
      <c r="W18" s="18" t="n">
        <f aca="false">SUM(K18:V18)</f>
        <v>1294860800</v>
      </c>
    </row>
    <row r="19" customFormat="false" ht="12" hidden="false" customHeight="true" outlineLevel="0" collapsed="false">
      <c r="A19" s="8" t="s">
        <v>28</v>
      </c>
      <c r="B19" s="2" t="n">
        <v>1963902</v>
      </c>
      <c r="C19" s="2" t="n">
        <v>1713206</v>
      </c>
      <c r="D19" s="2" t="n">
        <v>1543042</v>
      </c>
      <c r="E19" s="2" t="n">
        <v>1534964</v>
      </c>
      <c r="F19" s="2" t="n">
        <v>1589917</v>
      </c>
      <c r="G19" s="2" t="n">
        <v>1762126</v>
      </c>
      <c r="H19" s="2" t="n">
        <v>1864924</v>
      </c>
      <c r="I19" s="2" t="n">
        <v>2217394</v>
      </c>
      <c r="J19" s="2" t="n">
        <v>2520014</v>
      </c>
      <c r="K19" s="2" t="n">
        <v>1962158</v>
      </c>
      <c r="L19" s="2" t="n">
        <v>2044208</v>
      </c>
      <c r="M19" s="2" t="n">
        <v>2058977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0</v>
      </c>
      <c r="S19" s="2" t="n">
        <v>0</v>
      </c>
      <c r="T19" s="2" t="n">
        <v>0</v>
      </c>
      <c r="U19" s="2" t="n">
        <v>0</v>
      </c>
      <c r="V19" s="2" t="n">
        <v>0</v>
      </c>
      <c r="W19" s="18" t="n">
        <f aca="false">SUM(K19:V19)</f>
        <v>6065343</v>
      </c>
    </row>
    <row r="20" customFormat="false" ht="12" hidden="false" customHeight="true" outlineLevel="0" collapsed="false">
      <c r="A20" s="8" t="s">
        <v>29</v>
      </c>
      <c r="B20" s="2" t="n">
        <v>329178</v>
      </c>
      <c r="C20" s="2" t="n">
        <v>-182730</v>
      </c>
      <c r="D20" s="2" t="n">
        <v>198720</v>
      </c>
      <c r="E20" s="2" t="n">
        <v>446385</v>
      </c>
      <c r="F20" s="2" t="n">
        <v>-144738</v>
      </c>
      <c r="G20" s="2" t="n">
        <v>176208</v>
      </c>
      <c r="H20" s="2" t="n">
        <v>73204</v>
      </c>
      <c r="I20" s="2" t="n">
        <v>62360</v>
      </c>
      <c r="J20" s="2" t="n">
        <v>-71705</v>
      </c>
      <c r="K20" s="2" t="n">
        <v>-55736</v>
      </c>
      <c r="L20" s="2" t="n">
        <v>-161574</v>
      </c>
      <c r="M20" s="2" t="n">
        <v>82322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0</v>
      </c>
      <c r="S20" s="2" t="n">
        <v>0</v>
      </c>
      <c r="T20" s="2" t="n">
        <v>0</v>
      </c>
      <c r="U20" s="2" t="n">
        <v>0</v>
      </c>
      <c r="V20" s="2" t="n">
        <v>0</v>
      </c>
      <c r="W20" s="18" t="n">
        <f aca="false">SUM(K20:V20)</f>
        <v>-134988</v>
      </c>
    </row>
    <row r="21" customFormat="false" ht="12" hidden="false" customHeight="true" outlineLevel="0" collapsed="false">
      <c r="A21" s="8" t="s">
        <v>30</v>
      </c>
      <c r="B21" s="2" t="n">
        <v>43979</v>
      </c>
      <c r="C21" s="2" t="n">
        <v>40560</v>
      </c>
      <c r="D21" s="2" t="n">
        <v>31871</v>
      </c>
      <c r="E21" s="2" t="n">
        <v>20895</v>
      </c>
      <c r="F21" s="2" t="n">
        <v>18103</v>
      </c>
      <c r="G21" s="2" t="n">
        <v>28513</v>
      </c>
      <c r="H21" s="2" t="n">
        <v>16993</v>
      </c>
      <c r="I21" s="2" t="n">
        <v>24931</v>
      </c>
      <c r="J21" s="2" t="n">
        <v>30963</v>
      </c>
      <c r="K21" s="2" t="n">
        <v>30261</v>
      </c>
      <c r="L21" s="2" t="n">
        <v>24665</v>
      </c>
      <c r="M21" s="2" t="n">
        <v>22886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18" t="n">
        <f aca="false">SUM(K21:V21)</f>
        <v>77812</v>
      </c>
    </row>
    <row r="22" customFormat="false" ht="12" hidden="false" customHeight="true" outlineLevel="0" collapsed="false">
      <c r="A22" s="8" t="s">
        <v>22</v>
      </c>
      <c r="B22" s="2" t="n">
        <f aca="false">SUM(B18:B21)</f>
        <v>106646867</v>
      </c>
      <c r="C22" s="2" t="n">
        <f aca="false">SUM(C18:C21)</f>
        <v>102332327</v>
      </c>
      <c r="D22" s="2" t="n">
        <f aca="false">SUM(D18:D21)</f>
        <v>91325859</v>
      </c>
      <c r="E22" s="2" t="n">
        <f aca="false">SUM(E18:E21)</f>
        <v>99247762</v>
      </c>
      <c r="F22" s="2" t="n">
        <f aca="false">SUM(F18:F21)</f>
        <v>99907008</v>
      </c>
      <c r="G22" s="2" t="n">
        <f aca="false">SUM(G18:G21)</f>
        <v>104597478</v>
      </c>
      <c r="H22" s="2" t="n">
        <f aca="false">SUM(H18:H21)</f>
        <v>111668119</v>
      </c>
      <c r="I22" s="2" t="n">
        <f aca="false">SUM(I18:I21)</f>
        <v>128519385</v>
      </c>
      <c r="J22" s="2" t="n">
        <f aca="false">SUM(J18:J21)</f>
        <v>150834007</v>
      </c>
      <c r="K22" s="2" t="n">
        <f aca="false">SUM(K18:K21)</f>
        <v>130574886</v>
      </c>
      <c r="L22" s="2" t="n">
        <f aca="false">SUM(L18:L21)</f>
        <v>121686818</v>
      </c>
      <c r="M22" s="2" t="n">
        <f aca="false">SUM(M18:M21)</f>
        <v>123364198</v>
      </c>
      <c r="N22" s="2" t="n">
        <f aca="false">SUM(N18:N21)</f>
        <v>97821818</v>
      </c>
      <c r="O22" s="2" t="n">
        <f aca="false">SUM(O18:O21)</f>
        <v>91900590</v>
      </c>
      <c r="P22" s="2" t="n">
        <f aca="false">SUM(P18:P21)</f>
        <v>93450786</v>
      </c>
      <c r="Q22" s="2" t="n">
        <f aca="false">SUM(Q18:Q21)</f>
        <v>102449558</v>
      </c>
      <c r="R22" s="2" t="n">
        <f aca="false">SUM(R18:R21)</f>
        <v>102672492</v>
      </c>
      <c r="S22" s="2" t="n">
        <f aca="false">SUM(S18:S21)</f>
        <v>98389327</v>
      </c>
      <c r="T22" s="2" t="n">
        <f aca="false">SUM(T18:T21)</f>
        <v>109050271</v>
      </c>
      <c r="U22" s="2" t="n">
        <f aca="false">SUM(U18:U21)</f>
        <v>106229270</v>
      </c>
      <c r="V22" s="2" t="n">
        <f aca="false">SUM(V18:V21)</f>
        <v>123278953</v>
      </c>
      <c r="W22" s="18" t="n">
        <f aca="false">SUM(K22:V22)</f>
        <v>1300868967</v>
      </c>
    </row>
    <row r="23" customFormat="false" ht="12" hidden="false" customHeight="true" outlineLevel="0" collapsed="false">
      <c r="A23" s="8" t="s">
        <v>31</v>
      </c>
      <c r="B23" s="2" t="n">
        <f aca="false">-B16+B22</f>
        <v>-178631</v>
      </c>
      <c r="C23" s="2" t="n">
        <f aca="false">-C16+C22</f>
        <v>-34593</v>
      </c>
      <c r="D23" s="2" t="n">
        <f aca="false">-D16+D22</f>
        <v>-241626</v>
      </c>
      <c r="E23" s="2" t="n">
        <f aca="false">-E16+E22</f>
        <v>323075</v>
      </c>
      <c r="F23" s="2" t="n">
        <f aca="false">-F16+F22</f>
        <v>-575759</v>
      </c>
      <c r="G23" s="2" t="n">
        <f aca="false">-G16+G22</f>
        <v>197121</v>
      </c>
      <c r="H23" s="2" t="n">
        <f aca="false">-H16+H22</f>
        <v>54927</v>
      </c>
      <c r="I23" s="2" t="n">
        <f aca="false">-I16+I22</f>
        <v>51493</v>
      </c>
      <c r="J23" s="2" t="n">
        <f aca="false">-J16+J22</f>
        <v>-432992</v>
      </c>
      <c r="K23" s="2" t="n">
        <f aca="false">-K16+K22</f>
        <v>-277846</v>
      </c>
      <c r="L23" s="2" t="n">
        <f aca="false">-L16+L22</f>
        <v>-6987</v>
      </c>
      <c r="M23" s="2" t="n">
        <f aca="false">-M16+M22</f>
        <v>-374267</v>
      </c>
      <c r="N23" s="2" t="n">
        <f aca="false">-N16+N22</f>
        <v>-65959</v>
      </c>
      <c r="O23" s="2" t="n">
        <f aca="false">-O16+O22</f>
        <v>-256954</v>
      </c>
      <c r="P23" s="2" t="n">
        <f aca="false">-P16+P22</f>
        <v>-397316</v>
      </c>
      <c r="Q23" s="2" t="n">
        <f aca="false">-Q16+Q22</f>
        <v>-777842</v>
      </c>
      <c r="R23" s="2" t="n">
        <f aca="false">-R16+R22</f>
        <v>-533655</v>
      </c>
      <c r="S23" s="2" t="n">
        <f aca="false">-S16+S22</f>
        <v>-399586</v>
      </c>
      <c r="T23" s="2" t="n">
        <f aca="false">-T16+T22</f>
        <v>-763409</v>
      </c>
      <c r="U23" s="2" t="n">
        <f aca="false">-U16+U22</f>
        <v>-512451</v>
      </c>
      <c r="V23" s="2" t="n">
        <f aca="false">-V16+V22</f>
        <v>-893208</v>
      </c>
      <c r="W23" s="18" t="n">
        <f aca="false">SUM(K23:V23)</f>
        <v>-5259480</v>
      </c>
    </row>
    <row r="24" customFormat="false" ht="12" hidden="false" customHeight="true" outlineLevel="0" collapsed="false">
      <c r="A24" s="10" t="s">
        <v>24</v>
      </c>
      <c r="B24" s="11" t="n">
        <f aca="false">2*B23/(B16+B22)</f>
        <v>-0.00167357493790824</v>
      </c>
      <c r="C24" s="11" t="n">
        <f aca="false">2*C23/(C16+C22)</f>
        <v>-0.000337988541794685</v>
      </c>
      <c r="D24" s="11" t="n">
        <f aca="false">2*D23/(D16+D22)</f>
        <v>-0.00264226127332441</v>
      </c>
      <c r="E24" s="11" t="n">
        <f aca="false">2*E23/(E16+E22)</f>
        <v>0.00326054405272047</v>
      </c>
      <c r="F24" s="11" t="n">
        <f aca="false">2*F23/(F16+F22)</f>
        <v>-0.00574639100223552</v>
      </c>
      <c r="G24" s="11" t="n">
        <f aca="false">G23/G16</f>
        <v>0.00188812572738616</v>
      </c>
      <c r="H24" s="11" t="n">
        <f aca="false">H23/H16</f>
        <v>0.000492119246979336</v>
      </c>
      <c r="I24" s="11" t="n">
        <f aca="false">I23/I16</f>
        <v>0.000400823888353364</v>
      </c>
      <c r="J24" s="11" t="n">
        <f aca="false">J23/J16</f>
        <v>-0.00286243531545172</v>
      </c>
      <c r="K24" s="11" t="n">
        <f aca="false">K23/K16</f>
        <v>-0.00212334886519603</v>
      </c>
      <c r="L24" s="11" t="n">
        <f aca="false">L23/L16</f>
        <v>-5.74145906605517E-005</v>
      </c>
      <c r="M24" s="11" t="n">
        <f aca="false">M23/M16</f>
        <v>-0.00302466173311589</v>
      </c>
      <c r="N24" s="11" t="n">
        <f aca="false">N23/N16</f>
        <v>-0.000673822636711834</v>
      </c>
      <c r="O24" s="11" t="n">
        <f aca="false">O23/O16</f>
        <v>-0.00278820364396864</v>
      </c>
      <c r="P24" s="11" t="n">
        <f aca="false">P23/P16</f>
        <v>-0.00423360719644602</v>
      </c>
      <c r="Q24" s="11" t="n">
        <f aca="false">Q23/Q16</f>
        <v>-0.00753522804991698</v>
      </c>
      <c r="R24" s="11" t="n">
        <f aca="false">R23/R16</f>
        <v>-0.00517076759003512</v>
      </c>
      <c r="S24" s="11" t="n">
        <f aca="false">S23/S16</f>
        <v>-0.00404484661148159</v>
      </c>
      <c r="T24" s="11" t="n">
        <f aca="false">T23/T16</f>
        <v>-0.00695185699996576</v>
      </c>
      <c r="U24" s="11" t="n">
        <f aca="false">U23/U16</f>
        <v>-0.00480085008185319</v>
      </c>
      <c r="V24" s="11" t="n">
        <f aca="false">V23/V16</f>
        <v>-0.00719330317525842</v>
      </c>
      <c r="W24" s="19" t="n">
        <f aca="false">W23/W16</f>
        <v>-0.00402677088312433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" hidden="false" customHeight="true" outlineLevel="0" collapsed="false"/>
    <row r="26" customFormat="false" ht="12" hidden="false" customHeight="true" outlineLevel="0" collapsed="false"/>
    <row r="27" customFormat="false" ht="12" hidden="false" customHeight="true" outlineLevel="0" collapsed="false"/>
    <row r="32" customFormat="false" ht="12.7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customFormat="false" ht="12.75" hidden="false" customHeight="fals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customFormat="false" ht="12.75" hidden="false" customHeight="fals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customFormat="false" ht="12.75" hidden="false" customHeight="fals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customFormat="false" ht="12.75" hidden="false" customHeight="fals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customFormat="false" ht="12.75" hidden="false" customHeight="fals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customFormat="false" ht="12.7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customFormat="false" ht="12.7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customFormat="false" ht="12.75" hidden="false" customHeight="fals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2" t="s">
        <v>1</v>
      </c>
    </row>
    <row r="47" customFormat="false" ht="12.75" hidden="false" customHeight="fals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customFormat="false" ht="12.75" hidden="false" customHeight="fals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customFormat="false" ht="12.75" hidden="false" customHeight="fals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customFormat="false" ht="12.75" hidden="false" customHeight="fals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customFormat="false" ht="12.75" hidden="false" customHeight="fals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customFormat="false" ht="12.75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customFormat="false" ht="12.75" hidden="false" customHeight="fals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customFormat="false" ht="12.75" hidden="false" customHeight="fals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customFormat="false" ht="12.75" hidden="false" customHeight="fals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customFormat="false" ht="12.75" hidden="false" customHeight="fals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customFormat="false" ht="12.75" hidden="false" customHeight="fals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customFormat="false" ht="12.75" hidden="false" customHeight="fals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customFormat="false" ht="12.75" hidden="false" customHeight="fals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customFormat="false" ht="12.75" hidden="false" customHeight="fals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customFormat="false" ht="12.75" hidden="false" customHeight="fals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customFormat="false" ht="12.75" hidden="false" customHeight="fals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</sheetData>
  <printOptions headings="false" gridLines="true" gridLinesSet="true" horizontalCentered="true" verticalCentered="fals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Italic"&amp;12NNG MCF PRA (00)12 Month Historical</oddHeader>
    <oddFooter>&amp;L&amp;F&amp;CPage &amp;P&amp;R&amp;D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18.41"/>
    <col collapsed="false" customWidth="true" hidden="true" outlineLevel="0" max="2" min="2" style="7" width="11.85"/>
    <col collapsed="false" customWidth="true" hidden="true" outlineLevel="0" max="3" min="3" style="7" width="11.42"/>
    <col collapsed="false" customWidth="true" hidden="true" outlineLevel="0" max="4" min="4" style="7" width="11.13"/>
    <col collapsed="false" customWidth="true" hidden="true" outlineLevel="0" max="5" min="5" style="7" width="12.14"/>
    <col collapsed="false" customWidth="true" hidden="true" outlineLevel="0" max="6" min="6" style="7" width="11.42"/>
    <col collapsed="false" customWidth="true" hidden="true" outlineLevel="0" max="7" min="7" style="7" width="11.85"/>
    <col collapsed="false" customWidth="true" hidden="true" outlineLevel="0" max="8" min="8" style="7" width="11.42"/>
    <col collapsed="false" customWidth="true" hidden="true" outlineLevel="0" max="9" min="9" style="7" width="10.99"/>
    <col collapsed="false" customWidth="true" hidden="true" outlineLevel="0" max="10" min="10" style="7" width="12.56"/>
    <col collapsed="false" customWidth="true" hidden="false" outlineLevel="0" max="11" min="11" style="7" width="11.7"/>
    <col collapsed="false" customWidth="true" hidden="false" outlineLevel="0" max="12" min="12" style="7" width="11.99"/>
    <col collapsed="false" customWidth="true" hidden="false" outlineLevel="0" max="22" min="13" style="7" width="12.42"/>
    <col collapsed="false" customWidth="true" hidden="false" outlineLevel="0" max="23" min="23" style="7" width="13.28"/>
    <col collapsed="false" customWidth="false" hidden="false" outlineLevel="0" max="257" min="24" style="7" width="9.14"/>
  </cols>
  <sheetData>
    <row r="1" customFormat="false" ht="12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12" t="s">
        <v>2</v>
      </c>
      <c r="I1" s="3" t="n">
        <f aca="true">NOW()</f>
        <v>45926.9288975861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2" hidden="false" customHeight="true" outlineLevel="0" collapsed="false">
      <c r="A2" s="1" t="s">
        <v>32</v>
      </c>
      <c r="B2" s="2"/>
      <c r="C2" s="2"/>
      <c r="D2" s="2"/>
      <c r="E2" s="2"/>
      <c r="F2" s="2"/>
      <c r="G2" s="2"/>
      <c r="H2" s="2" t="s">
        <v>36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false" ht="12" hidden="false" customHeight="true" outlineLevel="0" collapsed="false">
      <c r="A3" s="1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customFormat="false" ht="12" hidden="false" customHeight="true" outlineLevel="0" collapsed="false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customFormat="false" ht="12" hidden="false" customHeight="true" outlineLevel="0" collapsed="false">
      <c r="A5" s="1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6</v>
      </c>
      <c r="O5" s="5" t="s">
        <v>7</v>
      </c>
      <c r="P5" s="5" t="s">
        <v>8</v>
      </c>
      <c r="Q5" s="5" t="s">
        <v>9</v>
      </c>
      <c r="R5" s="5" t="s">
        <v>10</v>
      </c>
      <c r="S5" s="5" t="s">
        <v>11</v>
      </c>
      <c r="T5" s="5" t="s">
        <v>12</v>
      </c>
      <c r="U5" s="5" t="s">
        <v>13</v>
      </c>
      <c r="V5" s="5" t="s">
        <v>14</v>
      </c>
      <c r="W5" s="6" t="s">
        <v>18</v>
      </c>
    </row>
    <row r="6" customFormat="false" ht="12" hidden="false" customHeight="true" outlineLevel="0" collapsed="false">
      <c r="A6" s="1"/>
      <c r="B6" s="5" t="n">
        <v>2000</v>
      </c>
      <c r="C6" s="5" t="n">
        <v>2000</v>
      </c>
      <c r="D6" s="5" t="n">
        <v>2000</v>
      </c>
      <c r="E6" s="5" t="n">
        <v>2000</v>
      </c>
      <c r="F6" s="5" t="n">
        <v>2000</v>
      </c>
      <c r="G6" s="5" t="n">
        <v>2000</v>
      </c>
      <c r="H6" s="5" t="n">
        <v>2000</v>
      </c>
      <c r="I6" s="5" t="n">
        <v>2000</v>
      </c>
      <c r="J6" s="5" t="n">
        <v>2000</v>
      </c>
      <c r="K6" s="5" t="n">
        <v>2001</v>
      </c>
      <c r="L6" s="5" t="n">
        <v>2001</v>
      </c>
      <c r="M6" s="5" t="n">
        <v>2001</v>
      </c>
      <c r="N6" s="5" t="n">
        <v>2001</v>
      </c>
      <c r="O6" s="5" t="n">
        <v>2001</v>
      </c>
      <c r="P6" s="5" t="n">
        <v>2001</v>
      </c>
      <c r="Q6" s="5" t="n">
        <v>2001</v>
      </c>
      <c r="R6" s="5" t="n">
        <v>2001</v>
      </c>
      <c r="S6" s="5" t="n">
        <v>2001</v>
      </c>
      <c r="T6" s="5" t="n">
        <v>2001</v>
      </c>
      <c r="U6" s="5" t="n">
        <v>2001</v>
      </c>
      <c r="V6" s="5" t="n">
        <v>2001</v>
      </c>
      <c r="W6" s="6" t="s">
        <v>19</v>
      </c>
    </row>
    <row r="7" customFormat="false" ht="12" hidden="false" customHeight="true" outlineLevel="0" collapsed="false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customFormat="false" ht="12" hidden="false" customHeight="true" outlineLevel="0" collapsed="false">
      <c r="A8" s="8" t="s">
        <v>20</v>
      </c>
      <c r="B8" s="2" t="n">
        <v>264736025</v>
      </c>
      <c r="C8" s="2" t="n">
        <v>238071405</v>
      </c>
      <c r="D8" s="2" t="n">
        <v>218658444</v>
      </c>
      <c r="E8" s="2" t="n">
        <v>223482056</v>
      </c>
      <c r="F8" s="2" t="n">
        <v>230223503</v>
      </c>
      <c r="G8" s="2" t="n">
        <v>238858380</v>
      </c>
      <c r="H8" s="2" t="n">
        <v>269939084</v>
      </c>
      <c r="I8" s="2" t="n">
        <v>317732541</v>
      </c>
      <c r="J8" s="2" t="n">
        <v>378284649</v>
      </c>
      <c r="K8" s="2" t="n">
        <v>309193408</v>
      </c>
      <c r="L8" s="2" t="n">
        <v>317537668</v>
      </c>
      <c r="M8" s="2" t="n">
        <v>315178975</v>
      </c>
      <c r="N8" s="2" t="n">
        <f aca="false">99717974+142409684</f>
        <v>242127658</v>
      </c>
      <c r="O8" s="2" t="n">
        <f aca="false">94010445+127465912</f>
        <v>221476357</v>
      </c>
      <c r="P8" s="2" t="n">
        <f aca="false">95714869+121832472</f>
        <v>217547341</v>
      </c>
      <c r="Q8" s="2" t="n">
        <f aca="false">105210566+141925661</f>
        <v>247136227</v>
      </c>
      <c r="R8" s="2" t="n">
        <f aca="false">105057188+133818236</f>
        <v>238875424</v>
      </c>
      <c r="S8" s="2" t="n">
        <f aca="false">100624675+129935740</f>
        <v>230560415</v>
      </c>
      <c r="T8" s="2" t="n">
        <f aca="false">111774912+180360920</f>
        <v>292135832</v>
      </c>
      <c r="U8" s="2" t="n">
        <f aca="false">108387235+166754508</f>
        <v>275141743</v>
      </c>
      <c r="V8" s="2" t="n">
        <f aca="false">126175646+187281009</f>
        <v>313456655</v>
      </c>
      <c r="W8" s="18" t="n">
        <f aca="false">SUM(K8:V8)</f>
        <v>3220367703</v>
      </c>
    </row>
    <row r="9" customFormat="false" ht="12" hidden="false" customHeight="true" outlineLevel="0" collapsed="false">
      <c r="A9" s="8" t="s">
        <v>21</v>
      </c>
      <c r="B9" s="2" t="n">
        <v>261869280</v>
      </c>
      <c r="C9" s="2" t="n">
        <v>236208060</v>
      </c>
      <c r="D9" s="2" t="n">
        <v>216410637</v>
      </c>
      <c r="E9" s="2" t="n">
        <v>221725930</v>
      </c>
      <c r="F9" s="2" t="n">
        <v>228125235</v>
      </c>
      <c r="G9" s="2" t="n">
        <v>237123161</v>
      </c>
      <c r="H9" s="2" t="n">
        <v>268039685</v>
      </c>
      <c r="I9" s="2" t="n">
        <v>315403855</v>
      </c>
      <c r="J9" s="2" t="n">
        <v>375190523</v>
      </c>
      <c r="K9" s="2" t="n">
        <v>306688625</v>
      </c>
      <c r="L9" s="2" t="n">
        <v>315452446</v>
      </c>
      <c r="M9" s="2" t="n">
        <v>312469605</v>
      </c>
      <c r="N9" s="2" t="n">
        <f aca="false">99650536+142409684</f>
        <v>242060220</v>
      </c>
      <c r="O9" s="2" t="n">
        <f aca="false">93791278+127465912</f>
        <v>221257190</v>
      </c>
      <c r="P9" s="2" t="n">
        <f aca="false">95410648+121832472</f>
        <v>217243120</v>
      </c>
      <c r="Q9" s="2" t="n">
        <f aca="false">104579979+141925661</f>
        <v>246505640</v>
      </c>
      <c r="R9" s="2" t="n">
        <f aca="false">104641658+133818236</f>
        <v>238459894</v>
      </c>
      <c r="S9" s="2" t="n">
        <f aca="false">100214541+129935740</f>
        <v>230150281</v>
      </c>
      <c r="T9" s="2" t="n">
        <f aca="false">111019414+180360920</f>
        <v>291380334</v>
      </c>
      <c r="U9" s="2" t="n">
        <f aca="false">107970587+166754508</f>
        <v>274725095</v>
      </c>
      <c r="V9" s="2" t="n">
        <f aca="false">125152569+187281009</f>
        <v>312433578</v>
      </c>
      <c r="W9" s="18" t="n">
        <f aca="false">SUM(K9:V9)</f>
        <v>3208826028</v>
      </c>
    </row>
    <row r="10" customFormat="false" ht="12" hidden="false" customHeight="true" outlineLevel="0" collapsed="false">
      <c r="A10" s="8" t="s">
        <v>22</v>
      </c>
      <c r="B10" s="2" t="n">
        <f aca="false">+B9+B19+B20+B21</f>
        <v>264394918</v>
      </c>
      <c r="C10" s="2" t="n">
        <f aca="false">+C9+C19+C20+C21</f>
        <v>237976464</v>
      </c>
      <c r="D10" s="2" t="n">
        <f aca="false">+D9+D19+D20+D21</f>
        <v>218346083</v>
      </c>
      <c r="E10" s="2" t="n">
        <f aca="false">+E9+E19+E20+E21</f>
        <v>223859803</v>
      </c>
      <c r="F10" s="2" t="n">
        <f aca="false">+F9+F19+F20+F21</f>
        <v>229693649</v>
      </c>
      <c r="G10" s="2" t="n">
        <f aca="false">+G9+G19+G20+G21</f>
        <v>239236200</v>
      </c>
      <c r="H10" s="2" t="n">
        <f aca="false">+H9+H19+H20+H21</f>
        <v>270095595</v>
      </c>
      <c r="I10" s="2" t="n">
        <f aca="false">+I9+I19+I20+I21</f>
        <v>317836229</v>
      </c>
      <c r="J10" s="2" t="n">
        <f aca="false">+J9+J19+J20+J21</f>
        <v>377825541</v>
      </c>
      <c r="K10" s="2" t="n">
        <f aca="false">+K9+K19+K20+K21</f>
        <v>308780916</v>
      </c>
      <c r="L10" s="2" t="n">
        <f aca="false">+L9+L19+L20+L21</f>
        <v>317473086</v>
      </c>
      <c r="M10" s="2" t="n">
        <f aca="false">+M9+M19+M20+M21</f>
        <v>314742495</v>
      </c>
      <c r="N10" s="2" t="n">
        <f aca="false">+N9+N19+N20+N21</f>
        <v>242060220</v>
      </c>
      <c r="O10" s="2" t="n">
        <f aca="false">+O9+O19+O20+O21</f>
        <v>221257190</v>
      </c>
      <c r="P10" s="2" t="n">
        <f aca="false">+P9+P19+P20+P21</f>
        <v>217243120</v>
      </c>
      <c r="Q10" s="2" t="n">
        <f aca="false">+Q9+Q19+Q20+Q21</f>
        <v>246505640</v>
      </c>
      <c r="R10" s="2" t="n">
        <f aca="false">+R9+R19+R20+R21</f>
        <v>238459894</v>
      </c>
      <c r="S10" s="2" t="n">
        <f aca="false">+S9+S19+S20+S21</f>
        <v>230150281</v>
      </c>
      <c r="T10" s="2" t="n">
        <f aca="false">+T9+T19+T20+T21</f>
        <v>291380334</v>
      </c>
      <c r="U10" s="2" t="n">
        <f aca="false">+U9+U19+U20+U21</f>
        <v>274725095</v>
      </c>
      <c r="V10" s="2" t="n">
        <f aca="false">+V9+V19+V20+V21</f>
        <v>312433578</v>
      </c>
      <c r="W10" s="18" t="n">
        <f aca="false">SUM(K10:V10)</f>
        <v>3215211849</v>
      </c>
    </row>
    <row r="11" customFormat="false" ht="12" hidden="false" customHeight="true" outlineLevel="0" collapsed="false">
      <c r="A11" s="8" t="s">
        <v>23</v>
      </c>
      <c r="B11" s="2" t="n">
        <f aca="false">-B8+B10</f>
        <v>-341107</v>
      </c>
      <c r="C11" s="2" t="n">
        <f aca="false">-C8+C10</f>
        <v>-94941</v>
      </c>
      <c r="D11" s="2" t="n">
        <f aca="false">-D8+D10</f>
        <v>-312361</v>
      </c>
      <c r="E11" s="2" t="n">
        <f aca="false">-E8+E10</f>
        <v>377747</v>
      </c>
      <c r="F11" s="2" t="n">
        <f aca="false">-F8+F10</f>
        <v>-529854</v>
      </c>
      <c r="G11" s="2" t="n">
        <f aca="false">-G8+G10</f>
        <v>377820</v>
      </c>
      <c r="H11" s="2" t="n">
        <f aca="false">-H8+H10</f>
        <v>156511</v>
      </c>
      <c r="I11" s="2" t="n">
        <f aca="false">-I8+I10</f>
        <v>103688</v>
      </c>
      <c r="J11" s="2" t="n">
        <f aca="false">-J8+J10</f>
        <v>-459108</v>
      </c>
      <c r="K11" s="2" t="n">
        <f aca="false">-K8+K10</f>
        <v>-412492</v>
      </c>
      <c r="L11" s="2" t="n">
        <f aca="false">-L8+L10</f>
        <v>-64582</v>
      </c>
      <c r="M11" s="2" t="n">
        <f aca="false">-M8+M10</f>
        <v>-436480</v>
      </c>
      <c r="N11" s="2" t="n">
        <f aca="false">-N8+N10</f>
        <v>-67438</v>
      </c>
      <c r="O11" s="2" t="n">
        <f aca="false">-O8+O10</f>
        <v>-219167</v>
      </c>
      <c r="P11" s="2" t="n">
        <f aca="false">-P8+P10</f>
        <v>-304221</v>
      </c>
      <c r="Q11" s="2" t="n">
        <f aca="false">-Q8+Q10</f>
        <v>-630587</v>
      </c>
      <c r="R11" s="2" t="n">
        <f aca="false">-R8+R10</f>
        <v>-415530</v>
      </c>
      <c r="S11" s="2" t="n">
        <f aca="false">-S8+S10</f>
        <v>-410134</v>
      </c>
      <c r="T11" s="2" t="n">
        <f aca="false">-T8+T10</f>
        <v>-755498</v>
      </c>
      <c r="U11" s="2" t="n">
        <f aca="false">-U8+U10</f>
        <v>-416648</v>
      </c>
      <c r="V11" s="2" t="n">
        <f aca="false">-V8+V10</f>
        <v>-1023077</v>
      </c>
      <c r="W11" s="18" t="n">
        <f aca="false">SUM(K11:V11)</f>
        <v>-5155854</v>
      </c>
    </row>
    <row r="12" customFormat="false" ht="12" hidden="false" customHeight="true" outlineLevel="0" collapsed="false">
      <c r="A12" s="10" t="s">
        <v>24</v>
      </c>
      <c r="B12" s="11" t="n">
        <f aca="false">2*B11/(B8+B10)</f>
        <v>-0.00128931034751449</v>
      </c>
      <c r="C12" s="11" t="n">
        <f aca="false">2*C11/(C8+C10)</f>
        <v>-0.000398871652127908</v>
      </c>
      <c r="D12" s="11" t="n">
        <f aca="false">2*D11/(D8+D10)</f>
        <v>-0.00142955498490751</v>
      </c>
      <c r="E12" s="11" t="n">
        <f aca="false">2*E11/(E8+E10)</f>
        <v>0.00168885156799064</v>
      </c>
      <c r="F12" s="11" t="n">
        <f aca="false">2*F11/(F8+F10)</f>
        <v>-0.00230412802695386</v>
      </c>
      <c r="G12" s="11" t="n">
        <f aca="false">G11/G8</f>
        <v>0.00158177410396905</v>
      </c>
      <c r="H12" s="11" t="n">
        <f aca="false">H11/H8</f>
        <v>0.000579801182106701</v>
      </c>
      <c r="I12" s="11" t="n">
        <f aca="false">I11/I8</f>
        <v>0.000326337364355765</v>
      </c>
      <c r="J12" s="11" t="n">
        <f aca="false">J11/J8</f>
        <v>-0.00121365749631569</v>
      </c>
      <c r="K12" s="11" t="n">
        <f aca="false">K11/K8</f>
        <v>-0.00133409053791988</v>
      </c>
      <c r="L12" s="11" t="n">
        <f aca="false">L11/L8</f>
        <v>-0.000203383744696393</v>
      </c>
      <c r="M12" s="11" t="n">
        <f aca="false">M11/M8</f>
        <v>-0.00138486394912605</v>
      </c>
      <c r="N12" s="11" t="n">
        <f aca="false">N11/N8</f>
        <v>-0.000278522497417457</v>
      </c>
      <c r="O12" s="11" t="n">
        <f aca="false">O11/O8</f>
        <v>-0.000989572896036032</v>
      </c>
      <c r="P12" s="11" t="n">
        <f aca="false">P11/P8</f>
        <v>-0.00139841286315699</v>
      </c>
      <c r="Q12" s="11" t="n">
        <f aca="false">Q11/Q8</f>
        <v>-0.00255157654405722</v>
      </c>
      <c r="R12" s="11" t="n">
        <f aca="false">R11/R8</f>
        <v>-0.00173952595475037</v>
      </c>
      <c r="S12" s="11" t="n">
        <f aca="false">S11/S8</f>
        <v>-0.00177885696467019</v>
      </c>
      <c r="T12" s="11" t="n">
        <f aca="false">T11/T8</f>
        <v>-0.00258611891197243</v>
      </c>
      <c r="U12" s="11" t="n">
        <f aca="false">U11/U8</f>
        <v>-0.00151430312048289</v>
      </c>
      <c r="V12" s="11" t="n">
        <f aca="false">V11/V8</f>
        <v>-0.00326385477443444</v>
      </c>
      <c r="W12" s="19" t="n">
        <f aca="false">W11/W8</f>
        <v>-0.00160101406904465</v>
      </c>
    </row>
    <row r="13" customFormat="false" ht="12" hidden="false" customHeight="true" outlineLevel="0" collapsed="false">
      <c r="A13" s="8" t="s">
        <v>25</v>
      </c>
      <c r="B13" s="2" t="n">
        <f aca="false">-B8+B10</f>
        <v>-341107</v>
      </c>
      <c r="C13" s="2" t="n">
        <f aca="false">-C8+C10</f>
        <v>-94941</v>
      </c>
      <c r="D13" s="2" t="n">
        <f aca="false">-D8+D10</f>
        <v>-312361</v>
      </c>
      <c r="E13" s="2" t="n">
        <f aca="false">-E8+E10</f>
        <v>377747</v>
      </c>
      <c r="F13" s="2" t="n">
        <f aca="false">-F8+F10</f>
        <v>-529854</v>
      </c>
      <c r="G13" s="2" t="n">
        <f aca="false">-G8+G10</f>
        <v>377820</v>
      </c>
      <c r="H13" s="2" t="n">
        <f aca="false">-H8+H10</f>
        <v>156511</v>
      </c>
      <c r="I13" s="2" t="n">
        <f aca="false">-I8+I10</f>
        <v>103688</v>
      </c>
      <c r="J13" s="2" t="n">
        <f aca="false">-J8+J10</f>
        <v>-459108</v>
      </c>
      <c r="K13" s="2" t="n">
        <f aca="false">-K8+K10</f>
        <v>-412492</v>
      </c>
      <c r="L13" s="2" t="n">
        <f aca="false">-L8+L10</f>
        <v>-64582</v>
      </c>
      <c r="M13" s="2" t="n">
        <f aca="false">-M8+M10</f>
        <v>-436480</v>
      </c>
      <c r="N13" s="2" t="n">
        <f aca="false">-N8+N10</f>
        <v>-67438</v>
      </c>
      <c r="O13" s="2" t="n">
        <f aca="false">-O8+O10</f>
        <v>-219167</v>
      </c>
      <c r="P13" s="2" t="n">
        <f aca="false">-P8+P10</f>
        <v>-304221</v>
      </c>
      <c r="Q13" s="2" t="n">
        <f aca="false">-Q8+Q10</f>
        <v>-630587</v>
      </c>
      <c r="R13" s="2" t="n">
        <f aca="false">-R8+R10</f>
        <v>-415530</v>
      </c>
      <c r="S13" s="2" t="n">
        <f aca="false">-S8+S10</f>
        <v>-410134</v>
      </c>
      <c r="T13" s="2" t="n">
        <f aca="false">-T8+T10</f>
        <v>-755498</v>
      </c>
      <c r="U13" s="2" t="n">
        <f aca="false">-U8+U10</f>
        <v>-416648</v>
      </c>
      <c r="V13" s="2" t="n">
        <f aca="false">-V8+V10</f>
        <v>-1023077</v>
      </c>
      <c r="W13" s="18" t="n">
        <f aca="false">SUM(K13:V13)</f>
        <v>-5155854</v>
      </c>
    </row>
    <row r="14" customFormat="false" ht="12" hidden="false" customHeight="true" outlineLevel="0" collapsed="false">
      <c r="A14" s="10" t="s">
        <v>24</v>
      </c>
      <c r="B14" s="11" t="n">
        <f aca="false">2*B13/(B8+B10)</f>
        <v>-0.00128931034751449</v>
      </c>
      <c r="C14" s="11" t="n">
        <f aca="false">2*C13/(C8+C10)</f>
        <v>-0.000398871652127908</v>
      </c>
      <c r="D14" s="11" t="n">
        <f aca="false">2*D13/(D8+D10)</f>
        <v>-0.00142955498490751</v>
      </c>
      <c r="E14" s="11" t="n">
        <f aca="false">2*E13/(E8+E10)</f>
        <v>0.00168885156799064</v>
      </c>
      <c r="F14" s="11" t="n">
        <f aca="false">2*F13/(F8+F10)</f>
        <v>-0.00230412802695386</v>
      </c>
      <c r="G14" s="11" t="n">
        <f aca="false">G13/G10</f>
        <v>0.00157927604601645</v>
      </c>
      <c r="H14" s="11" t="n">
        <f aca="false">H13/H10</f>
        <v>0.000579465207494406</v>
      </c>
      <c r="I14" s="11" t="n">
        <f aca="false">I13/I10</f>
        <v>0.000326230903022701</v>
      </c>
      <c r="J14" s="11" t="n">
        <f aca="false">J13/J10</f>
        <v>-0.00121513225068074</v>
      </c>
      <c r="K14" s="11" t="n">
        <f aca="false">K13/K10</f>
        <v>-0.00133587271306624</v>
      </c>
      <c r="L14" s="11" t="n">
        <f aca="false">L13/L10</f>
        <v>-0.000203425118058669</v>
      </c>
      <c r="M14" s="11" t="n">
        <f aca="false">M13/M10</f>
        <v>-0.00138678445692565</v>
      </c>
      <c r="N14" s="11" t="n">
        <f aca="false">N13/N10</f>
        <v>-0.000278600093811366</v>
      </c>
      <c r="O14" s="11" t="n">
        <f aca="false">O13/O10</f>
        <v>-0.000990553120556218</v>
      </c>
      <c r="P14" s="11" t="n">
        <f aca="false">P13/P10</f>
        <v>-0.00140037116020061</v>
      </c>
      <c r="Q14" s="11" t="n">
        <f aca="false">Q13/Q10</f>
        <v>-0.00255810374156145</v>
      </c>
      <c r="R14" s="11" t="n">
        <f aca="false">R13/R10</f>
        <v>-0.00174255717818947</v>
      </c>
      <c r="S14" s="11" t="n">
        <f aca="false">S13/S10</f>
        <v>-0.00178202693569599</v>
      </c>
      <c r="T14" s="11" t="n">
        <f aca="false">T13/T10</f>
        <v>-0.00259282426383656</v>
      </c>
      <c r="U14" s="11" t="n">
        <f aca="false">U13/U10</f>
        <v>-0.00151659971215953</v>
      </c>
      <c r="V14" s="11" t="n">
        <f aca="false">V13/V10</f>
        <v>-0.00327454240529806</v>
      </c>
      <c r="W14" s="19" t="n">
        <f aca="false">W13/W8</f>
        <v>-0.00160101406904465</v>
      </c>
    </row>
    <row r="15" customFormat="false" ht="12" hidden="false" customHeight="true" outlineLevel="0" collapsed="false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W15" s="18" t="s">
        <v>1</v>
      </c>
    </row>
    <row r="16" customFormat="false" ht="12" hidden="false" customHeight="true" outlineLevel="0" collapsed="false">
      <c r="A16" s="8" t="s">
        <v>26</v>
      </c>
      <c r="B16" s="2" t="n">
        <v>109021045</v>
      </c>
      <c r="C16" s="2" t="n">
        <v>104397477</v>
      </c>
      <c r="D16" s="2" t="n">
        <v>93951694</v>
      </c>
      <c r="E16" s="2" t="n">
        <v>101266797</v>
      </c>
      <c r="F16" s="2" t="n">
        <v>102814096</v>
      </c>
      <c r="G16" s="2" t="n">
        <v>106572865</v>
      </c>
      <c r="H16" s="2" t="n">
        <v>113468501</v>
      </c>
      <c r="I16" s="2" t="n">
        <v>130371967</v>
      </c>
      <c r="J16" s="2" t="n">
        <v>153792963</v>
      </c>
      <c r="K16" s="2" t="n">
        <v>134189091</v>
      </c>
      <c r="L16" s="2" t="n">
        <v>123890929</v>
      </c>
      <c r="M16" s="2" t="n">
        <v>125822758</v>
      </c>
      <c r="N16" s="2" t="n">
        <v>99717974</v>
      </c>
      <c r="O16" s="2" t="n">
        <v>94010445</v>
      </c>
      <c r="P16" s="2" t="n">
        <v>95714869</v>
      </c>
      <c r="Q16" s="2" t="n">
        <v>105210566</v>
      </c>
      <c r="R16" s="2" t="n">
        <v>105057188</v>
      </c>
      <c r="S16" s="2" t="n">
        <v>100624675</v>
      </c>
      <c r="T16" s="2" t="n">
        <v>111774912</v>
      </c>
      <c r="U16" s="2" t="n">
        <v>108387235</v>
      </c>
      <c r="V16" s="2" t="n">
        <v>126175646</v>
      </c>
      <c r="W16" s="18" t="n">
        <f aca="false">SUM(K16:V16)</f>
        <v>1330576288</v>
      </c>
    </row>
    <row r="17" customFormat="false" ht="12" hidden="false" customHeight="tru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8" t="s">
        <v>1</v>
      </c>
    </row>
    <row r="18" customFormat="false" ht="12" hidden="false" customHeight="true" outlineLevel="0" collapsed="false">
      <c r="A18" s="8" t="s">
        <v>27</v>
      </c>
      <c r="B18" s="2" t="n">
        <v>106154300</v>
      </c>
      <c r="C18" s="2" t="n">
        <v>102534132</v>
      </c>
      <c r="D18" s="2" t="n">
        <v>91676887</v>
      </c>
      <c r="E18" s="2" t="n">
        <v>99510671</v>
      </c>
      <c r="F18" s="2" t="n">
        <v>100715828</v>
      </c>
      <c r="G18" s="2" t="n">
        <v>104837646</v>
      </c>
      <c r="H18" s="2" t="n">
        <v>111569102</v>
      </c>
      <c r="I18" s="2" t="n">
        <v>128043281</v>
      </c>
      <c r="J18" s="2" t="n">
        <v>150698837</v>
      </c>
      <c r="K18" s="2" t="n">
        <v>131684308</v>
      </c>
      <c r="L18" s="2" t="n">
        <v>121805707</v>
      </c>
      <c r="M18" s="2" t="n">
        <v>123113388</v>
      </c>
      <c r="N18" s="2" t="n">
        <v>99650536</v>
      </c>
      <c r="O18" s="2" t="n">
        <v>93791278</v>
      </c>
      <c r="P18" s="2" t="n">
        <v>95410648</v>
      </c>
      <c r="Q18" s="2" t="n">
        <v>104579979</v>
      </c>
      <c r="R18" s="2" t="n">
        <v>104641658</v>
      </c>
      <c r="S18" s="2" t="n">
        <v>100214541</v>
      </c>
      <c r="T18" s="2" t="n">
        <v>111019414</v>
      </c>
      <c r="U18" s="2" t="n">
        <v>107970587</v>
      </c>
      <c r="V18" s="2" t="n">
        <v>125152569</v>
      </c>
      <c r="W18" s="18" t="n">
        <f aca="false">SUM(K18:V18)</f>
        <v>1319034613</v>
      </c>
    </row>
    <row r="19" customFormat="false" ht="12" hidden="false" customHeight="true" outlineLevel="0" collapsed="false">
      <c r="A19" s="8" t="s">
        <v>28</v>
      </c>
      <c r="B19" s="2" t="n">
        <v>1996836</v>
      </c>
      <c r="C19" s="2" t="n">
        <v>1754601</v>
      </c>
      <c r="D19" s="2" t="n">
        <v>1584762</v>
      </c>
      <c r="E19" s="2" t="n">
        <v>1573207</v>
      </c>
      <c r="F19" s="2" t="n">
        <v>1630148</v>
      </c>
      <c r="G19" s="2" t="n">
        <v>1800184</v>
      </c>
      <c r="H19" s="2" t="n">
        <v>1893976</v>
      </c>
      <c r="I19" s="2" t="n">
        <v>2250282</v>
      </c>
      <c r="J19" s="2" t="n">
        <v>2561882</v>
      </c>
      <c r="K19" s="2" t="n">
        <v>2006867</v>
      </c>
      <c r="L19" s="2" t="n">
        <v>2066188</v>
      </c>
      <c r="M19" s="2" t="n">
        <v>2079115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0</v>
      </c>
      <c r="S19" s="2" t="n">
        <v>0</v>
      </c>
      <c r="T19" s="2" t="n">
        <v>0</v>
      </c>
      <c r="U19" s="2" t="n">
        <v>0</v>
      </c>
      <c r="V19" s="2" t="n">
        <v>0</v>
      </c>
      <c r="W19" s="18" t="n">
        <f aca="false">SUM(K19:V19)</f>
        <v>6152170</v>
      </c>
    </row>
    <row r="20" customFormat="false" ht="12" hidden="false" customHeight="true" outlineLevel="0" collapsed="false">
      <c r="A20" s="8" t="s">
        <v>29</v>
      </c>
      <c r="B20" s="2" t="n">
        <v>326931</v>
      </c>
      <c r="C20" s="2" t="n">
        <v>-178902</v>
      </c>
      <c r="D20" s="2" t="n">
        <v>200231</v>
      </c>
      <c r="E20" s="2" t="n">
        <v>461593</v>
      </c>
      <c r="F20" s="2" t="n">
        <v>-147789</v>
      </c>
      <c r="G20" s="2" t="n">
        <v>177964</v>
      </c>
      <c r="H20" s="2" t="n">
        <v>72651</v>
      </c>
      <c r="I20" s="2" t="n">
        <v>62705</v>
      </c>
      <c r="J20" s="2" t="n">
        <v>-72228</v>
      </c>
      <c r="K20" s="2" t="n">
        <v>-55872</v>
      </c>
      <c r="L20" s="2" t="n">
        <v>-162298</v>
      </c>
      <c r="M20" s="2" t="n">
        <v>84655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0</v>
      </c>
      <c r="S20" s="2" t="n">
        <v>0</v>
      </c>
      <c r="T20" s="2" t="n">
        <v>0</v>
      </c>
      <c r="U20" s="2" t="n">
        <v>0</v>
      </c>
      <c r="V20" s="2" t="n">
        <v>0</v>
      </c>
      <c r="W20" s="18" t="n">
        <f aca="false">SUM(K20:V20)</f>
        <v>-133515</v>
      </c>
    </row>
    <row r="21" customFormat="false" ht="12" hidden="false" customHeight="true" outlineLevel="0" collapsed="false">
      <c r="A21" s="8" t="s">
        <v>30</v>
      </c>
      <c r="B21" s="2" t="n">
        <v>201871</v>
      </c>
      <c r="C21" s="2" t="n">
        <v>192705</v>
      </c>
      <c r="D21" s="2" t="n">
        <v>150453</v>
      </c>
      <c r="E21" s="2" t="n">
        <v>99073</v>
      </c>
      <c r="F21" s="2" t="n">
        <v>86055</v>
      </c>
      <c r="G21" s="2" t="n">
        <v>134891</v>
      </c>
      <c r="H21" s="2" t="n">
        <v>89283</v>
      </c>
      <c r="I21" s="2" t="n">
        <v>119387</v>
      </c>
      <c r="J21" s="2" t="n">
        <v>145364</v>
      </c>
      <c r="K21" s="2" t="n">
        <v>141296</v>
      </c>
      <c r="L21" s="2" t="n">
        <v>116750</v>
      </c>
      <c r="M21" s="2" t="n">
        <v>109120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18" t="n">
        <f aca="false">SUM(K21:V21)</f>
        <v>367166</v>
      </c>
    </row>
    <row r="22" customFormat="false" ht="12" hidden="false" customHeight="true" outlineLevel="0" collapsed="false">
      <c r="A22" s="8" t="s">
        <v>22</v>
      </c>
      <c r="B22" s="2" t="n">
        <f aca="false">SUM(B18:B21)</f>
        <v>108679938</v>
      </c>
      <c r="C22" s="2" t="n">
        <f aca="false">SUM(C18:C21)</f>
        <v>104302536</v>
      </c>
      <c r="D22" s="2" t="n">
        <f aca="false">SUM(D18:D21)</f>
        <v>93612333</v>
      </c>
      <c r="E22" s="2" t="n">
        <f aca="false">SUM(E18:E21)</f>
        <v>101644544</v>
      </c>
      <c r="F22" s="2" t="n">
        <f aca="false">SUM(F18:F21)</f>
        <v>102284242</v>
      </c>
      <c r="G22" s="2" t="n">
        <f aca="false">SUM(G18:G21)</f>
        <v>106950685</v>
      </c>
      <c r="H22" s="2" t="n">
        <f aca="false">SUM(H18:H21)</f>
        <v>113625012</v>
      </c>
      <c r="I22" s="2" t="n">
        <f aca="false">SUM(I18:I21)</f>
        <v>130475655</v>
      </c>
      <c r="J22" s="2" t="n">
        <f aca="false">SUM(J18:J21)</f>
        <v>153333855</v>
      </c>
      <c r="K22" s="2" t="n">
        <f aca="false">SUM(K18:K21)</f>
        <v>133776599</v>
      </c>
      <c r="L22" s="2" t="n">
        <f aca="false">SUM(L18:L21)</f>
        <v>123826347</v>
      </c>
      <c r="M22" s="2" t="n">
        <f aca="false">SUM(M18:M21)</f>
        <v>125386278</v>
      </c>
      <c r="N22" s="2" t="n">
        <f aca="false">SUM(N18:N21)</f>
        <v>99650536</v>
      </c>
      <c r="O22" s="2" t="n">
        <f aca="false">SUM(O18:O21)</f>
        <v>93791278</v>
      </c>
      <c r="P22" s="2" t="n">
        <f aca="false">SUM(P18:P21)</f>
        <v>95410648</v>
      </c>
      <c r="Q22" s="2" t="n">
        <f aca="false">SUM(Q18:Q21)</f>
        <v>104579979</v>
      </c>
      <c r="R22" s="2" t="n">
        <f aca="false">SUM(R18:R21)</f>
        <v>104641658</v>
      </c>
      <c r="S22" s="2" t="n">
        <f aca="false">SUM(S18:S21)</f>
        <v>100214541</v>
      </c>
      <c r="T22" s="2" t="n">
        <f aca="false">SUM(T18:T21)</f>
        <v>111019414</v>
      </c>
      <c r="U22" s="2" t="n">
        <f aca="false">SUM(U18:U21)</f>
        <v>107970587</v>
      </c>
      <c r="V22" s="2" t="n">
        <f aca="false">SUM(V18:V21)</f>
        <v>125152569</v>
      </c>
      <c r="W22" s="18" t="n">
        <f aca="false">SUM(K22:V22)</f>
        <v>1325420434</v>
      </c>
    </row>
    <row r="23" customFormat="false" ht="12" hidden="false" customHeight="true" outlineLevel="0" collapsed="false">
      <c r="A23" s="8" t="s">
        <v>33</v>
      </c>
      <c r="B23" s="2" t="n">
        <f aca="false">-B16+B22</f>
        <v>-341107</v>
      </c>
      <c r="C23" s="2" t="n">
        <f aca="false">-C16+C22</f>
        <v>-94941</v>
      </c>
      <c r="D23" s="2" t="n">
        <f aca="false">-D16+D22</f>
        <v>-339361</v>
      </c>
      <c r="E23" s="2" t="n">
        <f aca="false">-E16+E22</f>
        <v>377747</v>
      </c>
      <c r="F23" s="2" t="n">
        <f aca="false">-F16+F22</f>
        <v>-529854</v>
      </c>
      <c r="G23" s="2" t="n">
        <f aca="false">-G16+G22</f>
        <v>377820</v>
      </c>
      <c r="H23" s="2" t="n">
        <f aca="false">-H16+H22</f>
        <v>156511</v>
      </c>
      <c r="I23" s="2" t="n">
        <f aca="false">-I16+I22</f>
        <v>103688</v>
      </c>
      <c r="J23" s="2" t="n">
        <f aca="false">-J16+J22</f>
        <v>-459108</v>
      </c>
      <c r="K23" s="2" t="n">
        <f aca="false">-K16+K22</f>
        <v>-412492</v>
      </c>
      <c r="L23" s="2" t="n">
        <f aca="false">-L16+L22</f>
        <v>-64582</v>
      </c>
      <c r="M23" s="2" t="n">
        <f aca="false">-M16+M22</f>
        <v>-436480</v>
      </c>
      <c r="N23" s="2" t="n">
        <f aca="false">-N16+N22</f>
        <v>-67438</v>
      </c>
      <c r="O23" s="2" t="n">
        <f aca="false">-O16+O22</f>
        <v>-219167</v>
      </c>
      <c r="P23" s="2" t="n">
        <f aca="false">-P16+P22</f>
        <v>-304221</v>
      </c>
      <c r="Q23" s="2" t="n">
        <f aca="false">-Q16+Q22</f>
        <v>-630587</v>
      </c>
      <c r="R23" s="2" t="n">
        <f aca="false">-R16+R22</f>
        <v>-415530</v>
      </c>
      <c r="S23" s="2" t="n">
        <f aca="false">-S16+S22</f>
        <v>-410134</v>
      </c>
      <c r="T23" s="2" t="n">
        <f aca="false">-T16+T22</f>
        <v>-755498</v>
      </c>
      <c r="U23" s="2" t="n">
        <f aca="false">-U16+U22</f>
        <v>-416648</v>
      </c>
      <c r="V23" s="2" t="n">
        <f aca="false">-V16+V22</f>
        <v>-1023077</v>
      </c>
      <c r="W23" s="18" t="n">
        <f aca="false">SUM(K23:V23)</f>
        <v>-5155854</v>
      </c>
    </row>
    <row r="24" customFormat="false" ht="12" hidden="false" customHeight="true" outlineLevel="0" collapsed="false">
      <c r="A24" s="10" t="s">
        <v>24</v>
      </c>
      <c r="B24" s="11" t="n">
        <f aca="false">2*B23/(B16+B22)</f>
        <v>-0.00313372034705052</v>
      </c>
      <c r="C24" s="11" t="n">
        <f aca="false">2*C23/(C16+C22)</f>
        <v>-0.000909832238486732</v>
      </c>
      <c r="D24" s="11" t="n">
        <f aca="false">2*D23/(D16+D22)</f>
        <v>-0.00361861499166895</v>
      </c>
      <c r="E24" s="11" t="n">
        <f aca="false">2*E23/(E16+E22)</f>
        <v>0.0037232714360702</v>
      </c>
      <c r="F24" s="11" t="n">
        <f aca="false">2*F23/(F16+F22)</f>
        <v>-0.00516682880189892</v>
      </c>
      <c r="G24" s="11" t="n">
        <f aca="false">G23/G16</f>
        <v>0.00354518009814224</v>
      </c>
      <c r="H24" s="11" t="n">
        <f aca="false">H23/H16</f>
        <v>0.00137933434054972</v>
      </c>
      <c r="I24" s="11" t="n">
        <f aca="false">I23/I16</f>
        <v>0.000795324350671184</v>
      </c>
      <c r="J24" s="11" t="n">
        <f aca="false">J23/J16</f>
        <v>-0.002985234116336</v>
      </c>
      <c r="K24" s="11" t="n">
        <f aca="false">K23/K16</f>
        <v>-0.00307396075885185</v>
      </c>
      <c r="L24" s="11" t="n">
        <f aca="false">L23/L16</f>
        <v>-0.00052128110202483</v>
      </c>
      <c r="M24" s="11" t="n">
        <f aca="false">M23/M16</f>
        <v>-0.00346900677538796</v>
      </c>
      <c r="N24" s="11" t="n">
        <f aca="false">N23/N16</f>
        <v>-0.000676287306037726</v>
      </c>
      <c r="O24" s="11" t="n">
        <f aca="false">O23/O16</f>
        <v>-0.00233130478214415</v>
      </c>
      <c r="P24" s="11" t="n">
        <f aca="false">P23/P16</f>
        <v>-0.0031784089888897</v>
      </c>
      <c r="Q24" s="11" t="n">
        <f aca="false">Q23/Q16</f>
        <v>-0.00599357102593669</v>
      </c>
      <c r="R24" s="11" t="n">
        <f aca="false">R23/R16</f>
        <v>-0.00395527434067624</v>
      </c>
      <c r="S24" s="11" t="n">
        <f aca="false">S23/S16</f>
        <v>-0.00407587900283902</v>
      </c>
      <c r="T24" s="11" t="n">
        <f aca="false">T23/T16</f>
        <v>-0.006759101720429</v>
      </c>
      <c r="U24" s="11" t="n">
        <f aca="false">U23/U16</f>
        <v>-0.00384406890719188</v>
      </c>
      <c r="V24" s="11" t="n">
        <f aca="false">V23/V16</f>
        <v>-0.00810835555381266</v>
      </c>
      <c r="W24" s="19" t="n">
        <f aca="false">W23/W16</f>
        <v>-0.00387490296234709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"/>
    </row>
    <row r="26" customFormat="false" ht="13.5" hidden="false" customHeight="false" outlineLevel="0" collapsed="false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customFormat="false" ht="13.5" hidden="false" customHeight="false" outlineLevel="0" collapsed="false">
      <c r="A27" s="15"/>
    </row>
    <row r="28" customFormat="false" ht="13.5" hidden="false" customHeight="false" outlineLevel="0" collapsed="false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customFormat="false" ht="13.5" hidden="false" customHeight="false" outlineLevel="0" collapsed="false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Italic"&amp;12NNG DTH PRA (00)12 Month Historical</oddHeader>
    <oddFooter>&amp;L&amp;F&amp;CPage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14" min="14" style="0" width="10.28"/>
  </cols>
  <sheetData>
    <row r="1" customFormat="false" ht="12.75" hidden="false" customHeight="false" outlineLevel="0" collapsed="false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2.75" hidden="false" customHeight="false" outlineLevel="0" collapsed="false">
      <c r="A2" s="1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13.5" hidden="false" customHeight="false" outlineLevel="0" collapsed="false">
      <c r="A5" s="1"/>
      <c r="B5" s="5" t="s">
        <v>15</v>
      </c>
      <c r="C5" s="5" t="s">
        <v>16</v>
      </c>
      <c r="D5" s="5" t="s">
        <v>17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/>
    </row>
    <row r="6" customFormat="false" ht="13.5" hidden="false" customHeight="false" outlineLevel="0" collapsed="false">
      <c r="A6" s="1"/>
      <c r="B6" s="5" t="n">
        <v>2001</v>
      </c>
      <c r="C6" s="5" t="n">
        <v>2001</v>
      </c>
      <c r="D6" s="5" t="n">
        <v>2001</v>
      </c>
      <c r="E6" s="5" t="n">
        <v>2001</v>
      </c>
      <c r="F6" s="5" t="n">
        <v>2001</v>
      </c>
      <c r="G6" s="5" t="n">
        <v>2001</v>
      </c>
      <c r="H6" s="5" t="n">
        <v>2001</v>
      </c>
      <c r="I6" s="5" t="n">
        <v>2001</v>
      </c>
      <c r="J6" s="5" t="n">
        <v>2001</v>
      </c>
      <c r="K6" s="5" t="n">
        <v>2001</v>
      </c>
      <c r="L6" s="5" t="n">
        <v>2001</v>
      </c>
      <c r="M6" s="5" t="n">
        <v>2001</v>
      </c>
      <c r="N6" s="6" t="s">
        <v>19</v>
      </c>
    </row>
    <row r="7" customFormat="false" ht="13.5" hidden="false" customHeight="false" outlineLevel="0" collapsed="false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"/>
    </row>
    <row r="8" customFormat="false" ht="13.5" hidden="false" customHeight="false" outlineLevel="0" collapsed="false">
      <c r="A8" s="8" t="s">
        <v>20</v>
      </c>
      <c r="B8" s="9" t="n">
        <v>301077970</v>
      </c>
      <c r="C8" s="9" t="n">
        <v>311599155</v>
      </c>
      <c r="D8" s="9" t="n">
        <v>309650897</v>
      </c>
      <c r="E8" s="9" t="n">
        <f aca="false">97887777+139191081</f>
        <v>237078858</v>
      </c>
      <c r="F8" s="9" t="n">
        <f aca="false">92157544+124284973</f>
        <v>216442517</v>
      </c>
      <c r="G8" s="9" t="n">
        <f aca="false">93848102+118865202</f>
        <v>212713304</v>
      </c>
      <c r="H8" s="9" t="n">
        <f aca="false">103227400+138344707</f>
        <v>241572107</v>
      </c>
      <c r="I8" s="9" t="n">
        <f aca="false">103206147+131144289</f>
        <v>234350436</v>
      </c>
      <c r="J8" s="9" t="n">
        <f aca="false">98788913+127534070</f>
        <v>226322983</v>
      </c>
      <c r="K8" s="9" t="n">
        <f aca="false">109813680+177525952</f>
        <v>287339632</v>
      </c>
      <c r="L8" s="9" t="n">
        <f aca="false">106741721+164340922</f>
        <v>271082643</v>
      </c>
      <c r="M8" s="9" t="n">
        <f aca="false">124172161+185116905</f>
        <v>309289066</v>
      </c>
      <c r="N8" s="2" t="n">
        <f aca="false">SUM(B8:M8)</f>
        <v>3158519568</v>
      </c>
    </row>
    <row r="9" customFormat="false" ht="13.5" hidden="false" customHeight="false" outlineLevel="0" collapsed="false">
      <c r="A9" s="8" t="s">
        <v>21</v>
      </c>
      <c r="B9" s="9" t="n">
        <v>298863441</v>
      </c>
      <c r="C9" s="9" t="n">
        <v>309684869</v>
      </c>
      <c r="D9" s="9" t="n">
        <v>307112445</v>
      </c>
      <c r="E9" s="9" t="n">
        <f aca="false">97821818+139191081</f>
        <v>237012899</v>
      </c>
      <c r="F9" s="9" t="n">
        <f aca="false">91900590+124284973</f>
        <v>216185563</v>
      </c>
      <c r="G9" s="9" t="n">
        <f aca="false">93450786+118865202</f>
        <v>212315988</v>
      </c>
      <c r="H9" s="9" t="n">
        <f aca="false">102449558+138344707</f>
        <v>240794265</v>
      </c>
      <c r="I9" s="9" t="n">
        <f aca="false">102672492+131144289</f>
        <v>233816781</v>
      </c>
      <c r="J9" s="9" t="n">
        <f aca="false">98389327+127534070</f>
        <v>225923397</v>
      </c>
      <c r="K9" s="9" t="n">
        <f aca="false">109050271+177525952</f>
        <v>286576223</v>
      </c>
      <c r="L9" s="9" t="n">
        <f aca="false">106229270+164340922</f>
        <v>270570192</v>
      </c>
      <c r="M9" s="9" t="n">
        <f aca="false">123278953+185116905</f>
        <v>308395858</v>
      </c>
      <c r="N9" s="2" t="n">
        <f aca="false">SUM(B9:M9)</f>
        <v>3147251921</v>
      </c>
    </row>
    <row r="10" customFormat="false" ht="12.75" hidden="false" customHeight="false" outlineLevel="0" collapsed="false">
      <c r="A10" s="8" t="s">
        <v>22</v>
      </c>
      <c r="B10" s="2" t="n">
        <f aca="false">+B9+B19+B20+B21</f>
        <v>300800124</v>
      </c>
      <c r="C10" s="2" t="n">
        <f aca="false">+C9+C19+C20+C21</f>
        <v>311592168</v>
      </c>
      <c r="D10" s="2" t="n">
        <f aca="false">+D9+D19+D20+D21</f>
        <v>309276630</v>
      </c>
      <c r="E10" s="2" t="n">
        <f aca="false">+E9+E19+E20+E21</f>
        <v>237012899</v>
      </c>
      <c r="F10" s="2" t="n">
        <f aca="false">+F9+F19+F20+F21</f>
        <v>216185563</v>
      </c>
      <c r="G10" s="2" t="n">
        <f aca="false">+G9+G19+G20+G21</f>
        <v>212315988</v>
      </c>
      <c r="H10" s="2" t="n">
        <f aca="false">+H9+H19+H20+H21</f>
        <v>240794265</v>
      </c>
      <c r="I10" s="2" t="n">
        <f aca="false">+I9+I19+I20+I21</f>
        <v>233816781</v>
      </c>
      <c r="J10" s="2" t="n">
        <f aca="false">+J9+J19+J20+J21</f>
        <v>225923397</v>
      </c>
      <c r="K10" s="2" t="n">
        <f aca="false">+K9+K19+K20+K21</f>
        <v>286576223</v>
      </c>
      <c r="L10" s="2" t="n">
        <f aca="false">+L9+L19+L20+L21</f>
        <v>270570192</v>
      </c>
      <c r="M10" s="2" t="n">
        <f aca="false">+M9+M19+M20+M21</f>
        <v>308395858</v>
      </c>
      <c r="N10" s="2" t="n">
        <f aca="false">SUM(B10:M10)</f>
        <v>3153260088</v>
      </c>
    </row>
    <row r="11" customFormat="false" ht="12.75" hidden="false" customHeight="false" outlineLevel="0" collapsed="false">
      <c r="A11" s="8" t="s">
        <v>23</v>
      </c>
      <c r="B11" s="2" t="n">
        <f aca="false">-B8+B10</f>
        <v>-277846</v>
      </c>
      <c r="C11" s="2" t="n">
        <f aca="false">-C8+C10</f>
        <v>-6987</v>
      </c>
      <c r="D11" s="2" t="n">
        <f aca="false">-D8+D10</f>
        <v>-374267</v>
      </c>
      <c r="E11" s="2" t="n">
        <f aca="false">-E8+E10</f>
        <v>-65959</v>
      </c>
      <c r="F11" s="2" t="n">
        <f aca="false">-F8+F10</f>
        <v>-256954</v>
      </c>
      <c r="G11" s="2" t="n">
        <f aca="false">-G8+G10</f>
        <v>-397316</v>
      </c>
      <c r="H11" s="2" t="n">
        <f aca="false">-H8+H10</f>
        <v>-777842</v>
      </c>
      <c r="I11" s="2" t="n">
        <f aca="false">-I8+I10</f>
        <v>-533655</v>
      </c>
      <c r="J11" s="2" t="n">
        <f aca="false">-J8+J10</f>
        <v>-399586</v>
      </c>
      <c r="K11" s="2" t="n">
        <f aca="false">-K8+K10</f>
        <v>-763409</v>
      </c>
      <c r="L11" s="2" t="n">
        <f aca="false">-L8+L10</f>
        <v>-512451</v>
      </c>
      <c r="M11" s="2" t="n">
        <f aca="false">-M8+M10</f>
        <v>-893208</v>
      </c>
      <c r="N11" s="2" t="n">
        <f aca="false">SUM(B11:M11)</f>
        <v>-5259480</v>
      </c>
    </row>
    <row r="12" customFormat="false" ht="12.75" hidden="false" customHeight="false" outlineLevel="0" collapsed="false">
      <c r="A12" s="10" t="s">
        <v>24</v>
      </c>
      <c r="B12" s="11" t="n">
        <f aca="false">B11/B8</f>
        <v>-0.00092283736335807</v>
      </c>
      <c r="C12" s="11" t="n">
        <f aca="false">C11/C8</f>
        <v>-2.24230389841718E-005</v>
      </c>
      <c r="D12" s="11" t="n">
        <f aca="false">D11/D8</f>
        <v>-0.00120867403784721</v>
      </c>
      <c r="E12" s="11" t="n">
        <f aca="false">E11/E8</f>
        <v>-0.000278215445090426</v>
      </c>
      <c r="F12" s="11" t="n">
        <f aca="false">F11/F8</f>
        <v>-0.00118716970935983</v>
      </c>
      <c r="G12" s="11" t="n">
        <f aca="false">G11/G8</f>
        <v>-0.00186784743844701</v>
      </c>
      <c r="H12" s="11" t="n">
        <f aca="false">H11/H8</f>
        <v>-0.00321991644507203</v>
      </c>
      <c r="I12" s="11" t="n">
        <f aca="false">I11/I8</f>
        <v>-0.00227716666164001</v>
      </c>
      <c r="J12" s="11" t="n">
        <f aca="false">J11/J8</f>
        <v>-0.00176555643931222</v>
      </c>
      <c r="K12" s="11" t="n">
        <f aca="false">K11/K8</f>
        <v>-0.00265681762966829</v>
      </c>
      <c r="L12" s="11" t="n">
        <f aca="false">L11/L8</f>
        <v>-0.00189038661542045</v>
      </c>
      <c r="M12" s="11" t="n">
        <f aca="false">M11/M8</f>
        <v>-0.00288793914234265</v>
      </c>
      <c r="N12" s="11" t="n">
        <f aca="false">N11/N8</f>
        <v>-0.00166517252363592</v>
      </c>
    </row>
    <row r="13" customFormat="false" ht="12.75" hidden="false" customHeight="false" outlineLevel="0" collapsed="false">
      <c r="A13" s="8" t="s">
        <v>25</v>
      </c>
      <c r="B13" s="2" t="n">
        <f aca="false">-B8+B10</f>
        <v>-277846</v>
      </c>
      <c r="C13" s="2" t="n">
        <f aca="false">-C8+C10</f>
        <v>-6987</v>
      </c>
      <c r="D13" s="2" t="n">
        <f aca="false">-D8+D10</f>
        <v>-374267</v>
      </c>
      <c r="E13" s="2" t="n">
        <f aca="false">-E8+E10</f>
        <v>-65959</v>
      </c>
      <c r="F13" s="2" t="n">
        <f aca="false">-F8+F10</f>
        <v>-256954</v>
      </c>
      <c r="G13" s="2" t="n">
        <f aca="false">-G8+G10</f>
        <v>-397316</v>
      </c>
      <c r="H13" s="2" t="n">
        <f aca="false">-H8+H10</f>
        <v>-777842</v>
      </c>
      <c r="I13" s="2" t="n">
        <f aca="false">-I8+I10</f>
        <v>-533655</v>
      </c>
      <c r="J13" s="2" t="n">
        <f aca="false">-J8+J10</f>
        <v>-399586</v>
      </c>
      <c r="K13" s="2" t="n">
        <f aca="false">-K8+K10</f>
        <v>-763409</v>
      </c>
      <c r="L13" s="2" t="n">
        <f aca="false">-L8+L10</f>
        <v>-512451</v>
      </c>
      <c r="M13" s="2" t="n">
        <f aca="false">-M8+M10</f>
        <v>-893208</v>
      </c>
      <c r="N13" s="2" t="n">
        <f aca="false">SUM(B13:M13)</f>
        <v>-5259480</v>
      </c>
    </row>
    <row r="14" customFormat="false" ht="12.75" hidden="false" customHeight="false" outlineLevel="0" collapsed="false">
      <c r="A14" s="10" t="s">
        <v>24</v>
      </c>
      <c r="B14" s="11" t="n">
        <f aca="false">B13/B8</f>
        <v>-0.00092283736335807</v>
      </c>
      <c r="C14" s="11" t="n">
        <f aca="false">C13/C8</f>
        <v>-2.24230389841718E-005</v>
      </c>
      <c r="D14" s="11" t="n">
        <f aca="false">D13/D8</f>
        <v>-0.00120867403784721</v>
      </c>
      <c r="E14" s="11" t="n">
        <f aca="false">E13/E8</f>
        <v>-0.000278215445090426</v>
      </c>
      <c r="F14" s="11" t="n">
        <f aca="false">F13/F8</f>
        <v>-0.00118716970935983</v>
      </c>
      <c r="G14" s="11" t="n">
        <f aca="false">G13/G8</f>
        <v>-0.00186784743844701</v>
      </c>
      <c r="H14" s="11" t="n">
        <f aca="false">H13/H8</f>
        <v>-0.00321991644507203</v>
      </c>
      <c r="I14" s="11" t="n">
        <f aca="false">I13/I8</f>
        <v>-0.00227716666164001</v>
      </c>
      <c r="J14" s="11" t="n">
        <f aca="false">J13/J8</f>
        <v>-0.00176555643931222</v>
      </c>
      <c r="K14" s="11" t="n">
        <f aca="false">K13/K8</f>
        <v>-0.00265681762966829</v>
      </c>
      <c r="L14" s="11" t="n">
        <f aca="false">L13/L8</f>
        <v>-0.00189038661542045</v>
      </c>
      <c r="M14" s="11" t="n">
        <f aca="false">M13/M8</f>
        <v>-0.00288793914234265</v>
      </c>
      <c r="N14" s="11" t="n">
        <f aca="false">N13/N8</f>
        <v>-0.00166517252363592</v>
      </c>
    </row>
    <row r="15" customFormat="false" ht="13.5" hidden="false" customHeight="false" outlineLevel="0" collapsed="false">
      <c r="A15" s="8"/>
      <c r="B15" s="15"/>
      <c r="C15" s="15"/>
      <c r="D15" s="15"/>
      <c r="E15" s="7"/>
      <c r="F15" s="7"/>
      <c r="G15" s="7"/>
      <c r="H15" s="7"/>
      <c r="I15" s="7"/>
      <c r="J15" s="7"/>
      <c r="K15" s="7"/>
      <c r="L15" s="7"/>
      <c r="M15" s="7"/>
      <c r="N15" s="2" t="s">
        <v>1</v>
      </c>
    </row>
    <row r="16" customFormat="false" ht="12.75" hidden="false" customHeight="false" outlineLevel="0" collapsed="false">
      <c r="A16" s="8" t="s">
        <v>26</v>
      </c>
      <c r="B16" s="2" t="n">
        <v>130852732</v>
      </c>
      <c r="C16" s="2" t="n">
        <v>121693805</v>
      </c>
      <c r="D16" s="2" t="n">
        <v>123738465</v>
      </c>
      <c r="E16" s="2" t="n">
        <v>97887777</v>
      </c>
      <c r="F16" s="2" t="n">
        <v>92157544</v>
      </c>
      <c r="G16" s="2" t="n">
        <v>93848102</v>
      </c>
      <c r="H16" s="2" t="n">
        <v>103227400</v>
      </c>
      <c r="I16" s="2" t="n">
        <v>103206147</v>
      </c>
      <c r="J16" s="2" t="n">
        <v>98788913</v>
      </c>
      <c r="K16" s="2" t="n">
        <v>109813680</v>
      </c>
      <c r="L16" s="2" t="n">
        <v>106741721</v>
      </c>
      <c r="M16" s="2" t="n">
        <v>124172161</v>
      </c>
      <c r="N16" s="2" t="n">
        <f aca="false">SUM(B16:M16)</f>
        <v>1306128447</v>
      </c>
    </row>
    <row r="17" customFormat="false" ht="12.75" hidden="false" customHeight="fals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</v>
      </c>
    </row>
    <row r="18" customFormat="false" ht="12.75" hidden="false" customHeight="false" outlineLevel="0" collapsed="false">
      <c r="A18" s="8" t="s">
        <v>27</v>
      </c>
      <c r="B18" s="2" t="n">
        <v>128638203</v>
      </c>
      <c r="C18" s="2" t="n">
        <v>119779519</v>
      </c>
      <c r="D18" s="2" t="n">
        <v>121200013</v>
      </c>
      <c r="E18" s="2" t="n">
        <v>97821818</v>
      </c>
      <c r="F18" s="2" t="n">
        <v>91900590</v>
      </c>
      <c r="G18" s="2" t="n">
        <v>93450786</v>
      </c>
      <c r="H18" s="2" t="n">
        <v>102449558</v>
      </c>
      <c r="I18" s="2" t="n">
        <v>102672492</v>
      </c>
      <c r="J18" s="2" t="n">
        <v>98389327</v>
      </c>
      <c r="K18" s="2" t="n">
        <v>109050271</v>
      </c>
      <c r="L18" s="2" t="n">
        <v>106229270</v>
      </c>
      <c r="M18" s="2" t="n">
        <v>123278953</v>
      </c>
      <c r="N18" s="2" t="n">
        <f aca="false">SUM(B18:M18)</f>
        <v>1294860800</v>
      </c>
    </row>
    <row r="19" customFormat="false" ht="12.75" hidden="false" customHeight="false" outlineLevel="0" collapsed="false">
      <c r="A19" s="8" t="s">
        <v>28</v>
      </c>
      <c r="B19" s="2" t="n">
        <v>1962158</v>
      </c>
      <c r="C19" s="2" t="n">
        <v>2044208</v>
      </c>
      <c r="D19" s="2" t="n">
        <v>2058977</v>
      </c>
      <c r="E19" s="2" t="n">
        <v>0</v>
      </c>
      <c r="F19" s="2" t="n">
        <v>0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f aca="false">SUM(B19:M19)</f>
        <v>6065343</v>
      </c>
    </row>
    <row r="20" customFormat="false" ht="12.75" hidden="false" customHeight="false" outlineLevel="0" collapsed="false">
      <c r="A20" s="8" t="s">
        <v>29</v>
      </c>
      <c r="B20" s="2" t="n">
        <v>-55736</v>
      </c>
      <c r="C20" s="2" t="n">
        <v>-161574</v>
      </c>
      <c r="D20" s="2" t="n">
        <v>82322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f aca="false">SUM(B20:M20)</f>
        <v>-134988</v>
      </c>
    </row>
    <row r="21" customFormat="false" ht="12.75" hidden="false" customHeight="false" outlineLevel="0" collapsed="false">
      <c r="A21" s="8" t="s">
        <v>30</v>
      </c>
      <c r="B21" s="2" t="n">
        <v>30261</v>
      </c>
      <c r="C21" s="2" t="n">
        <v>24665</v>
      </c>
      <c r="D21" s="2" t="n">
        <v>22886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f aca="false">SUM(B21:M21)</f>
        <v>77812</v>
      </c>
    </row>
    <row r="22" customFormat="false" ht="12.75" hidden="false" customHeight="false" outlineLevel="0" collapsed="false">
      <c r="A22" s="8" t="s">
        <v>22</v>
      </c>
      <c r="B22" s="2" t="n">
        <f aca="false">SUM(B18:B21)</f>
        <v>130574886</v>
      </c>
      <c r="C22" s="2" t="n">
        <f aca="false">SUM(C18:C21)</f>
        <v>121686818</v>
      </c>
      <c r="D22" s="2" t="n">
        <f aca="false">SUM(D18:D21)</f>
        <v>123364198</v>
      </c>
      <c r="E22" s="2" t="n">
        <f aca="false">SUM(E18:E21)</f>
        <v>97821818</v>
      </c>
      <c r="F22" s="2" t="n">
        <f aca="false">SUM(F18:F21)</f>
        <v>91900590</v>
      </c>
      <c r="G22" s="2" t="n">
        <f aca="false">SUM(G18:G21)</f>
        <v>93450786</v>
      </c>
      <c r="H22" s="2" t="n">
        <f aca="false">SUM(H18:H21)</f>
        <v>102449558</v>
      </c>
      <c r="I22" s="2" t="n">
        <f aca="false">SUM(I18:I21)</f>
        <v>102672492</v>
      </c>
      <c r="J22" s="2" t="n">
        <f aca="false">SUM(J18:J21)</f>
        <v>98389327</v>
      </c>
      <c r="K22" s="2" t="n">
        <f aca="false">SUM(K18:K21)</f>
        <v>109050271</v>
      </c>
      <c r="L22" s="2" t="n">
        <f aca="false">SUM(L18:L21)</f>
        <v>106229270</v>
      </c>
      <c r="M22" s="2" t="n">
        <f aca="false">SUM(M18:M21)</f>
        <v>123278953</v>
      </c>
      <c r="N22" s="2" t="n">
        <f aca="false">SUM(B22:M22)</f>
        <v>1300868967</v>
      </c>
    </row>
    <row r="23" customFormat="false" ht="12.75" hidden="false" customHeight="false" outlineLevel="0" collapsed="false">
      <c r="A23" s="8" t="s">
        <v>31</v>
      </c>
      <c r="B23" s="2" t="n">
        <f aca="false">-B16+B22</f>
        <v>-277846</v>
      </c>
      <c r="C23" s="2" t="n">
        <f aca="false">-C16+C22</f>
        <v>-6987</v>
      </c>
      <c r="D23" s="2" t="n">
        <f aca="false">-D16+D22</f>
        <v>-374267</v>
      </c>
      <c r="E23" s="2" t="n">
        <f aca="false">-E16+E22</f>
        <v>-65959</v>
      </c>
      <c r="F23" s="2" t="n">
        <f aca="false">-F16+F22</f>
        <v>-256954</v>
      </c>
      <c r="G23" s="2" t="n">
        <f aca="false">-G16+G22</f>
        <v>-397316</v>
      </c>
      <c r="H23" s="2" t="n">
        <f aca="false">-H16+H22</f>
        <v>-777842</v>
      </c>
      <c r="I23" s="2" t="n">
        <f aca="false">-I16+I22</f>
        <v>-533655</v>
      </c>
      <c r="J23" s="2" t="n">
        <f aca="false">-J16+J22</f>
        <v>-399586</v>
      </c>
      <c r="K23" s="2" t="n">
        <f aca="false">-K16+K22</f>
        <v>-763409</v>
      </c>
      <c r="L23" s="2" t="n">
        <f aca="false">-L16+L22</f>
        <v>-512451</v>
      </c>
      <c r="M23" s="2" t="n">
        <f aca="false">-M16+M22</f>
        <v>-893208</v>
      </c>
      <c r="N23" s="2" t="n">
        <f aca="false">SUM(B23:M23)</f>
        <v>-5259480</v>
      </c>
    </row>
    <row r="24" customFormat="false" ht="12.75" hidden="false" customHeight="false" outlineLevel="0" collapsed="false">
      <c r="A24" s="10" t="s">
        <v>24</v>
      </c>
      <c r="B24" s="11" t="n">
        <f aca="false">B23/B16</f>
        <v>-0.00212334886519603</v>
      </c>
      <c r="C24" s="11" t="n">
        <f aca="false">C23/C16</f>
        <v>-5.74145906605517E-005</v>
      </c>
      <c r="D24" s="11" t="n">
        <f aca="false">D23/D16</f>
        <v>-0.00302466173311589</v>
      </c>
      <c r="E24" s="11" t="n">
        <f aca="false">E23/E16</f>
        <v>-0.000673822636711834</v>
      </c>
      <c r="F24" s="11" t="n">
        <f aca="false">F23/F16</f>
        <v>-0.00278820364396864</v>
      </c>
      <c r="G24" s="11" t="n">
        <f aca="false">G23/G16</f>
        <v>-0.00423360719644602</v>
      </c>
      <c r="H24" s="11" t="n">
        <f aca="false">H23/H16</f>
        <v>-0.00753522804991698</v>
      </c>
      <c r="I24" s="11" t="n">
        <f aca="false">I23/I16</f>
        <v>-0.00517076759003512</v>
      </c>
      <c r="J24" s="11" t="n">
        <f aca="false">J23/J16</f>
        <v>-0.00404484661148159</v>
      </c>
      <c r="K24" s="11" t="n">
        <f aca="false">K23/K16</f>
        <v>-0.00695185699996576</v>
      </c>
      <c r="L24" s="11" t="n">
        <f aca="false">L23/L16</f>
        <v>-0.00480085008185319</v>
      </c>
      <c r="M24" s="11" t="n">
        <f aca="false">M23/M16</f>
        <v>-0.00719330317525842</v>
      </c>
      <c r="N24" s="11" t="n">
        <f aca="false">N23/N16</f>
        <v>-0.00402677088312433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0" width="9.56"/>
  </cols>
  <sheetData>
    <row r="1" customFormat="false" ht="12.75" hidden="false" customHeight="false" outlineLevel="0" collapsed="false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Format="false" ht="12.75" hidden="false" customHeight="false" outlineLevel="0" collapsed="false">
      <c r="A2" s="1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13.5" hidden="false" customHeight="false" outlineLevel="0" collapsed="false">
      <c r="A5" s="1"/>
      <c r="B5" s="5" t="s">
        <v>15</v>
      </c>
      <c r="C5" s="5" t="s">
        <v>16</v>
      </c>
      <c r="D5" s="5" t="s">
        <v>17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/>
    </row>
    <row r="6" customFormat="false" ht="13.5" hidden="false" customHeight="false" outlineLevel="0" collapsed="false">
      <c r="A6" s="1"/>
      <c r="B6" s="5" t="n">
        <v>2001</v>
      </c>
      <c r="C6" s="5" t="n">
        <v>2001</v>
      </c>
      <c r="D6" s="5" t="n">
        <v>2001</v>
      </c>
      <c r="E6" s="5" t="n">
        <v>2001</v>
      </c>
      <c r="F6" s="5" t="n">
        <v>2001</v>
      </c>
      <c r="G6" s="5" t="n">
        <v>2001</v>
      </c>
      <c r="H6" s="5" t="n">
        <v>2001</v>
      </c>
      <c r="I6" s="5" t="n">
        <v>2001</v>
      </c>
      <c r="J6" s="5" t="n">
        <v>2001</v>
      </c>
      <c r="K6" s="5" t="n">
        <v>2001</v>
      </c>
      <c r="L6" s="5" t="n">
        <v>2001</v>
      </c>
      <c r="M6" s="5" t="n">
        <v>2001</v>
      </c>
      <c r="N6" s="6" t="s">
        <v>19</v>
      </c>
    </row>
    <row r="7" customFormat="false" ht="13.5" hidden="false" customHeight="false" outlineLevel="0" collapsed="false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"/>
    </row>
    <row r="8" customFormat="false" ht="13.5" hidden="false" customHeight="false" outlineLevel="0" collapsed="false">
      <c r="A8" s="8" t="s">
        <v>20</v>
      </c>
      <c r="B8" s="9" t="n">
        <v>309193408</v>
      </c>
      <c r="C8" s="9" t="n">
        <v>317537668</v>
      </c>
      <c r="D8" s="9" t="n">
        <v>315178975</v>
      </c>
      <c r="E8" s="2" t="n">
        <f aca="false">99717974+142409684</f>
        <v>242127658</v>
      </c>
      <c r="F8" s="2" t="n">
        <f aca="false">94010445+127465912</f>
        <v>221476357</v>
      </c>
      <c r="G8" s="2" t="n">
        <f aca="false">95714869+121832472</f>
        <v>217547341</v>
      </c>
      <c r="H8" s="2" t="n">
        <f aca="false">105210566+141925661</f>
        <v>247136227</v>
      </c>
      <c r="I8" s="2" t="n">
        <f aca="false">105057188+133818236</f>
        <v>238875424</v>
      </c>
      <c r="J8" s="2" t="n">
        <f aca="false">100624675+129935740</f>
        <v>230560415</v>
      </c>
      <c r="K8" s="2" t="n">
        <f aca="false">111774912+180360920</f>
        <v>292135832</v>
      </c>
      <c r="L8" s="2" t="n">
        <f aca="false">108387235+166754508</f>
        <v>275141743</v>
      </c>
      <c r="M8" s="2" t="n">
        <f aca="false">126175646+187281009</f>
        <v>313456655</v>
      </c>
      <c r="N8" s="2" t="n">
        <f aca="false">SUM(B8:M8)</f>
        <v>3220367703</v>
      </c>
    </row>
    <row r="9" customFormat="false" ht="13.5" hidden="false" customHeight="false" outlineLevel="0" collapsed="false">
      <c r="A9" s="8" t="s">
        <v>21</v>
      </c>
      <c r="B9" s="9" t="n">
        <v>306688625</v>
      </c>
      <c r="C9" s="9" t="n">
        <v>315452446</v>
      </c>
      <c r="D9" s="9" t="n">
        <v>312469605</v>
      </c>
      <c r="E9" s="2" t="n">
        <f aca="false">99650536+142409684</f>
        <v>242060220</v>
      </c>
      <c r="F9" s="2" t="n">
        <f aca="false">93791278+127465912</f>
        <v>221257190</v>
      </c>
      <c r="G9" s="2" t="n">
        <f aca="false">95410648+121832472</f>
        <v>217243120</v>
      </c>
      <c r="H9" s="2" t="n">
        <f aca="false">104579979+141925661</f>
        <v>246505640</v>
      </c>
      <c r="I9" s="2" t="n">
        <f aca="false">104641658+133818236</f>
        <v>238459894</v>
      </c>
      <c r="J9" s="2" t="n">
        <f aca="false">100214541+129935740</f>
        <v>230150281</v>
      </c>
      <c r="K9" s="2" t="n">
        <f aca="false">111019414+180360920</f>
        <v>291380334</v>
      </c>
      <c r="L9" s="2" t="n">
        <f aca="false">107970587+166754508</f>
        <v>274725095</v>
      </c>
      <c r="M9" s="2" t="n">
        <f aca="false">125152569+187281009</f>
        <v>312433578</v>
      </c>
      <c r="N9" s="2" t="n">
        <f aca="false">SUM(B9:M9)</f>
        <v>3208826028</v>
      </c>
    </row>
    <row r="10" customFormat="false" ht="12.75" hidden="false" customHeight="false" outlineLevel="0" collapsed="false">
      <c r="A10" s="8" t="s">
        <v>22</v>
      </c>
      <c r="B10" s="2" t="n">
        <f aca="false">+B9+B19+B20+B21</f>
        <v>308780916</v>
      </c>
      <c r="C10" s="2" t="n">
        <f aca="false">+C9+C19+C20+C21</f>
        <v>317473086</v>
      </c>
      <c r="D10" s="2" t="n">
        <f aca="false">+D9+D19+D20+D21</f>
        <v>314742495</v>
      </c>
      <c r="E10" s="2" t="n">
        <f aca="false">+E9+E19+E20+E21</f>
        <v>242060220</v>
      </c>
      <c r="F10" s="2" t="n">
        <f aca="false">+F9+F19+F20+F21</f>
        <v>221257190</v>
      </c>
      <c r="G10" s="2" t="n">
        <f aca="false">+G9+G19+G20+G21</f>
        <v>217243120</v>
      </c>
      <c r="H10" s="2" t="n">
        <f aca="false">+H9+H19+H20+H21</f>
        <v>246505640</v>
      </c>
      <c r="I10" s="2" t="n">
        <f aca="false">+I9+I19+I20+I21</f>
        <v>238459894</v>
      </c>
      <c r="J10" s="2" t="n">
        <f aca="false">+J9+J19+J20+J21</f>
        <v>230150281</v>
      </c>
      <c r="K10" s="2" t="n">
        <f aca="false">+K9+K19+K20+K21</f>
        <v>291380334</v>
      </c>
      <c r="L10" s="2" t="n">
        <f aca="false">+L9+L19+L20+L21</f>
        <v>274725095</v>
      </c>
      <c r="M10" s="2" t="n">
        <f aca="false">+M9+M19+M20+M21</f>
        <v>312433578</v>
      </c>
      <c r="N10" s="2" t="n">
        <f aca="false">SUM(B10:M10)</f>
        <v>3215211849</v>
      </c>
    </row>
    <row r="11" customFormat="false" ht="12.75" hidden="false" customHeight="false" outlineLevel="0" collapsed="false">
      <c r="A11" s="8" t="s">
        <v>23</v>
      </c>
      <c r="B11" s="2" t="n">
        <f aca="false">-B8+B10</f>
        <v>-412492</v>
      </c>
      <c r="C11" s="2" t="n">
        <f aca="false">-C8+C10</f>
        <v>-64582</v>
      </c>
      <c r="D11" s="2" t="n">
        <f aca="false">-D8+D10</f>
        <v>-436480</v>
      </c>
      <c r="E11" s="2" t="n">
        <f aca="false">-E8+E10</f>
        <v>-67438</v>
      </c>
      <c r="F11" s="2" t="n">
        <f aca="false">-F8+F10</f>
        <v>-219167</v>
      </c>
      <c r="G11" s="2" t="n">
        <f aca="false">-G8+G10</f>
        <v>-304221</v>
      </c>
      <c r="H11" s="2" t="n">
        <f aca="false">-H8+H10</f>
        <v>-630587</v>
      </c>
      <c r="I11" s="2" t="n">
        <f aca="false">-I8+I10</f>
        <v>-415530</v>
      </c>
      <c r="J11" s="2" t="n">
        <f aca="false">-J8+J10</f>
        <v>-410134</v>
      </c>
      <c r="K11" s="2" t="n">
        <f aca="false">-K8+K10</f>
        <v>-755498</v>
      </c>
      <c r="L11" s="2" t="n">
        <f aca="false">-L8+L10</f>
        <v>-416648</v>
      </c>
      <c r="M11" s="2" t="n">
        <f aca="false">-M8+M10</f>
        <v>-1023077</v>
      </c>
      <c r="N11" s="2" t="n">
        <f aca="false">SUM(B11:M11)</f>
        <v>-5155854</v>
      </c>
    </row>
    <row r="12" customFormat="false" ht="12.75" hidden="false" customHeight="false" outlineLevel="0" collapsed="false">
      <c r="A12" s="10" t="s">
        <v>24</v>
      </c>
      <c r="B12" s="11" t="n">
        <f aca="false">B11/B8</f>
        <v>-0.00133409053791988</v>
      </c>
      <c r="C12" s="11" t="n">
        <f aca="false">C11/C8</f>
        <v>-0.000203383744696393</v>
      </c>
      <c r="D12" s="11" t="n">
        <f aca="false">D11/D8</f>
        <v>-0.00138486394912605</v>
      </c>
      <c r="E12" s="11" t="n">
        <f aca="false">E11/E8</f>
        <v>-0.000278522497417457</v>
      </c>
      <c r="F12" s="11" t="n">
        <f aca="false">F11/F8</f>
        <v>-0.000989572896036032</v>
      </c>
      <c r="G12" s="11" t="n">
        <f aca="false">G11/G8</f>
        <v>-0.00139841286315699</v>
      </c>
      <c r="H12" s="11" t="n">
        <f aca="false">H11/H8</f>
        <v>-0.00255157654405722</v>
      </c>
      <c r="I12" s="11" t="n">
        <f aca="false">I11/I8</f>
        <v>-0.00173952595475037</v>
      </c>
      <c r="J12" s="11" t="n">
        <f aca="false">J11/J8</f>
        <v>-0.00177885696467019</v>
      </c>
      <c r="K12" s="11" t="n">
        <f aca="false">K11/K8</f>
        <v>-0.00258611891197243</v>
      </c>
      <c r="L12" s="11" t="n">
        <f aca="false">L11/L8</f>
        <v>-0.00151430312048289</v>
      </c>
      <c r="M12" s="11" t="n">
        <f aca="false">M11/M8</f>
        <v>-0.00326385477443444</v>
      </c>
      <c r="N12" s="11" t="n">
        <f aca="false">N11/N8</f>
        <v>-0.00160101406904465</v>
      </c>
    </row>
    <row r="13" customFormat="false" ht="12.75" hidden="false" customHeight="false" outlineLevel="0" collapsed="false">
      <c r="A13" s="8" t="s">
        <v>25</v>
      </c>
      <c r="B13" s="2" t="n">
        <f aca="false">-B8+B10</f>
        <v>-412492</v>
      </c>
      <c r="C13" s="2" t="n">
        <f aca="false">-C8+C10</f>
        <v>-64582</v>
      </c>
      <c r="D13" s="2" t="n">
        <f aca="false">-D8+D10</f>
        <v>-436480</v>
      </c>
      <c r="E13" s="2" t="n">
        <f aca="false">-E8+E10</f>
        <v>-67438</v>
      </c>
      <c r="F13" s="2" t="n">
        <f aca="false">-F8+F10</f>
        <v>-219167</v>
      </c>
      <c r="G13" s="2" t="n">
        <f aca="false">-G8+G10</f>
        <v>-304221</v>
      </c>
      <c r="H13" s="2" t="n">
        <f aca="false">-H8+H10</f>
        <v>-630587</v>
      </c>
      <c r="I13" s="2" t="n">
        <f aca="false">-I8+I10</f>
        <v>-415530</v>
      </c>
      <c r="J13" s="2" t="n">
        <f aca="false">-J8+J10</f>
        <v>-410134</v>
      </c>
      <c r="K13" s="2" t="n">
        <f aca="false">-K8+K10</f>
        <v>-755498</v>
      </c>
      <c r="L13" s="2" t="n">
        <f aca="false">-L8+L10</f>
        <v>-416648</v>
      </c>
      <c r="M13" s="2" t="n">
        <f aca="false">-M8+M10</f>
        <v>-1023077</v>
      </c>
      <c r="N13" s="2" t="n">
        <f aca="false">SUM(B13:M13)</f>
        <v>-5155854</v>
      </c>
    </row>
    <row r="14" customFormat="false" ht="12.75" hidden="false" customHeight="false" outlineLevel="0" collapsed="false">
      <c r="A14" s="10" t="s">
        <v>24</v>
      </c>
      <c r="B14" s="11" t="n">
        <f aca="false">B13/B8</f>
        <v>-0.00133409053791988</v>
      </c>
      <c r="C14" s="11" t="n">
        <f aca="false">C13/C8</f>
        <v>-0.000203383744696393</v>
      </c>
      <c r="D14" s="11" t="n">
        <f aca="false">D13/D8</f>
        <v>-0.00138486394912605</v>
      </c>
      <c r="E14" s="11" t="n">
        <f aca="false">E13/E10</f>
        <v>-0.000278600093811366</v>
      </c>
      <c r="F14" s="11" t="n">
        <f aca="false">F13/F10</f>
        <v>-0.000990553120556218</v>
      </c>
      <c r="G14" s="11" t="n">
        <f aca="false">G13/G10</f>
        <v>-0.00140037116020061</v>
      </c>
      <c r="H14" s="11" t="n">
        <f aca="false">H13/H10</f>
        <v>-0.00255810374156145</v>
      </c>
      <c r="I14" s="11" t="n">
        <f aca="false">I13/I10</f>
        <v>-0.00174255717818947</v>
      </c>
      <c r="J14" s="11" t="n">
        <f aca="false">J13/J10</f>
        <v>-0.00178202693569599</v>
      </c>
      <c r="K14" s="11" t="n">
        <f aca="false">K13/K10</f>
        <v>-0.00259282426383656</v>
      </c>
      <c r="L14" s="11" t="n">
        <f aca="false">L13/L10</f>
        <v>-0.00151659971215953</v>
      </c>
      <c r="M14" s="11" t="n">
        <f aca="false">M13/M10</f>
        <v>-0.00327454240529806</v>
      </c>
      <c r="N14" s="11" t="n">
        <f aca="false">N13/N8</f>
        <v>-0.00160101406904465</v>
      </c>
    </row>
    <row r="15" customFormat="false" ht="13.5" hidden="false" customHeight="false" outlineLevel="0" collapsed="false">
      <c r="A15" s="8"/>
      <c r="B15" s="15"/>
      <c r="C15" s="15"/>
      <c r="D15" s="15"/>
      <c r="E15" s="2"/>
      <c r="F15" s="2"/>
      <c r="G15" s="2"/>
      <c r="H15" s="2"/>
      <c r="I15" s="7"/>
      <c r="J15" s="7"/>
      <c r="K15" s="7"/>
      <c r="L15" s="7"/>
      <c r="M15" s="7"/>
      <c r="N15" s="2" t="s">
        <v>1</v>
      </c>
    </row>
    <row r="16" customFormat="false" ht="12.75" hidden="false" customHeight="false" outlineLevel="0" collapsed="false">
      <c r="A16" s="8" t="s">
        <v>26</v>
      </c>
      <c r="B16" s="2" t="n">
        <v>134189091</v>
      </c>
      <c r="C16" s="2" t="n">
        <v>123890929</v>
      </c>
      <c r="D16" s="2" t="n">
        <v>125822758</v>
      </c>
      <c r="E16" s="2" t="n">
        <v>99717974</v>
      </c>
      <c r="F16" s="2" t="n">
        <v>94010445</v>
      </c>
      <c r="G16" s="2" t="n">
        <v>95714869</v>
      </c>
      <c r="H16" s="2" t="n">
        <v>105210566</v>
      </c>
      <c r="I16" s="2" t="n">
        <v>105057188</v>
      </c>
      <c r="J16" s="2" t="n">
        <v>100624675</v>
      </c>
      <c r="K16" s="2" t="n">
        <v>111774912</v>
      </c>
      <c r="L16" s="2" t="n">
        <v>108387235</v>
      </c>
      <c r="M16" s="2" t="n">
        <v>126175646</v>
      </c>
      <c r="N16" s="2" t="n">
        <f aca="false">SUM(B16:M16)</f>
        <v>1330576288</v>
      </c>
    </row>
    <row r="17" customFormat="false" ht="12.75" hidden="false" customHeight="false" outlineLevel="0" collapsed="false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</v>
      </c>
    </row>
    <row r="18" customFormat="false" ht="12.75" hidden="false" customHeight="false" outlineLevel="0" collapsed="false">
      <c r="A18" s="8" t="s">
        <v>27</v>
      </c>
      <c r="B18" s="2" t="n">
        <v>131684308</v>
      </c>
      <c r="C18" s="2" t="n">
        <v>121805707</v>
      </c>
      <c r="D18" s="2" t="n">
        <v>123113388</v>
      </c>
      <c r="E18" s="2" t="n">
        <v>99650536</v>
      </c>
      <c r="F18" s="2" t="n">
        <v>93791278</v>
      </c>
      <c r="G18" s="2" t="n">
        <v>95410648</v>
      </c>
      <c r="H18" s="2" t="n">
        <v>104579979</v>
      </c>
      <c r="I18" s="2" t="n">
        <v>104641658</v>
      </c>
      <c r="J18" s="2" t="n">
        <v>100214541</v>
      </c>
      <c r="K18" s="2" t="n">
        <v>111019414</v>
      </c>
      <c r="L18" s="2" t="n">
        <v>107970587</v>
      </c>
      <c r="M18" s="2" t="n">
        <v>125152569</v>
      </c>
      <c r="N18" s="2" t="n">
        <f aca="false">SUM(B18:M18)</f>
        <v>1319034613</v>
      </c>
    </row>
    <row r="19" customFormat="false" ht="12.75" hidden="false" customHeight="false" outlineLevel="0" collapsed="false">
      <c r="A19" s="8" t="s">
        <v>28</v>
      </c>
      <c r="B19" s="2" t="n">
        <v>2006867</v>
      </c>
      <c r="C19" s="2" t="n">
        <v>2066188</v>
      </c>
      <c r="D19" s="2" t="n">
        <v>2079115</v>
      </c>
      <c r="E19" s="2" t="n">
        <v>0</v>
      </c>
      <c r="F19" s="2" t="n">
        <v>0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f aca="false">SUM(B19:M19)</f>
        <v>6152170</v>
      </c>
    </row>
    <row r="20" customFormat="false" ht="12.75" hidden="false" customHeight="false" outlineLevel="0" collapsed="false">
      <c r="A20" s="8" t="s">
        <v>29</v>
      </c>
      <c r="B20" s="2" t="n">
        <v>-55872</v>
      </c>
      <c r="C20" s="2" t="n">
        <v>-162298</v>
      </c>
      <c r="D20" s="2" t="n">
        <v>84655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f aca="false">SUM(B20:M20)</f>
        <v>-133515</v>
      </c>
    </row>
    <row r="21" customFormat="false" ht="12.75" hidden="false" customHeight="false" outlineLevel="0" collapsed="false">
      <c r="A21" s="8" t="s">
        <v>30</v>
      </c>
      <c r="B21" s="2" t="n">
        <v>141296</v>
      </c>
      <c r="C21" s="2" t="n">
        <v>116750</v>
      </c>
      <c r="D21" s="2" t="n">
        <v>109120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f aca="false">SUM(B21:M21)</f>
        <v>367166</v>
      </c>
    </row>
    <row r="22" customFormat="false" ht="12.75" hidden="false" customHeight="false" outlineLevel="0" collapsed="false">
      <c r="A22" s="8" t="s">
        <v>22</v>
      </c>
      <c r="B22" s="2" t="n">
        <f aca="false">SUM(B18:B21)</f>
        <v>133776599</v>
      </c>
      <c r="C22" s="2" t="n">
        <f aca="false">SUM(C18:C21)</f>
        <v>123826347</v>
      </c>
      <c r="D22" s="2" t="n">
        <f aca="false">SUM(D18:D21)</f>
        <v>125386278</v>
      </c>
      <c r="E22" s="2" t="n">
        <f aca="false">SUM(E18:E21)</f>
        <v>99650536</v>
      </c>
      <c r="F22" s="2" t="n">
        <f aca="false">SUM(F18:F21)</f>
        <v>93791278</v>
      </c>
      <c r="G22" s="2" t="n">
        <f aca="false">SUM(G18:G21)</f>
        <v>95410648</v>
      </c>
      <c r="H22" s="2" t="n">
        <f aca="false">SUM(H18:H21)</f>
        <v>104579979</v>
      </c>
      <c r="I22" s="2" t="n">
        <f aca="false">SUM(I18:I21)</f>
        <v>104641658</v>
      </c>
      <c r="J22" s="2" t="n">
        <f aca="false">SUM(J18:J21)</f>
        <v>100214541</v>
      </c>
      <c r="K22" s="2" t="n">
        <f aca="false">SUM(K18:K21)</f>
        <v>111019414</v>
      </c>
      <c r="L22" s="2" t="n">
        <f aca="false">SUM(L18:L21)</f>
        <v>107970587</v>
      </c>
      <c r="M22" s="2" t="n">
        <f aca="false">SUM(M18:M21)</f>
        <v>125152569</v>
      </c>
      <c r="N22" s="2" t="n">
        <f aca="false">SUM(B22:M22)</f>
        <v>1325420434</v>
      </c>
    </row>
    <row r="23" customFormat="false" ht="12.75" hidden="false" customHeight="false" outlineLevel="0" collapsed="false">
      <c r="A23" s="8" t="s">
        <v>33</v>
      </c>
      <c r="B23" s="2" t="n">
        <f aca="false">-B16+B22</f>
        <v>-412492</v>
      </c>
      <c r="C23" s="2" t="n">
        <f aca="false">-C16+C22</f>
        <v>-64582</v>
      </c>
      <c r="D23" s="2" t="n">
        <f aca="false">-D16+D22</f>
        <v>-436480</v>
      </c>
      <c r="E23" s="2" t="n">
        <f aca="false">-E16+E22</f>
        <v>-67438</v>
      </c>
      <c r="F23" s="2" t="n">
        <f aca="false">-F16+F22</f>
        <v>-219167</v>
      </c>
      <c r="G23" s="2" t="n">
        <f aca="false">-G16+G22</f>
        <v>-304221</v>
      </c>
      <c r="H23" s="2" t="n">
        <f aca="false">-H16+H22</f>
        <v>-630587</v>
      </c>
      <c r="I23" s="2" t="n">
        <f aca="false">-I16+I22</f>
        <v>-415530</v>
      </c>
      <c r="J23" s="2" t="n">
        <f aca="false">-J16+J22</f>
        <v>-410134</v>
      </c>
      <c r="K23" s="2" t="n">
        <f aca="false">-K16+K22</f>
        <v>-755498</v>
      </c>
      <c r="L23" s="2" t="n">
        <f aca="false">-L16+L22</f>
        <v>-416648</v>
      </c>
      <c r="M23" s="2" t="n">
        <f aca="false">-M16+M22</f>
        <v>-1023077</v>
      </c>
      <c r="N23" s="2" t="n">
        <f aca="false">SUM(B23:M23)</f>
        <v>-5155854</v>
      </c>
    </row>
    <row r="24" customFormat="false" ht="12.75" hidden="false" customHeight="false" outlineLevel="0" collapsed="false">
      <c r="A24" s="10" t="s">
        <v>24</v>
      </c>
      <c r="B24" s="11" t="n">
        <f aca="false">B23/B16</f>
        <v>-0.00307396075885185</v>
      </c>
      <c r="C24" s="11" t="n">
        <f aca="false">C23/C16</f>
        <v>-0.00052128110202483</v>
      </c>
      <c r="D24" s="11" t="n">
        <f aca="false">D23/D16</f>
        <v>-0.00346900677538796</v>
      </c>
      <c r="E24" s="11" t="n">
        <f aca="false">E23/E16</f>
        <v>-0.000676287306037726</v>
      </c>
      <c r="F24" s="11" t="n">
        <f aca="false">F23/F16</f>
        <v>-0.00233130478214415</v>
      </c>
      <c r="G24" s="11" t="n">
        <f aca="false">G23/G16</f>
        <v>-0.0031784089888897</v>
      </c>
      <c r="H24" s="11" t="n">
        <f aca="false">H23/H16</f>
        <v>-0.00599357102593669</v>
      </c>
      <c r="I24" s="11" t="n">
        <f aca="false">I23/I16</f>
        <v>-0.00395527434067624</v>
      </c>
      <c r="J24" s="11" t="n">
        <f aca="false">J23/J16</f>
        <v>-0.00407587900283902</v>
      </c>
      <c r="K24" s="11" t="n">
        <f aca="false">K23/K16</f>
        <v>-0.006759101720429</v>
      </c>
      <c r="L24" s="11" t="n">
        <f aca="false">L23/L16</f>
        <v>-0.00384406890719188</v>
      </c>
      <c r="M24" s="11" t="n">
        <f aca="false">M23/M16</f>
        <v>-0.00810835555381266</v>
      </c>
      <c r="N24" s="11" t="n">
        <f aca="false">N23/N16</f>
        <v>-0.00387490296234709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N6" activeCellId="0" sqref="N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" width="9.28"/>
    <col collapsed="false" customWidth="true" hidden="false" outlineLevel="0" max="2" min="2" style="20" width="5.99"/>
    <col collapsed="false" customWidth="true" hidden="false" outlineLevel="0" max="3" min="3" style="20" width="4.14"/>
    <col collapsed="false" customWidth="true" hidden="false" outlineLevel="0" max="4" min="4" style="21" width="28.56"/>
    <col collapsed="false" customWidth="true" hidden="false" outlineLevel="0" max="5" min="5" style="20" width="10.41"/>
    <col collapsed="false" customWidth="true" hidden="false" outlineLevel="0" max="6" min="6" style="20" width="10.85"/>
    <col collapsed="false" customWidth="true" hidden="false" outlineLevel="0" max="7" min="7" style="20" width="11.7"/>
    <col collapsed="false" customWidth="true" hidden="false" outlineLevel="0" max="8" min="8" style="20" width="10.41"/>
    <col collapsed="false" customWidth="true" hidden="false" outlineLevel="0" max="9" min="9" style="20" width="13.7"/>
    <col collapsed="false" customWidth="true" hidden="false" outlineLevel="0" max="10" min="10" style="20" width="10.56"/>
    <col collapsed="false" customWidth="true" hidden="false" outlineLevel="0" max="11" min="11" style="20" width="4.56"/>
    <col collapsed="false" customWidth="true" hidden="false" outlineLevel="0" max="12" min="12" style="20" width="7.99"/>
    <col collapsed="false" customWidth="true" hidden="false" outlineLevel="0" max="13" min="13" style="20" width="11.28"/>
    <col collapsed="false" customWidth="true" hidden="false" outlineLevel="0" max="14" min="14" style="22" width="30.99"/>
    <col collapsed="false" customWidth="false" hidden="false" outlineLevel="0" max="257" min="15" style="21" width="9.14"/>
  </cols>
  <sheetData>
    <row r="1" customFormat="false" ht="11.25" hidden="false" customHeight="false" outlineLevel="0" collapsed="false">
      <c r="A1" s="23"/>
      <c r="B1" s="23"/>
      <c r="C1" s="23"/>
      <c r="D1" s="23"/>
      <c r="E1" s="24"/>
      <c r="F1" s="25" t="s">
        <v>37</v>
      </c>
      <c r="G1" s="26"/>
      <c r="H1" s="24"/>
      <c r="I1" s="25" t="s">
        <v>38</v>
      </c>
      <c r="J1" s="26"/>
      <c r="K1" s="23" t="s">
        <v>39</v>
      </c>
      <c r="L1" s="23" t="s">
        <v>39</v>
      </c>
      <c r="M1" s="23" t="s">
        <v>39</v>
      </c>
      <c r="N1" s="27" t="s">
        <v>40</v>
      </c>
    </row>
    <row r="2" customFormat="false" ht="11.25" hidden="false" customHeight="false" outlineLevel="0" collapsed="false">
      <c r="A2" s="28" t="s">
        <v>41</v>
      </c>
      <c r="B2" s="28" t="s">
        <v>42</v>
      </c>
      <c r="C2" s="28" t="s">
        <v>43</v>
      </c>
      <c r="D2" s="28" t="s">
        <v>44</v>
      </c>
      <c r="E2" s="29" t="s">
        <v>45</v>
      </c>
      <c r="F2" s="30" t="s">
        <v>46</v>
      </c>
      <c r="G2" s="31" t="s">
        <v>47</v>
      </c>
      <c r="H2" s="29" t="s">
        <v>45</v>
      </c>
      <c r="I2" s="30" t="s">
        <v>48</v>
      </c>
      <c r="J2" s="31" t="s">
        <v>47</v>
      </c>
      <c r="K2" s="28" t="s">
        <v>49</v>
      </c>
      <c r="L2" s="28" t="s">
        <v>50</v>
      </c>
      <c r="M2" s="28" t="s">
        <v>51</v>
      </c>
      <c r="N2" s="32" t="s">
        <v>52</v>
      </c>
    </row>
    <row r="3" customFormat="false" ht="24.75" hidden="false" customHeight="true" outlineLevel="0" collapsed="false">
      <c r="A3" s="20" t="n">
        <v>961044</v>
      </c>
      <c r="B3" s="20" t="n">
        <v>0</v>
      </c>
      <c r="C3" s="20" t="s">
        <v>53</v>
      </c>
      <c r="D3" s="21" t="s">
        <v>54</v>
      </c>
      <c r="E3" s="21" t="n">
        <v>33145</v>
      </c>
      <c r="F3" s="21" t="n">
        <v>8899</v>
      </c>
      <c r="G3" s="21" t="n">
        <f aca="false">+F3-E3</f>
        <v>-24246</v>
      </c>
      <c r="H3" s="21" t="n">
        <v>34530</v>
      </c>
      <c r="I3" s="21" t="n">
        <v>9259</v>
      </c>
      <c r="J3" s="21" t="n">
        <f aca="false">+I3-H3</f>
        <v>-25271</v>
      </c>
      <c r="K3" s="21"/>
      <c r="L3" s="33" t="n">
        <v>37226</v>
      </c>
      <c r="M3" s="20" t="s">
        <v>55</v>
      </c>
      <c r="N3" s="34" t="s">
        <v>56</v>
      </c>
    </row>
    <row r="4" customFormat="false" ht="25.5" hidden="false" customHeight="true" outlineLevel="0" collapsed="false">
      <c r="A4" s="20" t="n">
        <v>820046</v>
      </c>
      <c r="B4" s="20" t="n">
        <v>62834</v>
      </c>
      <c r="C4" s="20" t="s">
        <v>53</v>
      </c>
      <c r="D4" s="21" t="s">
        <v>57</v>
      </c>
      <c r="E4" s="21" t="n">
        <v>0</v>
      </c>
      <c r="F4" s="21" t="n">
        <v>118881</v>
      </c>
      <c r="G4" s="21" t="n">
        <f aca="false">+F4-E4</f>
        <v>118881</v>
      </c>
      <c r="H4" s="21" t="n">
        <v>0</v>
      </c>
      <c r="I4" s="21" t="n">
        <v>118881</v>
      </c>
      <c r="J4" s="21" t="n">
        <f aca="false">+I4-H4</f>
        <v>118881</v>
      </c>
      <c r="K4" s="21"/>
      <c r="L4" s="33" t="n">
        <v>37226</v>
      </c>
      <c r="M4" s="20" t="s">
        <v>58</v>
      </c>
      <c r="N4" s="35" t="s">
        <v>59</v>
      </c>
    </row>
    <row r="5" customFormat="false" ht="25.5" hidden="false" customHeight="true" outlineLevel="0" collapsed="false">
      <c r="A5" s="20" t="n">
        <v>961222</v>
      </c>
      <c r="B5" s="20" t="n">
        <v>0</v>
      </c>
      <c r="C5" s="20" t="s">
        <v>53</v>
      </c>
      <c r="D5" s="21" t="s">
        <v>60</v>
      </c>
      <c r="E5" s="21" t="n">
        <v>4827</v>
      </c>
      <c r="F5" s="21" t="n">
        <v>51672</v>
      </c>
      <c r="G5" s="21" t="n">
        <f aca="false">+F5-E5</f>
        <v>46845</v>
      </c>
      <c r="H5" s="21" t="n">
        <v>4868</v>
      </c>
      <c r="I5" s="21" t="n">
        <v>52108</v>
      </c>
      <c r="J5" s="21" t="n">
        <f aca="false">+I5-H5</f>
        <v>47240</v>
      </c>
      <c r="K5" s="21"/>
      <c r="L5" s="33" t="n">
        <v>37226</v>
      </c>
      <c r="M5" s="20" t="s">
        <v>61</v>
      </c>
      <c r="N5" s="35" t="s">
        <v>62</v>
      </c>
    </row>
    <row r="6" customFormat="false" ht="25.5" hidden="false" customHeight="true" outlineLevel="0" collapsed="false">
      <c r="E6" s="21"/>
      <c r="F6" s="21"/>
      <c r="G6" s="21" t="n">
        <f aca="false">+F6-E6</f>
        <v>0</v>
      </c>
      <c r="H6" s="21"/>
      <c r="I6" s="21"/>
      <c r="J6" s="21" t="n">
        <f aca="false">+I6-H6</f>
        <v>0</v>
      </c>
      <c r="K6" s="21"/>
      <c r="L6" s="33"/>
      <c r="N6" s="35"/>
    </row>
    <row r="7" customFormat="false" ht="25.5" hidden="false" customHeight="true" outlineLevel="0" collapsed="false">
      <c r="E7" s="21"/>
      <c r="F7" s="21"/>
      <c r="G7" s="21" t="n">
        <f aca="false">+F7-E7</f>
        <v>0</v>
      </c>
      <c r="H7" s="21"/>
      <c r="I7" s="21"/>
      <c r="J7" s="21" t="n">
        <f aca="false">+I7-H7</f>
        <v>0</v>
      </c>
      <c r="K7" s="21"/>
      <c r="L7" s="33"/>
      <c r="N7" s="35"/>
    </row>
    <row r="8" customFormat="false" ht="25.5" hidden="false" customHeight="true" outlineLevel="0" collapsed="false">
      <c r="E8" s="21"/>
      <c r="F8" s="21"/>
      <c r="G8" s="21" t="n">
        <f aca="false">+F8-E8</f>
        <v>0</v>
      </c>
      <c r="H8" s="21"/>
      <c r="I8" s="21"/>
      <c r="J8" s="21" t="n">
        <f aca="false">+I8-H8</f>
        <v>0</v>
      </c>
      <c r="K8" s="21"/>
      <c r="L8" s="33"/>
      <c r="N8" s="35"/>
    </row>
    <row r="9" customFormat="false" ht="25.5" hidden="false" customHeight="true" outlineLevel="0" collapsed="false">
      <c r="E9" s="21"/>
      <c r="F9" s="21"/>
      <c r="G9" s="21" t="n">
        <f aca="false">+F9-E9</f>
        <v>0</v>
      </c>
      <c r="H9" s="21"/>
      <c r="I9" s="21"/>
      <c r="J9" s="21" t="n">
        <f aca="false">+I9-H9</f>
        <v>0</v>
      </c>
      <c r="K9" s="21"/>
      <c r="L9" s="33"/>
      <c r="N9" s="35"/>
    </row>
    <row r="10" customFormat="false" ht="25.5" hidden="false" customHeight="true" outlineLevel="0" collapsed="false">
      <c r="E10" s="21"/>
      <c r="F10" s="21"/>
      <c r="G10" s="21" t="n">
        <f aca="false">+F10-E10</f>
        <v>0</v>
      </c>
      <c r="H10" s="21"/>
      <c r="I10" s="21"/>
      <c r="J10" s="21" t="n">
        <f aca="false">+I10-H10</f>
        <v>0</v>
      </c>
      <c r="K10" s="21"/>
      <c r="L10" s="33"/>
      <c r="N10" s="35"/>
    </row>
    <row r="11" customFormat="false" ht="26.25" hidden="false" customHeight="true" outlineLevel="0" collapsed="false">
      <c r="E11" s="21"/>
      <c r="F11" s="21"/>
      <c r="G11" s="21" t="n">
        <f aca="false">+F11-E11</f>
        <v>0</v>
      </c>
      <c r="H11" s="21"/>
      <c r="I11" s="21"/>
      <c r="J11" s="21" t="n">
        <f aca="false">+I11-H11</f>
        <v>0</v>
      </c>
      <c r="K11" s="21"/>
      <c r="L11" s="33"/>
      <c r="N11" s="35"/>
    </row>
    <row r="12" customFormat="false" ht="26.25" hidden="false" customHeight="true" outlineLevel="0" collapsed="false">
      <c r="E12" s="21"/>
      <c r="F12" s="21"/>
      <c r="G12" s="21" t="n">
        <f aca="false">+F12-E12</f>
        <v>0</v>
      </c>
      <c r="H12" s="21"/>
      <c r="I12" s="21"/>
      <c r="J12" s="21" t="n">
        <f aca="false">+I12-H12</f>
        <v>0</v>
      </c>
      <c r="K12" s="21"/>
      <c r="L12" s="33"/>
      <c r="N12" s="35"/>
    </row>
    <row r="13" customFormat="false" ht="25.5" hidden="false" customHeight="true" outlineLevel="0" collapsed="false">
      <c r="E13" s="21"/>
      <c r="F13" s="21"/>
      <c r="G13" s="21" t="n">
        <f aca="false">+F13-E13</f>
        <v>0</v>
      </c>
      <c r="H13" s="21"/>
      <c r="I13" s="21"/>
      <c r="J13" s="21" t="n">
        <f aca="false">+I13-H13</f>
        <v>0</v>
      </c>
      <c r="K13" s="21"/>
      <c r="L13" s="33"/>
      <c r="N13" s="35"/>
    </row>
    <row r="14" customFormat="false" ht="32.1" hidden="false" customHeight="true" outlineLevel="0" collapsed="false">
      <c r="E14" s="21"/>
      <c r="F14" s="21"/>
      <c r="G14" s="21" t="n">
        <f aca="false">+F14-E14</f>
        <v>0</v>
      </c>
      <c r="H14" s="21"/>
      <c r="I14" s="21"/>
      <c r="J14" s="21" t="n">
        <f aca="false">+I14-H14</f>
        <v>0</v>
      </c>
      <c r="K14" s="21"/>
      <c r="L14" s="33"/>
      <c r="N14" s="34"/>
    </row>
    <row r="15" customFormat="false" ht="32.1" hidden="false" customHeight="true" outlineLevel="0" collapsed="false">
      <c r="E15" s="21"/>
      <c r="F15" s="21"/>
      <c r="G15" s="21" t="n">
        <f aca="false">+F15-E15</f>
        <v>0</v>
      </c>
      <c r="H15" s="21"/>
      <c r="I15" s="21"/>
      <c r="J15" s="21" t="n">
        <f aca="false">+I15-H15</f>
        <v>0</v>
      </c>
      <c r="K15" s="21"/>
      <c r="L15" s="33"/>
      <c r="N15" s="34"/>
    </row>
    <row r="16" customFormat="false" ht="32.1" hidden="false" customHeight="true" outlineLevel="0" collapsed="false">
      <c r="E16" s="21"/>
      <c r="F16" s="21"/>
      <c r="G16" s="21" t="n">
        <f aca="false">+F16-E16</f>
        <v>0</v>
      </c>
      <c r="H16" s="21"/>
      <c r="I16" s="21"/>
      <c r="J16" s="21" t="n">
        <f aca="false">+I16-H16</f>
        <v>0</v>
      </c>
      <c r="K16" s="21"/>
      <c r="L16" s="33"/>
    </row>
    <row r="17" customFormat="false" ht="32.1" hidden="false" customHeight="true" outlineLevel="0" collapsed="false">
      <c r="E17" s="21"/>
      <c r="F17" s="21"/>
      <c r="G17" s="21" t="n">
        <f aca="false">+F17-E17</f>
        <v>0</v>
      </c>
      <c r="H17" s="21"/>
      <c r="I17" s="21"/>
      <c r="J17" s="21" t="n">
        <f aca="false">+I17-H17</f>
        <v>0</v>
      </c>
      <c r="K17" s="21"/>
      <c r="L17" s="33"/>
      <c r="N17" s="34"/>
    </row>
    <row r="18" customFormat="false" ht="32.1" hidden="false" customHeight="true" outlineLevel="0" collapsed="false">
      <c r="E18" s="21"/>
      <c r="F18" s="21"/>
      <c r="G18" s="21" t="n">
        <f aca="false">+F18-E18</f>
        <v>0</v>
      </c>
      <c r="H18" s="21"/>
      <c r="I18" s="21"/>
      <c r="J18" s="21" t="n">
        <f aca="false">+I18-H18</f>
        <v>0</v>
      </c>
      <c r="K18" s="21"/>
      <c r="L18" s="33"/>
      <c r="N18" s="34"/>
    </row>
    <row r="19" customFormat="false" ht="32.1" hidden="false" customHeight="true" outlineLevel="0" collapsed="false">
      <c r="E19" s="21"/>
      <c r="F19" s="21"/>
      <c r="G19" s="21"/>
      <c r="H19" s="21"/>
      <c r="I19" s="21"/>
      <c r="J19" s="21"/>
      <c r="K19" s="21"/>
      <c r="L19" s="33"/>
      <c r="N19" s="34"/>
      <c r="O19" s="21" t="s">
        <v>63</v>
      </c>
    </row>
    <row r="20" customFormat="false" ht="11.25" hidden="false" customHeight="false" outlineLevel="0" collapsed="false">
      <c r="E20" s="21"/>
      <c r="F20" s="21"/>
      <c r="G20" s="21"/>
      <c r="H20" s="21"/>
      <c r="I20" s="21"/>
      <c r="J20" s="21"/>
      <c r="K20" s="21"/>
      <c r="L20" s="33"/>
      <c r="N20" s="34"/>
    </row>
    <row r="21" customFormat="false" ht="11.25" hidden="false" customHeight="false" outlineLevel="0" collapsed="false">
      <c r="E21" s="21"/>
      <c r="F21" s="21"/>
      <c r="G21" s="21"/>
      <c r="H21" s="21"/>
      <c r="I21" s="21"/>
      <c r="J21" s="21"/>
      <c r="K21" s="21"/>
      <c r="L21" s="33"/>
      <c r="N21" s="34"/>
    </row>
    <row r="22" customFormat="false" ht="11.25" hidden="false" customHeight="false" outlineLevel="0" collapsed="false">
      <c r="E22" s="21"/>
      <c r="F22" s="21"/>
      <c r="G22" s="21"/>
      <c r="H22" s="21"/>
      <c r="I22" s="21"/>
      <c r="J22" s="21"/>
      <c r="K22" s="21"/>
      <c r="L22" s="33"/>
      <c r="N22" s="34"/>
    </row>
    <row r="23" customFormat="false" ht="11.25" hidden="false" customHeight="false" outlineLevel="0" collapsed="false">
      <c r="E23" s="21"/>
      <c r="F23" s="21"/>
      <c r="G23" s="21"/>
      <c r="H23" s="21"/>
      <c r="I23" s="21"/>
      <c r="J23" s="21"/>
      <c r="K23" s="21"/>
      <c r="L23" s="33"/>
      <c r="N23" s="34"/>
    </row>
    <row r="24" customFormat="false" ht="11.25" hidden="false" customHeight="false" outlineLevel="0" collapsed="false">
      <c r="E24" s="21"/>
      <c r="F24" s="21"/>
      <c r="G24" s="21"/>
      <c r="H24" s="21"/>
      <c r="I24" s="21"/>
      <c r="J24" s="21"/>
      <c r="K24" s="21"/>
      <c r="L24" s="33"/>
      <c r="N24" s="34"/>
    </row>
    <row r="25" customFormat="false" ht="11.25" hidden="false" customHeight="false" outlineLevel="0" collapsed="false">
      <c r="E25" s="21"/>
      <c r="F25" s="21"/>
      <c r="G25" s="21"/>
      <c r="H25" s="21"/>
      <c r="I25" s="21"/>
      <c r="J25" s="21"/>
      <c r="K25" s="21"/>
      <c r="L25" s="21"/>
      <c r="N25" s="34"/>
    </row>
    <row r="26" customFormat="false" ht="11.25" hidden="false" customHeight="false" outlineLevel="0" collapsed="false">
      <c r="E26" s="21"/>
      <c r="F26" s="21"/>
      <c r="G26" s="21"/>
      <c r="H26" s="21"/>
      <c r="I26" s="21"/>
      <c r="J26" s="21"/>
      <c r="K26" s="21"/>
      <c r="L26" s="21"/>
      <c r="N26" s="34"/>
    </row>
    <row r="27" customFormat="false" ht="11.25" hidden="false" customHeight="false" outlineLevel="0" collapsed="false">
      <c r="E27" s="21"/>
      <c r="F27" s="21"/>
      <c r="G27" s="21"/>
      <c r="H27" s="21"/>
      <c r="I27" s="21"/>
      <c r="J27" s="21"/>
      <c r="K27" s="21"/>
      <c r="L27" s="21"/>
      <c r="N27" s="34"/>
    </row>
    <row r="28" customFormat="false" ht="11.25" hidden="false" customHeight="false" outlineLevel="0" collapsed="false">
      <c r="E28" s="21"/>
      <c r="F28" s="21"/>
      <c r="G28" s="21"/>
      <c r="H28" s="21"/>
      <c r="I28" s="21"/>
      <c r="J28" s="21"/>
      <c r="K28" s="21"/>
      <c r="L28" s="21"/>
      <c r="N28" s="34"/>
    </row>
    <row r="29" customFormat="false" ht="11.25" hidden="false" customHeight="false" outlineLevel="0" collapsed="false">
      <c r="E29" s="21"/>
      <c r="F29" s="21"/>
      <c r="G29" s="21"/>
      <c r="H29" s="21"/>
      <c r="I29" s="21"/>
      <c r="J29" s="21"/>
      <c r="K29" s="21"/>
      <c r="L29" s="21"/>
      <c r="N29" s="34"/>
    </row>
    <row r="30" customFormat="false" ht="11.25" hidden="false" customHeight="false" outlineLevel="0" collapsed="false">
      <c r="E30" s="21"/>
      <c r="F30" s="21"/>
      <c r="G30" s="21"/>
      <c r="H30" s="21"/>
      <c r="I30" s="21"/>
      <c r="J30" s="21"/>
      <c r="K30" s="21"/>
      <c r="L30" s="21"/>
      <c r="N30" s="34"/>
    </row>
    <row r="31" customFormat="false" ht="11.25" hidden="false" customHeight="false" outlineLevel="0" collapsed="false">
      <c r="E31" s="21"/>
      <c r="F31" s="21"/>
      <c r="G31" s="21"/>
      <c r="H31" s="21"/>
      <c r="I31" s="21"/>
      <c r="J31" s="21"/>
      <c r="K31" s="21"/>
      <c r="L31" s="21"/>
      <c r="N31" s="34"/>
    </row>
    <row r="32" customFormat="false" ht="11.25" hidden="false" customHeight="false" outlineLevel="0" collapsed="false">
      <c r="E32" s="21"/>
      <c r="F32" s="21"/>
      <c r="G32" s="21"/>
      <c r="H32" s="21"/>
      <c r="I32" s="21"/>
      <c r="J32" s="21"/>
      <c r="K32" s="21"/>
      <c r="L32" s="21"/>
      <c r="N32" s="34"/>
    </row>
    <row r="33" customFormat="false" ht="11.25" hidden="false" customHeight="false" outlineLevel="0" collapsed="false">
      <c r="E33" s="21"/>
      <c r="F33" s="21"/>
      <c r="G33" s="21"/>
      <c r="H33" s="21"/>
      <c r="I33" s="21"/>
      <c r="J33" s="21"/>
      <c r="K33" s="21"/>
      <c r="L33" s="21"/>
      <c r="N33" s="34"/>
    </row>
    <row r="34" customFormat="false" ht="11.25" hidden="false" customHeight="false" outlineLevel="0" collapsed="false">
      <c r="E34" s="21"/>
      <c r="F34" s="21"/>
      <c r="G34" s="21"/>
      <c r="H34" s="21"/>
      <c r="I34" s="21"/>
      <c r="J34" s="21"/>
      <c r="K34" s="21"/>
      <c r="L34" s="21"/>
      <c r="N34" s="34"/>
    </row>
    <row r="35" customFormat="false" ht="11.25" hidden="false" customHeight="false" outlineLevel="0" collapsed="false">
      <c r="E35" s="21"/>
      <c r="F35" s="21"/>
      <c r="G35" s="21"/>
      <c r="H35" s="21"/>
      <c r="I35" s="21"/>
      <c r="J35" s="21"/>
      <c r="K35" s="21"/>
      <c r="L35" s="21"/>
      <c r="N35" s="34"/>
    </row>
    <row r="36" customFormat="false" ht="11.25" hidden="false" customHeight="false" outlineLevel="0" collapsed="false">
      <c r="E36" s="21"/>
      <c r="F36" s="21"/>
      <c r="G36" s="36"/>
      <c r="H36" s="21"/>
      <c r="I36" s="21"/>
      <c r="J36" s="36"/>
      <c r="L36" s="37"/>
      <c r="N36" s="34"/>
    </row>
    <row r="37" customFormat="false" ht="11.25" hidden="false" customHeight="false" outlineLevel="0" collapsed="false">
      <c r="E37" s="21"/>
      <c r="F37" s="21"/>
      <c r="G37" s="36"/>
      <c r="H37" s="21"/>
      <c r="I37" s="21"/>
      <c r="J37" s="36"/>
      <c r="L37" s="37"/>
      <c r="N37" s="34"/>
    </row>
    <row r="38" customFormat="false" ht="11.25" hidden="false" customHeight="false" outlineLevel="0" collapsed="false">
      <c r="E38" s="21"/>
      <c r="F38" s="21"/>
      <c r="G38" s="36"/>
      <c r="H38" s="21"/>
      <c r="I38" s="21"/>
      <c r="J38" s="36"/>
      <c r="L38" s="37"/>
      <c r="N38" s="34"/>
    </row>
    <row r="39" customFormat="false" ht="11.25" hidden="false" customHeight="false" outlineLevel="0" collapsed="false">
      <c r="E39" s="21"/>
      <c r="F39" s="21"/>
      <c r="G39" s="36"/>
      <c r="H39" s="21"/>
      <c r="I39" s="21"/>
      <c r="J39" s="36"/>
      <c r="L39" s="37"/>
      <c r="N39" s="34"/>
    </row>
    <row r="40" customFormat="false" ht="11.25" hidden="false" customHeight="false" outlineLevel="0" collapsed="false">
      <c r="E40" s="21"/>
      <c r="F40" s="21"/>
      <c r="G40" s="36"/>
      <c r="H40" s="21"/>
      <c r="I40" s="21"/>
      <c r="J40" s="36"/>
      <c r="L40" s="37"/>
      <c r="N40" s="34"/>
    </row>
    <row r="41" customFormat="false" ht="11.25" hidden="false" customHeight="false" outlineLevel="0" collapsed="false">
      <c r="E41" s="21"/>
      <c r="F41" s="21"/>
      <c r="G41" s="36"/>
      <c r="H41" s="21"/>
      <c r="I41" s="21"/>
      <c r="J41" s="36"/>
      <c r="L41" s="37"/>
      <c r="N41" s="34"/>
    </row>
    <row r="42" customFormat="false" ht="11.25" hidden="false" customHeight="false" outlineLevel="0" collapsed="false">
      <c r="E42" s="36"/>
      <c r="F42" s="36"/>
      <c r="G42" s="36"/>
      <c r="H42" s="36"/>
      <c r="I42" s="36"/>
      <c r="J42" s="36"/>
      <c r="K42" s="21"/>
      <c r="L42" s="33"/>
      <c r="N42" s="35"/>
    </row>
    <row r="43" customFormat="false" ht="11.25" hidden="false" customHeight="false" outlineLevel="0" collapsed="false">
      <c r="E43" s="38"/>
      <c r="F43" s="38"/>
      <c r="G43" s="36"/>
      <c r="H43" s="38"/>
      <c r="I43" s="38"/>
      <c r="J43" s="36"/>
      <c r="K43" s="21"/>
      <c r="L43" s="33"/>
      <c r="N43" s="35"/>
    </row>
    <row r="44" customFormat="false" ht="11.25" hidden="false" customHeight="false" outlineLevel="0" collapsed="false">
      <c r="E44" s="38"/>
      <c r="F44" s="38"/>
      <c r="G44" s="36"/>
      <c r="H44" s="38"/>
      <c r="I44" s="38"/>
      <c r="J44" s="36"/>
      <c r="K44" s="21"/>
      <c r="L44" s="33"/>
      <c r="N44" s="35"/>
    </row>
    <row r="45" customFormat="false" ht="11.25" hidden="false" customHeight="false" outlineLevel="0" collapsed="false">
      <c r="E45" s="38"/>
      <c r="F45" s="38"/>
      <c r="G45" s="36"/>
      <c r="H45" s="38"/>
      <c r="I45" s="38"/>
      <c r="J45" s="36"/>
      <c r="K45" s="21"/>
      <c r="L45" s="33"/>
      <c r="N45" s="35"/>
    </row>
    <row r="46" customFormat="false" ht="11.25" hidden="false" customHeight="false" outlineLevel="0" collapsed="false">
      <c r="E46" s="38"/>
      <c r="F46" s="38"/>
      <c r="G46" s="36"/>
      <c r="H46" s="38"/>
      <c r="I46" s="38"/>
      <c r="J46" s="36"/>
      <c r="K46" s="21"/>
      <c r="L46" s="33"/>
      <c r="N46" s="35"/>
    </row>
    <row r="47" customFormat="false" ht="11.25" hidden="false" customHeight="false" outlineLevel="0" collapsed="false">
      <c r="E47" s="38"/>
      <c r="F47" s="38"/>
      <c r="G47" s="36"/>
      <c r="H47" s="38"/>
      <c r="I47" s="38"/>
      <c r="J47" s="36"/>
      <c r="K47" s="21"/>
      <c r="L47" s="33"/>
      <c r="N47" s="35"/>
    </row>
    <row r="48" customFormat="false" ht="11.25" hidden="false" customHeight="false" outlineLevel="0" collapsed="false">
      <c r="E48" s="38"/>
      <c r="F48" s="38"/>
      <c r="G48" s="36"/>
      <c r="H48" s="38"/>
      <c r="I48" s="38"/>
      <c r="J48" s="36"/>
      <c r="K48" s="21"/>
      <c r="L48" s="33"/>
      <c r="N48" s="35"/>
    </row>
    <row r="49" customFormat="false" ht="11.25" hidden="false" customHeight="false" outlineLevel="0" collapsed="false">
      <c r="E49" s="38"/>
      <c r="F49" s="38"/>
      <c r="G49" s="36"/>
      <c r="H49" s="38"/>
      <c r="I49" s="38"/>
      <c r="J49" s="36"/>
      <c r="K49" s="21"/>
      <c r="L49" s="33"/>
      <c r="N49" s="35"/>
    </row>
    <row r="50" customFormat="false" ht="11.25" hidden="false" customHeight="false" outlineLevel="0" collapsed="false">
      <c r="E50" s="38"/>
      <c r="F50" s="38"/>
      <c r="G50" s="36"/>
      <c r="H50" s="38"/>
      <c r="I50" s="38"/>
      <c r="J50" s="36"/>
      <c r="K50" s="21"/>
      <c r="L50" s="33"/>
      <c r="N50" s="35"/>
    </row>
    <row r="51" customFormat="false" ht="11.25" hidden="false" customHeight="false" outlineLevel="0" collapsed="false">
      <c r="E51" s="21"/>
      <c r="F51" s="21"/>
      <c r="G51" s="36"/>
      <c r="H51" s="21"/>
      <c r="I51" s="21"/>
      <c r="J51" s="36"/>
      <c r="K51" s="21"/>
      <c r="L51" s="33"/>
      <c r="N51" s="35"/>
    </row>
    <row r="52" customFormat="false" ht="11.25" hidden="false" customHeight="false" outlineLevel="0" collapsed="false">
      <c r="E52" s="21"/>
      <c r="F52" s="21"/>
      <c r="G52" s="36"/>
      <c r="H52" s="21"/>
      <c r="I52" s="21"/>
      <c r="J52" s="36"/>
      <c r="K52" s="21"/>
      <c r="L52" s="33"/>
      <c r="N52" s="35"/>
    </row>
    <row r="53" customFormat="false" ht="11.25" hidden="false" customHeight="false" outlineLevel="0" collapsed="false">
      <c r="E53" s="21"/>
      <c r="F53" s="21"/>
      <c r="G53" s="36"/>
      <c r="H53" s="21"/>
      <c r="I53" s="21"/>
      <c r="J53" s="36"/>
      <c r="K53" s="21"/>
      <c r="L53" s="33"/>
      <c r="M53" s="37"/>
      <c r="N53" s="35"/>
    </row>
    <row r="54" customFormat="false" ht="11.25" hidden="false" customHeight="false" outlineLevel="0" collapsed="false">
      <c r="D54" s="39"/>
      <c r="E54" s="21"/>
      <c r="F54" s="21"/>
      <c r="G54" s="36"/>
      <c r="H54" s="21"/>
      <c r="I54" s="21"/>
      <c r="J54" s="36"/>
      <c r="K54" s="21"/>
      <c r="L54" s="33"/>
      <c r="N54" s="34"/>
    </row>
    <row r="55" customFormat="false" ht="11.25" hidden="false" customHeight="false" outlineLevel="0" collapsed="false">
      <c r="E55" s="21"/>
      <c r="F55" s="21"/>
      <c r="G55" s="21"/>
      <c r="H55" s="21"/>
      <c r="I55" s="21"/>
      <c r="J55" s="21"/>
      <c r="K55" s="21"/>
      <c r="L55" s="21"/>
      <c r="N55" s="34"/>
    </row>
    <row r="56" customFormat="false" ht="11.25" hidden="false" customHeight="false" outlineLevel="0" collapsed="false">
      <c r="E56" s="21"/>
      <c r="F56" s="21"/>
      <c r="G56" s="21"/>
      <c r="H56" s="21"/>
      <c r="I56" s="21"/>
      <c r="J56" s="21"/>
      <c r="K56" s="21"/>
      <c r="L56" s="21"/>
      <c r="N56" s="34"/>
    </row>
    <row r="57" customFormat="false" ht="11.25" hidden="false" customHeight="false" outlineLevel="0" collapsed="false">
      <c r="E57" s="21"/>
      <c r="F57" s="21"/>
      <c r="G57" s="21"/>
      <c r="H57" s="21"/>
      <c r="I57" s="21"/>
      <c r="J57" s="21"/>
      <c r="K57" s="21"/>
      <c r="L57" s="21"/>
      <c r="N57" s="34"/>
    </row>
    <row r="58" customFormat="false" ht="11.25" hidden="false" customHeight="false" outlineLevel="0" collapsed="false">
      <c r="E58" s="21"/>
      <c r="F58" s="21"/>
      <c r="G58" s="21"/>
      <c r="H58" s="21"/>
      <c r="I58" s="21"/>
      <c r="J58" s="21"/>
      <c r="K58" s="21"/>
      <c r="L58" s="21"/>
      <c r="N58" s="34"/>
    </row>
    <row r="59" customFormat="false" ht="11.25" hidden="false" customHeight="false" outlineLevel="0" collapsed="false">
      <c r="E59" s="21"/>
      <c r="F59" s="21"/>
      <c r="G59" s="21"/>
      <c r="H59" s="21"/>
      <c r="I59" s="21"/>
      <c r="J59" s="21"/>
      <c r="K59" s="21"/>
      <c r="L59" s="21"/>
      <c r="N59" s="34"/>
    </row>
    <row r="60" customFormat="false" ht="11.25" hidden="false" customHeight="false" outlineLevel="0" collapsed="false">
      <c r="E60" s="21"/>
      <c r="F60" s="21"/>
      <c r="G60" s="21"/>
      <c r="H60" s="21"/>
      <c r="I60" s="21"/>
      <c r="J60" s="21"/>
      <c r="K60" s="21"/>
      <c r="L60" s="21"/>
      <c r="N60" s="34"/>
    </row>
    <row r="61" customFormat="false" ht="11.25" hidden="false" customHeight="false" outlineLevel="0" collapsed="false">
      <c r="E61" s="21"/>
      <c r="F61" s="21"/>
      <c r="G61" s="21"/>
      <c r="H61" s="21"/>
      <c r="I61" s="21"/>
      <c r="J61" s="21"/>
      <c r="K61" s="21"/>
      <c r="L61" s="21"/>
      <c r="N61" s="34"/>
    </row>
    <row r="62" customFormat="false" ht="11.25" hidden="false" customHeight="false" outlineLevel="0" collapsed="false">
      <c r="E62" s="21"/>
      <c r="F62" s="21"/>
      <c r="G62" s="21"/>
      <c r="H62" s="21"/>
      <c r="I62" s="21"/>
      <c r="J62" s="21"/>
      <c r="K62" s="21"/>
      <c r="L62" s="21"/>
      <c r="N62" s="34"/>
    </row>
    <row r="63" customFormat="false" ht="11.25" hidden="false" customHeight="false" outlineLevel="0" collapsed="false">
      <c r="E63" s="21"/>
      <c r="F63" s="21"/>
      <c r="G63" s="21"/>
      <c r="H63" s="21"/>
      <c r="I63" s="21"/>
      <c r="J63" s="21"/>
      <c r="K63" s="21"/>
      <c r="L63" s="21"/>
      <c r="N63" s="34"/>
    </row>
    <row r="64" customFormat="false" ht="11.25" hidden="false" customHeight="false" outlineLevel="0" collapsed="false">
      <c r="E64" s="21"/>
      <c r="F64" s="21"/>
      <c r="G64" s="21"/>
      <c r="H64" s="21"/>
      <c r="I64" s="21"/>
      <c r="J64" s="21"/>
      <c r="K64" s="21"/>
      <c r="L64" s="21"/>
      <c r="N64" s="34"/>
    </row>
    <row r="65" customFormat="false" ht="11.25" hidden="false" customHeight="false" outlineLevel="0" collapsed="false">
      <c r="E65" s="21"/>
      <c r="F65" s="21"/>
      <c r="G65" s="21"/>
      <c r="H65" s="21"/>
      <c r="I65" s="21"/>
      <c r="J65" s="21"/>
      <c r="K65" s="21"/>
      <c r="L65" s="21"/>
      <c r="N65" s="34"/>
    </row>
    <row r="66" customFormat="false" ht="11.25" hidden="false" customHeight="false" outlineLevel="0" collapsed="false">
      <c r="E66" s="21"/>
      <c r="F66" s="21"/>
      <c r="G66" s="21"/>
      <c r="H66" s="21"/>
      <c r="I66" s="21"/>
      <c r="J66" s="21"/>
      <c r="K66" s="21"/>
      <c r="L66" s="21"/>
      <c r="N66" s="34"/>
    </row>
    <row r="67" customFormat="false" ht="11.25" hidden="false" customHeight="false" outlineLevel="0" collapsed="false">
      <c r="E67" s="21"/>
      <c r="F67" s="21"/>
      <c r="G67" s="21"/>
      <c r="H67" s="21"/>
      <c r="I67" s="21"/>
      <c r="J67" s="21"/>
      <c r="K67" s="21"/>
      <c r="L67" s="21"/>
      <c r="N67" s="34"/>
    </row>
    <row r="68" customFormat="false" ht="11.25" hidden="false" customHeight="false" outlineLevel="0" collapsed="false">
      <c r="E68" s="21"/>
      <c r="F68" s="21"/>
      <c r="G68" s="21"/>
      <c r="H68" s="21"/>
      <c r="I68" s="21"/>
      <c r="J68" s="21"/>
      <c r="K68" s="21"/>
      <c r="L68" s="21"/>
      <c r="N68" s="34"/>
    </row>
    <row r="69" customFormat="false" ht="11.25" hidden="false" customHeight="false" outlineLevel="0" collapsed="false">
      <c r="E69" s="21"/>
      <c r="F69" s="21"/>
      <c r="G69" s="21"/>
      <c r="H69" s="21"/>
      <c r="I69" s="21"/>
      <c r="J69" s="21"/>
      <c r="K69" s="21"/>
      <c r="L69" s="21"/>
      <c r="N69" s="34"/>
    </row>
    <row r="70" customFormat="false" ht="11.25" hidden="false" customHeight="false" outlineLevel="0" collapsed="false">
      <c r="E70" s="21"/>
      <c r="F70" s="21"/>
      <c r="G70" s="21"/>
      <c r="H70" s="21"/>
      <c r="I70" s="21"/>
      <c r="J70" s="21"/>
      <c r="K70" s="21"/>
      <c r="L70" s="21"/>
      <c r="N70" s="34"/>
    </row>
    <row r="71" customFormat="false" ht="11.25" hidden="false" customHeight="false" outlineLevel="0" collapsed="false">
      <c r="E71" s="21"/>
      <c r="F71" s="21"/>
      <c r="G71" s="21"/>
      <c r="H71" s="21"/>
      <c r="I71" s="21"/>
      <c r="J71" s="21"/>
      <c r="K71" s="21"/>
      <c r="L71" s="21"/>
      <c r="N71" s="34"/>
    </row>
    <row r="72" customFormat="false" ht="11.25" hidden="false" customHeight="false" outlineLevel="0" collapsed="false">
      <c r="E72" s="21"/>
      <c r="F72" s="21"/>
      <c r="G72" s="21"/>
      <c r="H72" s="21"/>
      <c r="I72" s="21"/>
      <c r="J72" s="21"/>
      <c r="K72" s="21"/>
      <c r="L72" s="21"/>
      <c r="N72" s="34"/>
    </row>
    <row r="73" customFormat="false" ht="11.25" hidden="false" customHeight="false" outlineLevel="0" collapsed="false">
      <c r="E73" s="21"/>
      <c r="F73" s="21"/>
      <c r="G73" s="21"/>
      <c r="H73" s="21"/>
      <c r="I73" s="21"/>
      <c r="J73" s="21"/>
      <c r="K73" s="21"/>
      <c r="L73" s="21"/>
      <c r="N73" s="34"/>
    </row>
    <row r="74" customFormat="false" ht="11.25" hidden="false" customHeight="false" outlineLevel="0" collapsed="false">
      <c r="E74" s="21"/>
      <c r="F74" s="21"/>
      <c r="G74" s="21"/>
      <c r="H74" s="21"/>
      <c r="I74" s="21"/>
      <c r="J74" s="21"/>
      <c r="K74" s="21"/>
      <c r="L74" s="21"/>
      <c r="N74" s="34"/>
    </row>
    <row r="75" customFormat="false" ht="11.25" hidden="false" customHeight="false" outlineLevel="0" collapsed="false">
      <c r="E75" s="21"/>
      <c r="F75" s="21"/>
      <c r="G75" s="21"/>
      <c r="H75" s="21"/>
      <c r="I75" s="21"/>
      <c r="J75" s="21"/>
      <c r="K75" s="21"/>
      <c r="L75" s="21"/>
      <c r="N75" s="34"/>
    </row>
    <row r="76" customFormat="false" ht="11.25" hidden="false" customHeight="false" outlineLevel="0" collapsed="false">
      <c r="E76" s="21"/>
      <c r="F76" s="21"/>
      <c r="G76" s="21"/>
      <c r="H76" s="21"/>
      <c r="I76" s="21"/>
      <c r="J76" s="21"/>
      <c r="K76" s="21"/>
      <c r="L76" s="21"/>
      <c r="N76" s="34"/>
    </row>
    <row r="77" customFormat="false" ht="11.25" hidden="false" customHeight="false" outlineLevel="0" collapsed="false">
      <c r="E77" s="21"/>
      <c r="F77" s="21"/>
      <c r="G77" s="21"/>
      <c r="H77" s="21"/>
      <c r="I77" s="21"/>
      <c r="J77" s="21"/>
      <c r="K77" s="21"/>
      <c r="L77" s="21"/>
      <c r="N77" s="34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Italic"&amp;12NNG Corrections Over 25,000 DTH</oddHeader>
    <oddFooter>&amp;L&amp;F&amp;CPage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1996-11-20T10:56:29Z</dcterms:created>
  <dc:creator>Denise Czaplewski</dc:creator>
  <dc:description/>
  <dc:language>en-US</dc:language>
  <cp:lastModifiedBy>rpanzer</cp:lastModifiedBy>
  <cp:lastPrinted>2002-01-24T19:33:19Z</cp:lastPrinted>
  <dcterms:modified xsi:type="dcterms:W3CDTF">2002-01-29T22:54:38Z</dcterms:modified>
  <cp:revision>0</cp:revision>
  <dc:subject>12-Month Recap</dc:subject>
  <dc:title>NNG Pipeline Balance Report</dc:title>
</cp:coreProperties>
</file>