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<sst xmlns="http://schemas.openxmlformats.org/spreadsheetml/2006/main" count="373" uniqueCount="159">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</sst>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36888</v>
      </c>
      <c r="D5" s="10" t="s">
        <v>3</v>
      </c>
      <c r="E5" s="11" t="n">
        <f aca="false">+C5-1</f>
        <v>36887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-211332699</v>
      </c>
      <c r="D12" s="15" t="n">
        <v>0</v>
      </c>
      <c r="E12" s="15" t="n">
        <f aca="false">+C12-D12</f>
        <v>-211332699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7890832.80000001</v>
      </c>
      <c r="D13" s="16" t="n">
        <f aca="false">+D15-D12</f>
        <v>0</v>
      </c>
      <c r="E13" s="16" t="n">
        <f aca="false">+E15-E12</f>
        <v>7890832.80000001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-203441866.2</v>
      </c>
      <c r="D15" s="17" t="n">
        <v>0</v>
      </c>
      <c r="E15" s="17" t="n">
        <f aca="false">+C15-D15</f>
        <v>-203441866.2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IF(+'Credit Analysis'!C55&gt;0,+'Credit Analysis'!C55,0)</f>
        <v>0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13847811.6814711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87522178.5728267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90</v>
      </c>
      <c r="H4" s="65" t="n">
        <f aca="false">'Hawaii Summary'!K6</f>
        <v>4001925.26416667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9.438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79828491.6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79828491.6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91524103.8369933</v>
      </c>
      <c r="C11" s="15" t="n">
        <f aca="false">B11</f>
        <v>91524103.8369933</v>
      </c>
      <c r="E11" s="0" t="s">
        <v>124</v>
      </c>
      <c r="G11" s="75" t="n">
        <f aca="false">D4+H4</f>
        <v>91524103.8369933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-11695612.2369933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79828491.6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87522178.5728267</v>
      </c>
      <c r="C14" s="15" t="n">
        <f aca="false">B14</f>
        <v>87522178.5728267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79828491.6</v>
      </c>
      <c r="C15" s="15" t="n">
        <f aca="false">C10-E4+C12</f>
        <v>173668054</v>
      </c>
      <c r="F15" s="56"/>
      <c r="G15" s="56" t="n">
        <f aca="false">-F14+F13</f>
        <v>-97793708.4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-7693686.97282666</v>
      </c>
      <c r="C16" s="76" t="n">
        <f aca="false">C15-C14</f>
        <v>86145875.4271733</v>
      </c>
      <c r="D16" s="77" t="s">
        <v>129</v>
      </c>
      <c r="F16" s="56"/>
      <c r="G16" s="59" t="n">
        <f aca="false">G12-G15</f>
        <v>86098096.1630067</v>
      </c>
      <c r="H16" s="56" t="n">
        <f aca="false">C16-G16</f>
        <v>47779.2641666681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93839562.4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86145875.4271733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36888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0</v>
      </c>
      <c r="F2" s="0"/>
      <c r="G2" s="65" t="s">
        <v>112</v>
      </c>
      <c r="H2" s="54" t="n">
        <f aca="false">VLOOKUP(H1,C_Debt,1)</f>
        <v>36888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0</v>
      </c>
      <c r="F4" s="65" t="n">
        <f aca="false">VLOOKUP($H$1+30,C_Debt,5)</f>
        <v>190680.29225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0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29111495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900355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4" t="n">
        <f aca="false">K9*$K$4/12</f>
        <v>11254.4375</v>
      </c>
      <c r="M9" s="44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4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4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4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4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4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4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4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4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4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4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4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4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4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4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4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4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4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4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4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4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4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4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4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4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4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4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4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4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4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4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4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4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4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4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4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4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4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4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4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29111495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122</v>
      </c>
      <c r="H4" s="15" t="n">
        <f aca="false">'Hawaii Summary'!K7</f>
        <v>900355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9.438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26341458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26341458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30011850</v>
      </c>
      <c r="C11" s="15" t="n">
        <f aca="false">B11</f>
        <v>30011850</v>
      </c>
      <c r="E11" s="0" t="s">
        <v>124</v>
      </c>
      <c r="G11" s="75" t="n">
        <f aca="false">D4+H4</f>
        <v>30011850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-3670392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26341458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29111495</v>
      </c>
      <c r="C14" s="15" t="n">
        <f aca="false">B14</f>
        <v>29111495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26341458</v>
      </c>
      <c r="C15" s="15" t="n">
        <f aca="false">C10-E4+C12</f>
        <v>57710645</v>
      </c>
      <c r="F15" s="56"/>
      <c r="G15" s="56" t="n">
        <f aca="false">-F14+F13</f>
        <v>-32269542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-2770037</v>
      </c>
      <c r="C16" s="76" t="n">
        <f aca="false">C15-C14</f>
        <v>28599150</v>
      </c>
      <c r="D16" s="77" t="s">
        <v>129</v>
      </c>
      <c r="F16" s="56"/>
      <c r="G16" s="59" t="n">
        <f aca="false">G12-G15</f>
        <v>28599150</v>
      </c>
      <c r="H16" s="56" t="n">
        <f aca="false">C16-G16</f>
        <v>0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31369187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28599150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5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5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4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4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4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4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4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4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4"/>
    </row>
    <row r="43" customFormat="false" ht="12.75" hidden="false" customHeight="false" outlineLevel="0" collapsed="false">
      <c r="C43" s="0" t="s">
        <v>59</v>
      </c>
      <c r="E43" s="44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4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4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4" t="n">
        <f aca="false">E51-E52</f>
        <v>98953996.3866225</v>
      </c>
    </row>
    <row r="54" customFormat="false" ht="12.75" hidden="false" customHeight="false" outlineLevel="0" collapsed="false">
      <c r="C54" s="52"/>
      <c r="E54" s="44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36888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v>9.438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36888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227623796.4</v>
      </c>
      <c r="D14" s="0" t="s">
        <v>30</v>
      </c>
      <c r="E14" s="40" t="n">
        <f aca="false">'50 NP'!J3</f>
        <v>51010416.6666667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10699060.5277778</v>
      </c>
      <c r="D15" s="0" t="s">
        <v>33</v>
      </c>
      <c r="E15" s="40" t="n">
        <f aca="false">'Hawaii Summary'!C18</f>
        <v>203441866.2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22762.37964</v>
      </c>
    </row>
    <row r="17" customFormat="false" ht="12.75" hidden="false" customHeight="false" outlineLevel="0" collapsed="false">
      <c r="D17" s="0" t="s">
        <v>36</v>
      </c>
      <c r="E17" s="40" t="n">
        <f aca="false">IF(E21&gt;30000000,30000000,IF(E21&lt;0,0,+E21))</f>
        <v>13847811.6814712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0</v>
      </c>
    </row>
    <row r="19" customFormat="false" ht="13.5" hidden="false" customHeight="false" outlineLevel="0" collapsed="false">
      <c r="B19" s="41" t="n">
        <f aca="false">SUM(B13:B18)</f>
        <v>268322856.927778</v>
      </c>
      <c r="E19" s="42" t="n">
        <f aca="false">SUM(E13:E18)</f>
        <v>268322856.927778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E21" s="44" t="n">
        <f aca="false">+B19-E13-E14-E15-E16</f>
        <v>13847811.6814712</v>
      </c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5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-278850003.6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-203441866.2</v>
      </c>
    </row>
    <row r="28" customFormat="false" ht="12.75" hidden="false" customHeight="false" outlineLevel="0" collapsed="false">
      <c r="A28" s="0" t="s">
        <v>45</v>
      </c>
      <c r="C28" s="45" t="n">
        <f aca="false">'50 NR'!K4-'258 NP'!J4-'50 NP'!J4</f>
        <v>-812356.138888889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13870574.0611112</v>
      </c>
    </row>
    <row r="30" customFormat="false" ht="12.75" hidden="false" customHeight="false" outlineLevel="0" collapsed="false">
      <c r="A30" s="0" t="s">
        <v>47</v>
      </c>
      <c r="C30" s="40" t="n">
        <f aca="false">E18</f>
        <v>0</v>
      </c>
    </row>
    <row r="31" customFormat="false" ht="12.75" hidden="false" customHeight="false" outlineLevel="0" collapsed="false">
      <c r="A31" s="0" t="s">
        <v>48</v>
      </c>
      <c r="C31" s="40" t="n">
        <f aca="false">E17</f>
        <v>13847811.6814712</v>
      </c>
    </row>
    <row r="32" customFormat="false" ht="12.75" hidden="false" customHeight="false" outlineLevel="0" collapsed="false">
      <c r="A32" s="0" t="s">
        <v>49</v>
      </c>
      <c r="C32" s="45" t="n">
        <f aca="false">E16</f>
        <v>22762.37964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7.38873495720327E-009</v>
      </c>
      <c r="D33" s="46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268322856.927778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51010416.6666667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22762.37964</v>
      </c>
    </row>
    <row r="41" customFormat="false" ht="12.75" hidden="false" customHeight="false" outlineLevel="0" collapsed="false">
      <c r="A41" s="0" t="s">
        <v>57</v>
      </c>
      <c r="C41" s="45" t="n">
        <f aca="false">E15-B16</f>
        <v>203441866.2</v>
      </c>
    </row>
    <row r="42" customFormat="false" ht="13.5" hidden="false" customHeight="false" outlineLevel="0" collapsed="false">
      <c r="C42" s="42" t="n">
        <f aca="false">C36-SUM(C38:C41)</f>
        <v>13847811.6814711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4" t="n">
        <f aca="false">+E19</f>
        <v>268322856.927778</v>
      </c>
    </row>
    <row r="46" customFormat="false" ht="12.75" hidden="false" customHeight="false" outlineLevel="0" collapsed="false">
      <c r="A46" s="0" t="s">
        <v>60</v>
      </c>
      <c r="C46" s="44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13870574.0611112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255452282.866667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7714658.94257333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13870574.0611112</v>
      </c>
    </row>
    <row r="52" customFormat="false" ht="12.75" hidden="false" customHeight="false" outlineLevel="0" collapsed="false">
      <c r="A52" s="0" t="s">
        <v>66</v>
      </c>
      <c r="C52" s="44" t="n">
        <f aca="false">C51-C50</f>
        <v>6155915.11853782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203838248.958206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4" t="n">
        <f aca="false">C53-C54</f>
        <v>-174338151.041794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36888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198060.527777778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97</v>
      </c>
      <c r="K3" s="59" t="n">
        <f aca="false">K1+K2</f>
        <v>10699060.5277778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198060.527777778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36888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97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36888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1010416.66666667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97</v>
      </c>
      <c r="J3" s="59" t="n">
        <f aca="false">J1+J2</f>
        <v>51010416.6666667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1010416.66666667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36888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18133935.1916667</v>
      </c>
      <c r="H5" s="15" t="n">
        <v>1976250</v>
      </c>
      <c r="I5" s="28" t="n">
        <v>0.15</v>
      </c>
      <c r="J5" s="40" t="n">
        <f aca="false">B2-B5</f>
        <v>272</v>
      </c>
      <c r="K5" s="0" t="n">
        <f aca="false">'A Amort'!N5</f>
        <v>1999306.25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87522178.5728267</v>
      </c>
      <c r="H6" s="15" t="n">
        <v>3954146</v>
      </c>
      <c r="I6" s="28" t="n">
        <v>0.15</v>
      </c>
      <c r="J6" s="40" t="n">
        <f aca="false">B2-B6</f>
        <v>90</v>
      </c>
      <c r="K6" s="65" t="n">
        <f aca="false">'B_D Amort'!N5</f>
        <v>4001925.26416667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29111495</v>
      </c>
      <c r="H7" s="15" t="n">
        <v>900355</v>
      </c>
      <c r="I7" s="28" t="n">
        <v>0.15</v>
      </c>
      <c r="J7" s="40" t="n">
        <f aca="false">B2-B7</f>
        <v>122</v>
      </c>
      <c r="K7" s="65" t="n">
        <f aca="false">'C Amort'!N5</f>
        <v>900355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134767608.764493</v>
      </c>
      <c r="H8" s="42" t="n">
        <f aca="false">SUM(H5:H7)</f>
        <v>6830751</v>
      </c>
      <c r="K8" s="42" t="n">
        <f aca="false">SUM(K5:K7)</f>
        <v>6901586.51416667</v>
      </c>
    </row>
    <row r="9" customFormat="false" ht="13.5" hidden="false" customHeight="false" outlineLevel="0" collapsed="false">
      <c r="C9" s="44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9.438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78233116.8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93839562.4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31369187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203441866.2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36888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28</v>
      </c>
      <c r="F2" s="0"/>
      <c r="G2" s="65" t="s">
        <v>112</v>
      </c>
      <c r="H2" s="54" t="n">
        <f aca="false">VLOOKUP(H1,A_Debt,1)</f>
        <v>36860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110185.191666667</v>
      </c>
      <c r="F4" s="65" t="n">
        <f aca="false">VLOOKUP($H$1+30,A_Debt,5)</f>
        <v>118055.5625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23056.25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18133935.1916667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1999306.25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4" t="n">
        <f aca="false">K9*$K$4/12</f>
        <v>24703.125</v>
      </c>
      <c r="M9" s="44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4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4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4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4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4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4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4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4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4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4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4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4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4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4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4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4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4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4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4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4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4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4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4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4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4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4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4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4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4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4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4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4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4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4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4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4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4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4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4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4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4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4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4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4" t="n">
        <f aca="false">K53*$K$4/12</f>
        <v>24703.125</v>
      </c>
      <c r="M53" s="44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18133935.1916667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272</v>
      </c>
      <c r="H4" s="15" t="n">
        <f aca="false">'Hawaii Summary'!K5</f>
        <v>1999306.25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9.438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63861283.2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63861283.2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20133241.4416667</v>
      </c>
      <c r="C11" s="15" t="n">
        <f aca="false">B11</f>
        <v>20133241.4416667</v>
      </c>
      <c r="E11" s="0" t="s">
        <v>124</v>
      </c>
      <c r="G11" s="75" t="n">
        <f aca="false">D4+H4</f>
        <v>20133241.4416667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43728041.7583333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63861283.2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18133935.1916667</v>
      </c>
      <c r="C14" s="15" t="n">
        <f aca="false">B14</f>
        <v>18133935.1916667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61885033.2</v>
      </c>
      <c r="C15" s="15" t="n">
        <f aca="false">C10-E4+C12</f>
        <v>140118150</v>
      </c>
      <c r="F15" s="56"/>
      <c r="G15" s="56" t="n">
        <f aca="false">-F14+F13</f>
        <v>-78233116.8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43751098.0083333</v>
      </c>
      <c r="C16" s="76" t="n">
        <f aca="false">C15-C14</f>
        <v>121984214.808333</v>
      </c>
      <c r="D16" s="77" t="s">
        <v>129</v>
      </c>
      <c r="F16" s="56"/>
      <c r="G16" s="59" t="n">
        <f aca="false">G12-G15</f>
        <v>121961158.558333</v>
      </c>
      <c r="H16" s="56" t="n">
        <f aca="false">C16-G16</f>
        <v>23056.25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78233116.8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121984214.808333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36888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29</v>
      </c>
      <c r="F2" s="0"/>
      <c r="G2" s="65" t="s">
        <v>112</v>
      </c>
      <c r="H2" s="54" t="n">
        <f aca="false">VLOOKUP(H1,BD_Debt,1)</f>
        <v>36859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550674.572826667</v>
      </c>
      <c r="F4" s="65" t="n">
        <f aca="false">VLOOKUP($H$1+30,BD_Debt,5)</f>
        <v>569663.3512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47779.2641666667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87522178.5728267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4001925.26416667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4" t="n">
        <f aca="false">K9*$K$4/12</f>
        <v>49426.825</v>
      </c>
      <c r="M9" s="44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4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4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4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4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4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4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4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4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4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4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4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4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4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4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4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4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4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4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4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4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4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4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4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4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4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4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4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4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4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4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4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4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4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4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4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4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4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4" t="n">
        <f aca="false">K47*$K$4/12</f>
        <v>49426.825</v>
      </c>
      <c r="M47" s="44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2000-12-29T15:55:01Z</dcterms:modified>
  <cp:revision>0</cp:revision>
  <dc:subject/>
  <dc:title/>
</cp:coreProperties>
</file>