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externalReferences>
    <externalReference r:id="rId16"/>
  </externalReference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<sst xmlns="http://schemas.openxmlformats.org/spreadsheetml/2006/main" count="373" uniqueCount="159">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</sst>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gmckillo/LOCALS~1/Temp/NPW.CSV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PW"/>
    </sheetNames>
    <sheetDataSet>
      <sheetData sheetId="0">
        <row r="6">
          <cell r="D6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36880</v>
      </c>
      <c r="D5" s="10" t="s">
        <v>3</v>
      </c>
      <c r="E5" s="11" t="n">
        <f aca="false">+C5-1</f>
        <v>36879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-227096349</v>
      </c>
      <c r="D12" s="15" t="n">
        <v>0</v>
      </c>
      <c r="E12" s="15" t="n">
        <f aca="false">+C12-D12</f>
        <v>-227096349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-38283150</v>
      </c>
      <c r="D13" s="16" t="n">
        <f aca="false">+D15-D12</f>
        <v>0</v>
      </c>
      <c r="E13" s="16" t="n">
        <f aca="false">+E15-E12</f>
        <v>-38283150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-265379499</v>
      </c>
      <c r="D15" s="17" t="n">
        <v>0</v>
      </c>
      <c r="E15" s="17" t="n">
        <f aca="false">+C15-D15</f>
        <v>-265379499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IF(+'Credit Analysis'!C55&gt;0,+'Credit Analysis'!C55,0)</f>
        <v>0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-130931527.374444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87370268.34584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82</v>
      </c>
      <c r="H4" s="65" t="n">
        <f aca="false">'Hawaii Summary'!K6</f>
        <v>3988744.7775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6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50749200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50749200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91359013.12334</v>
      </c>
      <c r="C11" s="15" t="n">
        <f aca="false">B11</f>
        <v>91359013.12334</v>
      </c>
      <c r="E11" s="0" t="s">
        <v>124</v>
      </c>
      <c r="G11" s="75" t="n">
        <f aca="false">D4+H4</f>
        <v>91359013.12334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-40609813.12334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50749200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87370268.34584</v>
      </c>
      <c r="C14" s="15" t="n">
        <f aca="false">B14</f>
        <v>87370268.34584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50749200</v>
      </c>
      <c r="C15" s="15" t="n">
        <f aca="false">C10-E4+C12</f>
        <v>173668054</v>
      </c>
      <c r="F15" s="56"/>
      <c r="G15" s="56" t="n">
        <f aca="false">-F14+F13</f>
        <v>-126873000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-36621068.34584</v>
      </c>
      <c r="C16" s="76" t="n">
        <f aca="false">C15-C14</f>
        <v>86297785.65416</v>
      </c>
      <c r="D16" s="77" t="s">
        <v>129</v>
      </c>
      <c r="F16" s="56"/>
      <c r="G16" s="59" t="n">
        <f aca="false">G12-G15</f>
        <v>86263186.87666</v>
      </c>
      <c r="H16" s="56" t="n">
        <f aca="false">C16-G16</f>
        <v>34598.7775000036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122918854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86297785.65416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36880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22</v>
      </c>
      <c r="F2" s="0"/>
      <c r="G2" s="65" t="s">
        <v>112</v>
      </c>
      <c r="H2" s="54" t="n">
        <f aca="false">VLOOKUP(H1,C_Debt,1)</f>
        <v>36858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139832.214316667</v>
      </c>
      <c r="F4" s="65" t="n">
        <f aca="false">VLOOKUP($H$1+30,C_Debt,5)</f>
        <v>190680.29225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8253.25416666667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29251327.2143167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908608.254166667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4" t="n">
        <f aca="false">K9*$K$4/12</f>
        <v>11254.4375</v>
      </c>
      <c r="M9" s="44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4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4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4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4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4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4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4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4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4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4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4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4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4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4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4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4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4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4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4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4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4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4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4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4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4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4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4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4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4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4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4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4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4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4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4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4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4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4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4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29251327.2143167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114</v>
      </c>
      <c r="H4" s="15" t="n">
        <f aca="false">'Hawaii Summary'!K7</f>
        <v>908608.254166667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6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16746000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16746000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30159935.4684833</v>
      </c>
      <c r="C11" s="15" t="n">
        <f aca="false">B11</f>
        <v>30159935.4684833</v>
      </c>
      <c r="E11" s="0" t="s">
        <v>124</v>
      </c>
      <c r="G11" s="75" t="n">
        <f aca="false">D4+H4</f>
        <v>30159935.4684833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-13413935.4684833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16746000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29251327.2143167</v>
      </c>
      <c r="C14" s="15" t="n">
        <f aca="false">B14</f>
        <v>29251327.2143167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16746000</v>
      </c>
      <c r="C15" s="15" t="n">
        <f aca="false">C10-E4+C12</f>
        <v>57710645</v>
      </c>
      <c r="F15" s="56"/>
      <c r="G15" s="56" t="n">
        <f aca="false">-F14+F13</f>
        <v>-41865000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-12505327.2143167</v>
      </c>
      <c r="C16" s="76" t="n">
        <f aca="false">C15-C14</f>
        <v>28459317.7856833</v>
      </c>
      <c r="D16" s="77" t="s">
        <v>129</v>
      </c>
      <c r="F16" s="56"/>
      <c r="G16" s="59" t="n">
        <f aca="false">G12-G15</f>
        <v>28451064.5315167</v>
      </c>
      <c r="H16" s="56" t="n">
        <f aca="false">C16-G16</f>
        <v>8253.25416666642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40964645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28459317.7856833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5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5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4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4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4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4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4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4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4"/>
    </row>
    <row r="43" customFormat="false" ht="12.75" hidden="false" customHeight="false" outlineLevel="0" collapsed="false">
      <c r="C43" s="0" t="s">
        <v>59</v>
      </c>
      <c r="E43" s="44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4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4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4" t="n">
        <f aca="false">E51-E52</f>
        <v>98953996.3866225</v>
      </c>
    </row>
    <row r="54" customFormat="false" ht="12.75" hidden="false" customHeight="false" outlineLevel="0" collapsed="false">
      <c r="C54" s="52"/>
      <c r="E54" s="44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36880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f aca="false">+[1]NPW!$D$6</f>
        <v>6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36880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144706800</v>
      </c>
      <c r="D14" s="0" t="s">
        <v>30</v>
      </c>
      <c r="E14" s="40" t="n">
        <f aca="false">'50 NP'!J3</f>
        <v>50927083.3333333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10682725.6388889</v>
      </c>
      <c r="D15" s="0" t="s">
        <v>33</v>
      </c>
      <c r="E15" s="40" t="n">
        <f aca="false">'Hawaii Summary'!C18</f>
        <v>265379499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14470.68</v>
      </c>
    </row>
    <row r="17" customFormat="false" ht="12.75" hidden="false" customHeight="false" outlineLevel="0" collapsed="false">
      <c r="D17" s="0" t="s">
        <v>36</v>
      </c>
      <c r="E17" s="40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-130931527.374444</v>
      </c>
    </row>
    <row r="19" customFormat="false" ht="13.5" hidden="false" customHeight="false" outlineLevel="0" collapsed="false">
      <c r="B19" s="41" t="n">
        <f aca="false">SUM(B13:B18)</f>
        <v>185389525.638889</v>
      </c>
      <c r="E19" s="42" t="n">
        <f aca="false">SUM(E13:E18)</f>
        <v>185389525.638889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E21" s="44" t="n">
        <f aca="false">+B19-E13-E14-E15-E16</f>
        <v>-130931527.374444</v>
      </c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5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-361767000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-265379499</v>
      </c>
    </row>
    <row r="28" customFormat="false" ht="12.75" hidden="false" customHeight="false" outlineLevel="0" collapsed="false">
      <c r="A28" s="0" t="s">
        <v>45</v>
      </c>
      <c r="C28" s="45" t="n">
        <f aca="false">'50 NR'!K4-'258 NP'!J4-'50 NP'!J4</f>
        <v>-745357.694444445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-130917056.694444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-130931527.374444</v>
      </c>
    </row>
    <row r="31" customFormat="false" ht="12.75" hidden="false" customHeight="false" outlineLevel="0" collapsed="false">
      <c r="A31" s="0" t="s">
        <v>48</v>
      </c>
      <c r="C31" s="40" t="n">
        <f aca="false">E17</f>
        <v>0</v>
      </c>
    </row>
    <row r="32" customFormat="false" ht="12.75" hidden="false" customHeight="false" outlineLevel="0" collapsed="false">
      <c r="A32" s="0" t="s">
        <v>49</v>
      </c>
      <c r="C32" s="45" t="n">
        <f aca="false">E16</f>
        <v>14470.68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-2.2650056052953E-008</v>
      </c>
      <c r="D33" s="46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185389525.638889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50927083.3333333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14470.68</v>
      </c>
    </row>
    <row r="41" customFormat="false" ht="12.75" hidden="false" customHeight="false" outlineLevel="0" collapsed="false">
      <c r="A41" s="0" t="s">
        <v>57</v>
      </c>
      <c r="C41" s="45" t="n">
        <f aca="false">E15-B16</f>
        <v>265379499</v>
      </c>
    </row>
    <row r="42" customFormat="false" ht="13.5" hidden="false" customHeight="false" outlineLevel="0" collapsed="false">
      <c r="C42" s="42" t="n">
        <f aca="false">C36-SUM(C38:C41)</f>
        <v>-130931527.374444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4" t="n">
        <f aca="false">+E19</f>
        <v>185389525.638889</v>
      </c>
    </row>
    <row r="46" customFormat="false" ht="12.75" hidden="false" customHeight="false" outlineLevel="0" collapsed="false">
      <c r="A46" s="0" t="s">
        <v>60</v>
      </c>
      <c r="C46" s="44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14470.68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186375054.958889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5628526.65975845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14470.68</v>
      </c>
    </row>
    <row r="52" customFormat="false" ht="12.75" hidden="false" customHeight="false" outlineLevel="0" collapsed="false">
      <c r="A52" s="0" t="s">
        <v>66</v>
      </c>
      <c r="C52" s="44" t="n">
        <f aca="false">C51-C50</f>
        <v>-5614055.97975845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-185895893.369485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4" t="n">
        <f aca="false">C53-C54</f>
        <v>-564072293.369485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36880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181725.638888889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89</v>
      </c>
      <c r="K3" s="59" t="n">
        <f aca="false">K1+K2</f>
        <v>10682725.6388889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181725.638888889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36880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89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36880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927083.333333333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89</v>
      </c>
      <c r="J3" s="59" t="n">
        <f aca="false">J1+J2</f>
        <v>50927083.3333333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927083.333333333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36880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18102453.7083333</v>
      </c>
      <c r="H5" s="15" t="n">
        <v>1976250</v>
      </c>
      <c r="I5" s="28" t="n">
        <v>0.15</v>
      </c>
      <c r="J5" s="40" t="n">
        <f aca="false">B2-B5</f>
        <v>264</v>
      </c>
      <c r="K5" s="0" t="n">
        <f aca="false">'A Amort'!N5</f>
        <v>1992718.75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87370268.34584</v>
      </c>
      <c r="H6" s="15" t="n">
        <v>3954146</v>
      </c>
      <c r="I6" s="28" t="n">
        <v>0.15</v>
      </c>
      <c r="J6" s="40" t="n">
        <f aca="false">B2-B6</f>
        <v>82</v>
      </c>
      <c r="K6" s="65" t="n">
        <f aca="false">'B_D Amort'!N5</f>
        <v>3988744.7775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29251327.2143167</v>
      </c>
      <c r="H7" s="15" t="n">
        <v>900355</v>
      </c>
      <c r="I7" s="28" t="n">
        <v>0.15</v>
      </c>
      <c r="J7" s="40" t="n">
        <f aca="false">B2-B7</f>
        <v>114</v>
      </c>
      <c r="K7" s="65" t="n">
        <f aca="false">'C Amort'!N5</f>
        <v>908608.254166667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134724049.26849</v>
      </c>
      <c r="H8" s="42" t="n">
        <f aca="false">SUM(H5:H7)</f>
        <v>6830751</v>
      </c>
      <c r="K8" s="42" t="n">
        <f aca="false">SUM(K5:K7)</f>
        <v>6890071.78166667</v>
      </c>
    </row>
    <row r="9" customFormat="false" ht="13.5" hidden="false" customHeight="false" outlineLevel="0" collapsed="false">
      <c r="C9" s="44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6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101496000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122918854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40964645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265379499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36880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20</v>
      </c>
      <c r="F2" s="0"/>
      <c r="G2" s="65" t="s">
        <v>112</v>
      </c>
      <c r="H2" s="54" t="n">
        <f aca="false">VLOOKUP(H1,A_Debt,1)</f>
        <v>36860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78703.7083333333</v>
      </c>
      <c r="F4" s="65" t="n">
        <f aca="false">VLOOKUP($H$1+30,A_Debt,5)</f>
        <v>118055.5625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16468.75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18102453.7083333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1992718.75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4" t="n">
        <f aca="false">K9*$K$4/12</f>
        <v>24703.125</v>
      </c>
      <c r="M9" s="44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4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4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4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4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4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4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4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4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4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4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4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4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4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4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4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4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4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4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4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4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4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4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4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4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4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4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4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4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4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4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4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4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4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4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4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4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4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4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4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4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4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4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4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4" t="n">
        <f aca="false">K53*$K$4/12</f>
        <v>24703.125</v>
      </c>
      <c r="M53" s="44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18102453.7083333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264</v>
      </c>
      <c r="H4" s="15" t="n">
        <f aca="false">'Hawaii Summary'!K5</f>
        <v>1992718.75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6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40598400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40598400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20095172.4583333</v>
      </c>
      <c r="C11" s="15" t="n">
        <f aca="false">B11</f>
        <v>20095172.4583333</v>
      </c>
      <c r="E11" s="0" t="s">
        <v>124</v>
      </c>
      <c r="G11" s="75" t="n">
        <f aca="false">D4+H4</f>
        <v>20095172.4583333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20503227.5416667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40598400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18102453.7083333</v>
      </c>
      <c r="C14" s="15" t="n">
        <f aca="false">B14</f>
        <v>18102453.7083333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38622150</v>
      </c>
      <c r="C15" s="15" t="n">
        <f aca="false">C10-E4+C12</f>
        <v>140118150</v>
      </c>
      <c r="F15" s="56"/>
      <c r="G15" s="56" t="n">
        <f aca="false">-F14+F13</f>
        <v>-101496000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20519696.2916667</v>
      </c>
      <c r="C16" s="76" t="n">
        <f aca="false">C15-C14</f>
        <v>122015696.291667</v>
      </c>
      <c r="D16" s="77" t="s">
        <v>129</v>
      </c>
      <c r="F16" s="56"/>
      <c r="G16" s="59" t="n">
        <f aca="false">G12-G15</f>
        <v>121999227.541667</v>
      </c>
      <c r="H16" s="56" t="n">
        <f aca="false">C16-G16</f>
        <v>16468.75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101496000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122015696.291667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36880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21</v>
      </c>
      <c r="F2" s="0"/>
      <c r="G2" s="65" t="s">
        <v>112</v>
      </c>
      <c r="H2" s="54" t="n">
        <f aca="false">VLOOKUP(H1,BD_Debt,1)</f>
        <v>36859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398764.34584</v>
      </c>
      <c r="F4" s="65" t="n">
        <f aca="false">VLOOKUP($H$1+30,BD_Debt,5)</f>
        <v>569663.3512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34598.7775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87370268.34584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3988744.7775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4" t="n">
        <f aca="false">K9*$K$4/12</f>
        <v>49426.825</v>
      </c>
      <c r="M9" s="44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4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4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4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4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4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4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4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4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4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4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4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4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4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4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4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4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4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4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4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4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4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4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4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4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4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4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4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4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4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4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4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4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4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4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4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4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4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4" t="n">
        <f aca="false">K47*$K$4/12</f>
        <v>49426.825</v>
      </c>
      <c r="M47" s="44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2000-12-21T22:17:48Z</dcterms:modified>
  <cp:revision>0</cp:revision>
  <dc:subject/>
  <dc:title/>
</cp:coreProperties>
</file>