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<sst xmlns="http://schemas.openxmlformats.org/spreadsheetml/2006/main" count="373" uniqueCount="159">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</sst>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36860</v>
      </c>
      <c r="D5" s="10" t="s">
        <v>3</v>
      </c>
      <c r="E5" s="11" t="n">
        <f aca="false">+C5-1</f>
        <v>36859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-247363899</v>
      </c>
      <c r="D12" s="15" t="n">
        <v>0</v>
      </c>
      <c r="E12" s="15" t="n">
        <f aca="false">+C12-D12</f>
        <v>-247363899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-34896217.2000001</v>
      </c>
      <c r="D13" s="16" t="n">
        <f aca="false">+D15-D12</f>
        <v>0</v>
      </c>
      <c r="E13" s="16" t="n">
        <f aca="false">+E15-E12</f>
        <v>-34896217.2000001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-282260116.2</v>
      </c>
      <c r="D15" s="17" t="n">
        <v>0</v>
      </c>
      <c r="E15" s="17" t="n">
        <f aca="false">+C15-D15</f>
        <v>-282260116.2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+'Credit Analysis'!C55</f>
        <v>481867316.990374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-170240767.225473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86990492.7783733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62</v>
      </c>
      <c r="H4" s="65" t="n">
        <f aca="false">'Hawaii Summary'!K6</f>
        <v>3955793.56083333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5.063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42823866.6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42823866.6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90946286.3392067</v>
      </c>
      <c r="C11" s="15" t="n">
        <f aca="false">B11</f>
        <v>90946286.3392067</v>
      </c>
      <c r="E11" s="0" t="s">
        <v>124</v>
      </c>
      <c r="G11" s="75" t="n">
        <f aca="false">D4+H4</f>
        <v>90946286.3392067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-48122419.7392067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42823866.6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86990492.7783733</v>
      </c>
      <c r="C14" s="15" t="n">
        <f aca="false">B14</f>
        <v>86990492.7783733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42823866.6</v>
      </c>
      <c r="C15" s="15" t="n">
        <f aca="false">C10-E4+C12</f>
        <v>173668054</v>
      </c>
      <c r="F15" s="56"/>
      <c r="G15" s="56" t="n">
        <f aca="false">-F14+F13</f>
        <v>-134798333.4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-44166626.1783733</v>
      </c>
      <c r="C16" s="76" t="n">
        <f aca="false">C15-C14</f>
        <v>86677561.2216267</v>
      </c>
      <c r="D16" s="77" t="s">
        <v>129</v>
      </c>
      <c r="F16" s="56"/>
      <c r="G16" s="59" t="n">
        <f aca="false">G12-G15</f>
        <v>86675913.6607933</v>
      </c>
      <c r="H16" s="56" t="n">
        <f aca="false">C16-G16</f>
        <v>1647.56083333492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130844187.4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86677561.2216267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36860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2</v>
      </c>
      <c r="F2" s="0"/>
      <c r="G2" s="65" t="s">
        <v>112</v>
      </c>
      <c r="H2" s="54" t="n">
        <f aca="false">VLOOKUP(H1,C_Debt,1)</f>
        <v>36858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12712.0194833333</v>
      </c>
      <c r="F4" s="65" t="n">
        <f aca="false">VLOOKUP($H$1+30,C_Debt,5)</f>
        <v>190680.29225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750.295833333333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29124207.0194833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901105.295833333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6" t="n">
        <f aca="false">K9*$K$4/12</f>
        <v>11254.4375</v>
      </c>
      <c r="M9" s="46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6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6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6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6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6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6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6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6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6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6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6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6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6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6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6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6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6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6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6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6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6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6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6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6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6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6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6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6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6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6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6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6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6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6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6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6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6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6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6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29124207.0194833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94</v>
      </c>
      <c r="H4" s="15" t="n">
        <f aca="false">'Hawaii Summary'!K7</f>
        <v>901105.295833333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5.063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14130833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14130833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30025312.3153167</v>
      </c>
      <c r="C11" s="15" t="n">
        <f aca="false">B11</f>
        <v>30025312.3153167</v>
      </c>
      <c r="E11" s="0" t="s">
        <v>124</v>
      </c>
      <c r="G11" s="75" t="n">
        <f aca="false">D4+H4</f>
        <v>30025312.3153167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-15894479.3153167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14130833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29124207.0194833</v>
      </c>
      <c r="C14" s="15" t="n">
        <f aca="false">B14</f>
        <v>29124207.0194833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14130833</v>
      </c>
      <c r="C15" s="15" t="n">
        <f aca="false">C10-E4+C12</f>
        <v>57710645</v>
      </c>
      <c r="F15" s="56"/>
      <c r="G15" s="56" t="n">
        <f aca="false">-F14+F13</f>
        <v>-44480167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-14993374.0194833</v>
      </c>
      <c r="C16" s="76" t="n">
        <f aca="false">C15-C14</f>
        <v>28586437.9805167</v>
      </c>
      <c r="D16" s="77" t="s">
        <v>129</v>
      </c>
      <c r="F16" s="56"/>
      <c r="G16" s="59" t="n">
        <f aca="false">G12-G15</f>
        <v>28585687.6846833</v>
      </c>
      <c r="H16" s="56" t="n">
        <f aca="false">C16-G16</f>
        <v>750.295833338052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43579812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28586437.9805167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E45" activeCellId="0" sqref="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4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4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6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6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6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6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6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6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6"/>
    </row>
    <row r="43" customFormat="false" ht="12.75" hidden="false" customHeight="false" outlineLevel="0" collapsed="false">
      <c r="C43" s="0" t="s">
        <v>59</v>
      </c>
      <c r="E43" s="46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6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6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6" t="n">
        <f aca="false">E51-E52</f>
        <v>98953996.3866225</v>
      </c>
    </row>
    <row r="54" customFormat="false" ht="12.75" hidden="false" customHeight="false" outlineLevel="0" collapsed="false">
      <c r="C54" s="52"/>
      <c r="E54" s="46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36860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v>5.063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36860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122108421.4</v>
      </c>
      <c r="D14" s="0" t="s">
        <v>30</v>
      </c>
      <c r="E14" s="40" t="n">
        <f aca="false">'50 NP'!J3</f>
        <v>50718750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10641888.4166667</v>
      </c>
      <c r="D15" s="0" t="s">
        <v>33</v>
      </c>
      <c r="E15" s="40" t="n">
        <f aca="false">'Hawaii Summary'!C18</f>
        <v>282260116.2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12210.84214</v>
      </c>
    </row>
    <row r="17" customFormat="false" ht="12.75" hidden="false" customHeight="false" outlineLevel="0" collapsed="false">
      <c r="D17" s="0" t="s">
        <v>36</v>
      </c>
      <c r="E17" s="40" t="n">
        <f aca="false">'Notional Analysis'!F38</f>
        <v>30000000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-200240767.225473</v>
      </c>
    </row>
    <row r="19" customFormat="false" ht="13.5" hidden="false" customHeight="false" outlineLevel="0" collapsed="false">
      <c r="B19" s="41" t="n">
        <f aca="false">SUM(B13:B18)</f>
        <v>162750309.816667</v>
      </c>
      <c r="E19" s="42" t="n">
        <f aca="false">SUM(E13:E18)</f>
        <v>162750309.816667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4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-384365378.6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-282260116.2</v>
      </c>
    </row>
    <row r="28" customFormat="false" ht="12.75" hidden="false" customHeight="false" outlineLevel="0" collapsed="false">
      <c r="A28" s="0" t="s">
        <v>45</v>
      </c>
      <c r="C28" s="44" t="n">
        <f aca="false">'50 NR'!K4-'258 NP'!J4-'50 NP'!J4</f>
        <v>-577861.583333333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-170228556.383333</v>
      </c>
    </row>
    <row r="30" customFormat="false" ht="12.75" hidden="false" customHeight="false" outlineLevel="0" collapsed="false">
      <c r="A30" s="0" t="s">
        <v>47</v>
      </c>
      <c r="C30" s="40" t="n">
        <f aca="false">E18</f>
        <v>-200240767.225473</v>
      </c>
    </row>
    <row r="31" customFormat="false" ht="12.75" hidden="false" customHeight="false" outlineLevel="0" collapsed="false">
      <c r="A31" s="0" t="s">
        <v>48</v>
      </c>
      <c r="C31" s="40" t="n">
        <f aca="false">E17</f>
        <v>30000000</v>
      </c>
    </row>
    <row r="32" customFormat="false" ht="12.75" hidden="false" customHeight="false" outlineLevel="0" collapsed="false">
      <c r="A32" s="0" t="s">
        <v>49</v>
      </c>
      <c r="C32" s="44" t="n">
        <f aca="false">E16</f>
        <v>12210.84214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1.8941136659123E-008</v>
      </c>
      <c r="D33" s="45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162750309.816667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50718750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12210.84214</v>
      </c>
    </row>
    <row r="41" customFormat="false" ht="12.75" hidden="false" customHeight="false" outlineLevel="0" collapsed="false">
      <c r="A41" s="0" t="s">
        <v>57</v>
      </c>
      <c r="C41" s="44" t="n">
        <f aca="false">E15-B16</f>
        <v>282260116.2</v>
      </c>
    </row>
    <row r="42" customFormat="false" ht="13.5" hidden="false" customHeight="false" outlineLevel="0" collapsed="false">
      <c r="C42" s="42" t="n">
        <f aca="false">C36-SUM(C38:C41)</f>
        <v>-170240767.225473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6" t="n">
        <f aca="false">+E19</f>
        <v>162750309.816667</v>
      </c>
    </row>
    <row r="46" customFormat="false" ht="12.75" hidden="false" customHeight="false" outlineLevel="0" collapsed="false">
      <c r="A46" s="0" t="s">
        <v>60</v>
      </c>
      <c r="C46" s="46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30012210.84214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133738098.974527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4038890.5890307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30012210.84214</v>
      </c>
    </row>
    <row r="52" customFormat="false" ht="12.75" hidden="false" customHeight="false" outlineLevel="0" collapsed="false">
      <c r="A52" s="0" t="s">
        <v>66</v>
      </c>
      <c r="C52" s="46" t="n">
        <f aca="false">C51-C50</f>
        <v>25973320.2531093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860043716.990374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6" t="n">
        <f aca="false">C53-C54</f>
        <v>481867316.990374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36860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140888.416666667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69</v>
      </c>
      <c r="K3" s="59" t="n">
        <f aca="false">K1+K2</f>
        <v>10641888.4166667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140888.416666667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36860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69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36860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718750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69</v>
      </c>
      <c r="J3" s="59" t="n">
        <f aca="false">J1+J2</f>
        <v>50718750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718750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36860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18023750</v>
      </c>
      <c r="H5" s="15" t="n">
        <v>1976250</v>
      </c>
      <c r="I5" s="28" t="n">
        <v>0.15</v>
      </c>
      <c r="J5" s="40" t="n">
        <f aca="false">B2-B5</f>
        <v>244</v>
      </c>
      <c r="K5" s="0" t="n">
        <f aca="false">'A Amort'!N5</f>
        <v>1976250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86990492.7783733</v>
      </c>
      <c r="H6" s="15" t="n">
        <v>3954146</v>
      </c>
      <c r="I6" s="28" t="n">
        <v>0.15</v>
      </c>
      <c r="J6" s="40" t="n">
        <f aca="false">B2-B6</f>
        <v>62</v>
      </c>
      <c r="K6" s="65" t="n">
        <f aca="false">'B_D Amort'!N5</f>
        <v>3955793.56083333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29124207.0194833</v>
      </c>
      <c r="H7" s="15" t="n">
        <v>900355</v>
      </c>
      <c r="I7" s="28" t="n">
        <v>0.15</v>
      </c>
      <c r="J7" s="40" t="n">
        <f aca="false">B2-B7</f>
        <v>94</v>
      </c>
      <c r="K7" s="65" t="n">
        <f aca="false">'C Amort'!N5</f>
        <v>901105.295833333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134138449.797857</v>
      </c>
      <c r="H8" s="42" t="n">
        <f aca="false">SUM(H5:H7)</f>
        <v>6830751</v>
      </c>
      <c r="K8" s="42" t="n">
        <f aca="false">SUM(K5:K7)</f>
        <v>6833148.85666667</v>
      </c>
    </row>
    <row r="9" customFormat="false" ht="13.5" hidden="false" customHeight="false" outlineLevel="0" collapsed="false">
      <c r="C9" s="46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5.063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107836116.8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130844187.4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43579812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282260116.2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36860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0</v>
      </c>
      <c r="F2" s="0"/>
      <c r="G2" s="65" t="s">
        <v>112</v>
      </c>
      <c r="H2" s="54" t="n">
        <f aca="false">VLOOKUP(H1,A_Debt,1)</f>
        <v>36860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0</v>
      </c>
      <c r="F4" s="65" t="n">
        <f aca="false">VLOOKUP($H$1+30,A_Debt,5)</f>
        <v>117905.364583333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0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18023750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1976250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6" t="n">
        <f aca="false">K9*$K$4/12</f>
        <v>24703.125</v>
      </c>
      <c r="M9" s="46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6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6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6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6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6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6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6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6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6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6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6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6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6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6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6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6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6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6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6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6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6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6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6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6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6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6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6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6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6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6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6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6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6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6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6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6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6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6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6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6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6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6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6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6" t="n">
        <f aca="false">K53*$K$4/12</f>
        <v>24703.125</v>
      </c>
      <c r="M53" s="46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18023750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244</v>
      </c>
      <c r="H4" s="15" t="n">
        <f aca="false">'Hawaii Summary'!K5</f>
        <v>1976250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5.063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34258283.2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34258283.2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20000000</v>
      </c>
      <c r="C11" s="15" t="n">
        <f aca="false">B11</f>
        <v>20000000</v>
      </c>
      <c r="E11" s="0" t="s">
        <v>124</v>
      </c>
      <c r="G11" s="75" t="n">
        <f aca="false">D4+H4</f>
        <v>20000000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14258283.2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34258283.2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18023750</v>
      </c>
      <c r="C14" s="15" t="n">
        <f aca="false">B14</f>
        <v>18023750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32282033.2</v>
      </c>
      <c r="C15" s="15" t="n">
        <f aca="false">C10-E4+C12</f>
        <v>140118150</v>
      </c>
      <c r="F15" s="56"/>
      <c r="G15" s="56" t="n">
        <f aca="false">-F14+F13</f>
        <v>-107836116.8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14258283.2</v>
      </c>
      <c r="C16" s="76" t="n">
        <f aca="false">C15-C14</f>
        <v>122094400</v>
      </c>
      <c r="D16" s="77" t="s">
        <v>129</v>
      </c>
      <c r="F16" s="56"/>
      <c r="G16" s="59" t="n">
        <f aca="false">G12-G15</f>
        <v>122094400</v>
      </c>
      <c r="H16" s="56" t="n">
        <f aca="false">C16-G16</f>
        <v>0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107836116.8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122094400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36860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1</v>
      </c>
      <c r="F2" s="0"/>
      <c r="G2" s="65" t="s">
        <v>112</v>
      </c>
      <c r="H2" s="54" t="n">
        <f aca="false">VLOOKUP(H1,BD_Debt,1)</f>
        <v>36859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18988.7783733333</v>
      </c>
      <c r="F4" s="65" t="n">
        <f aca="false">VLOOKUP($H$1+30,BD_Debt,5)</f>
        <v>569663.3512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1647.56083333333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86990492.7783733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3955793.56083333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6" t="n">
        <f aca="false">K9*$K$4/12</f>
        <v>49426.825</v>
      </c>
      <c r="M9" s="46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6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6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6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6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6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6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6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6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6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6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6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6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6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6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6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6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6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6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6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6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6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6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6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6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6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6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6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6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6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6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6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6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6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6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6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6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6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6" t="n">
        <f aca="false">K47*$K$4/12</f>
        <v>49426.825</v>
      </c>
      <c r="M47" s="46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2000-12-04T23:46:22Z</dcterms:modified>
  <cp:revision>0</cp:revision>
  <dc:subject/>
  <dc:title/>
</cp:coreProperties>
</file>