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externalReferences>
    <externalReference r:id="rId16"/>
  </externalReference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<sst xmlns="http://schemas.openxmlformats.org/spreadsheetml/2006/main" count="373" uniqueCount="159">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</sst>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gmckillo/LOCALS~1/Temp/NPW.CSV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PW"/>
    </sheetNames>
    <sheetDataSet>
      <sheetData sheetId="0">
        <row r="7">
          <cell r="D7">
            <v>9.375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36850</v>
      </c>
      <c r="D5" s="10" t="s">
        <v>3</v>
      </c>
      <c r="E5" s="11" t="n">
        <f aca="false">+C5-1</f>
        <v>36849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-180156000</v>
      </c>
      <c r="D12" s="15" t="n">
        <v>0</v>
      </c>
      <c r="E12" s="15" t="n">
        <f aca="false">+C12-D12</f>
        <v>-180156000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-24420849</v>
      </c>
      <c r="D13" s="16" t="n">
        <f aca="false">+D15-D12</f>
        <v>0</v>
      </c>
      <c r="E13" s="16" t="n">
        <f aca="false">+E15-E12</f>
        <v>-24420849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-204576849</v>
      </c>
      <c r="D15" s="17" t="n">
        <v>0</v>
      </c>
      <c r="E15" s="17" t="n">
        <f aca="false">+C15-D15</f>
        <v>-204576849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+'Credit Analysis'!C55</f>
        <v>378246539.059097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11511802.0347222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87388725.6316889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52</v>
      </c>
      <c r="H4" s="65" t="n">
        <f aca="false">'Hawaii Summary'!K6</f>
        <v>3990392.33833333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9.375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79295625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79295625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91379117.9700222</v>
      </c>
      <c r="C11" s="15" t="n">
        <f aca="false">B11</f>
        <v>91379117.9700222</v>
      </c>
      <c r="E11" s="0" t="s">
        <v>124</v>
      </c>
      <c r="G11" s="75" t="n">
        <f aca="false">D4+H4</f>
        <v>91379117.9700222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-12083492.9700222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79295625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87388725.6316889</v>
      </c>
      <c r="C14" s="15" t="n">
        <f aca="false">B14</f>
        <v>87388725.6316889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79295625</v>
      </c>
      <c r="C15" s="15" t="n">
        <f aca="false">C10-E4+C12</f>
        <v>173668054</v>
      </c>
      <c r="F15" s="56"/>
      <c r="G15" s="56" t="n">
        <f aca="false">-F14+F13</f>
        <v>-98326575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-8093100.63168889</v>
      </c>
      <c r="C16" s="76" t="n">
        <f aca="false">C15-C14</f>
        <v>86279328.3683111</v>
      </c>
      <c r="D16" s="77" t="s">
        <v>129</v>
      </c>
      <c r="F16" s="56"/>
      <c r="G16" s="59" t="n">
        <f aca="false">G12-G15</f>
        <v>86243082.0299778</v>
      </c>
      <c r="H16" s="56" t="n">
        <f aca="false">C16-G16</f>
        <v>36246.3383333385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94372429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86279328.3683111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36850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23</v>
      </c>
      <c r="F2" s="0"/>
      <c r="G2" s="65" t="s">
        <v>112</v>
      </c>
      <c r="H2" s="54" t="n">
        <f aca="false">VLOOKUP(H1,C_Debt,1)</f>
        <v>36827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146002.233951389</v>
      </c>
      <c r="F4" s="65" t="n">
        <f aca="false">VLOOKUP($H$1+30,C_Debt,5)</f>
        <v>190437.696458333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8628.40208333333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29257497.2339514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908983.402083333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6" t="n">
        <f aca="false">K9*$K$4/12</f>
        <v>11254.4375</v>
      </c>
      <c r="M9" s="46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6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6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6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6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6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6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6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6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6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6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6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6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6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6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6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6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6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6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6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6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6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6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6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6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6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6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6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6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6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6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6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6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6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6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6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6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6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6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6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29257497.2339514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84</v>
      </c>
      <c r="H4" s="15" t="n">
        <f aca="false">'Hawaii Summary'!K7</f>
        <v>908983.402083333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9.375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26165625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26165625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30166480.6360347</v>
      </c>
      <c r="C11" s="15" t="n">
        <f aca="false">B11</f>
        <v>30166480.6360347</v>
      </c>
      <c r="E11" s="0" t="s">
        <v>124</v>
      </c>
      <c r="G11" s="75" t="n">
        <f aca="false">D4+H4</f>
        <v>30166480.6360347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-4000855.63603472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26165625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29257497.2339514</v>
      </c>
      <c r="C14" s="15" t="n">
        <f aca="false">B14</f>
        <v>29257497.2339514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26165625</v>
      </c>
      <c r="C15" s="15" t="n">
        <f aca="false">C10-E4+C12</f>
        <v>57710645</v>
      </c>
      <c r="F15" s="56"/>
      <c r="G15" s="56" t="n">
        <f aca="false">-F14+F13</f>
        <v>-32445375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-3091872.23395139</v>
      </c>
      <c r="C16" s="76" t="n">
        <f aca="false">C15-C14</f>
        <v>28453147.7660486</v>
      </c>
      <c r="D16" s="77" t="s">
        <v>129</v>
      </c>
      <c r="F16" s="56"/>
      <c r="G16" s="59" t="n">
        <f aca="false">G12-G15</f>
        <v>28444519.3639653</v>
      </c>
      <c r="H16" s="56" t="n">
        <f aca="false">C16-G16</f>
        <v>8628.40208333358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31545020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28453147.7660486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E45" activeCellId="0" sqref="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4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4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6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6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6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6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6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6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6"/>
    </row>
    <row r="43" customFormat="false" ht="12.75" hidden="false" customHeight="false" outlineLevel="0" collapsed="false">
      <c r="C43" s="0" t="s">
        <v>59</v>
      </c>
      <c r="E43" s="46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6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6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6" t="n">
        <f aca="false">E51-E52</f>
        <v>98953996.3866225</v>
      </c>
    </row>
    <row r="54" customFormat="false" ht="12.75" hidden="false" customHeight="false" outlineLevel="0" collapsed="false">
      <c r="C54" s="52"/>
      <c r="E54" s="46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36850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f aca="false">+[1]NPW!$D$7</f>
        <v>9.375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36850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226104375</v>
      </c>
      <c r="D14" s="0" t="s">
        <v>30</v>
      </c>
      <c r="E14" s="40" t="n">
        <f aca="false">'50 NP'!J3</f>
        <v>50614583.3333333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10621469.8055556</v>
      </c>
      <c r="D15" s="0" t="s">
        <v>33</v>
      </c>
      <c r="E15" s="40" t="n">
        <f aca="false">'Hawaii Summary'!C18</f>
        <v>204576849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22610.4375</v>
      </c>
    </row>
    <row r="17" customFormat="false" ht="12.75" hidden="false" customHeight="false" outlineLevel="0" collapsed="false">
      <c r="D17" s="0" t="s">
        <v>36</v>
      </c>
      <c r="E17" s="40" t="n">
        <f aca="false">'Notional Analysis'!F38</f>
        <v>30000000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-18488197.9652778</v>
      </c>
    </row>
    <row r="19" customFormat="false" ht="13.5" hidden="false" customHeight="false" outlineLevel="0" collapsed="false">
      <c r="B19" s="41" t="n">
        <f aca="false">SUM(B13:B18)</f>
        <v>266725844.805556</v>
      </c>
      <c r="E19" s="42" t="n">
        <f aca="false">SUM(E13:E18)</f>
        <v>266725844.805556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4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-280369425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-204576849</v>
      </c>
    </row>
    <row r="28" customFormat="false" ht="12.75" hidden="false" customHeight="false" outlineLevel="0" collapsed="false">
      <c r="A28" s="0" t="s">
        <v>45</v>
      </c>
      <c r="C28" s="44" t="n">
        <f aca="false">'50 NR'!K4-'258 NP'!J4-'50 NP'!J4</f>
        <v>-494113.527777778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11534412.4722222</v>
      </c>
    </row>
    <row r="30" customFormat="false" ht="12.75" hidden="false" customHeight="false" outlineLevel="0" collapsed="false">
      <c r="A30" s="0" t="s">
        <v>47</v>
      </c>
      <c r="C30" s="40" t="n">
        <f aca="false">E18</f>
        <v>-18488197.9652778</v>
      </c>
    </row>
    <row r="31" customFormat="false" ht="12.75" hidden="false" customHeight="false" outlineLevel="0" collapsed="false">
      <c r="A31" s="0" t="s">
        <v>48</v>
      </c>
      <c r="C31" s="40" t="n">
        <f aca="false">E17</f>
        <v>30000000</v>
      </c>
    </row>
    <row r="32" customFormat="false" ht="12.75" hidden="false" customHeight="false" outlineLevel="0" collapsed="false">
      <c r="A32" s="0" t="s">
        <v>49</v>
      </c>
      <c r="C32" s="44" t="n">
        <f aca="false">E16</f>
        <v>22610.4375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4.4703483581543E-008</v>
      </c>
      <c r="D33" s="45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266725844.805556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50614583.3333333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22610.4375</v>
      </c>
    </row>
    <row r="41" customFormat="false" ht="12.75" hidden="false" customHeight="false" outlineLevel="0" collapsed="false">
      <c r="A41" s="0" t="s">
        <v>57</v>
      </c>
      <c r="C41" s="44" t="n">
        <f aca="false">E15-B16</f>
        <v>204576849</v>
      </c>
    </row>
    <row r="42" customFormat="false" ht="13.5" hidden="false" customHeight="false" outlineLevel="0" collapsed="false">
      <c r="C42" s="42" t="n">
        <f aca="false">C36-SUM(C38:C41)</f>
        <v>11511802.0347222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6" t="n">
        <f aca="false">+E19</f>
        <v>266725844.805556</v>
      </c>
    </row>
    <row r="46" customFormat="false" ht="12.75" hidden="false" customHeight="false" outlineLevel="0" collapsed="false">
      <c r="A46" s="0" t="s">
        <v>60</v>
      </c>
      <c r="C46" s="46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30022610.4375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237703234.368056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7178637.67791528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30022610.4375</v>
      </c>
    </row>
    <row r="52" customFormat="false" ht="12.75" hidden="false" customHeight="false" outlineLevel="0" collapsed="false">
      <c r="A52" s="0" t="s">
        <v>66</v>
      </c>
      <c r="C52" s="46" t="n">
        <f aca="false">C51-C50</f>
        <v>22843972.7595847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756422939.059097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6" t="n">
        <f aca="false">C53-C54</f>
        <v>378246539.059097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36850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120469.805555556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59</v>
      </c>
      <c r="K3" s="59" t="n">
        <f aca="false">K1+K2</f>
        <v>10621469.8055556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120469.805555556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36850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59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36850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614583.333333333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59</v>
      </c>
      <c r="J3" s="59" t="n">
        <f aca="false">J1+J2</f>
        <v>50614583.3333333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614583.333333333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36850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18102353.5763889</v>
      </c>
      <c r="H5" s="15" t="n">
        <v>1976250</v>
      </c>
      <c r="I5" s="28" t="n">
        <v>0.15</v>
      </c>
      <c r="J5" s="40" t="n">
        <f aca="false">B2-B5</f>
        <v>234</v>
      </c>
      <c r="K5" s="0" t="n">
        <f aca="false">'A Amort'!N5</f>
        <v>1992718.75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87388725.6316889</v>
      </c>
      <c r="H6" s="15" t="n">
        <v>3954146</v>
      </c>
      <c r="I6" s="28" t="n">
        <v>0.15</v>
      </c>
      <c r="J6" s="40" t="n">
        <f aca="false">B2-B6</f>
        <v>52</v>
      </c>
      <c r="K6" s="65" t="n">
        <f aca="false">'B_D Amort'!N5</f>
        <v>3990392.33833333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29257497.2339514</v>
      </c>
      <c r="H7" s="15" t="n">
        <v>900355</v>
      </c>
      <c r="I7" s="28" t="n">
        <v>0.15</v>
      </c>
      <c r="J7" s="40" t="n">
        <f aca="false">B2-B7</f>
        <v>84</v>
      </c>
      <c r="K7" s="65" t="n">
        <f aca="false">'C Amort'!N5</f>
        <v>908983.402083333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134748576.442029</v>
      </c>
      <c r="H8" s="42" t="n">
        <f aca="false">SUM(H5:H7)</f>
        <v>6830751</v>
      </c>
      <c r="K8" s="42" t="n">
        <f aca="false">SUM(K5:K7)</f>
        <v>6892094.49041667</v>
      </c>
    </row>
    <row r="9" customFormat="false" ht="13.5" hidden="false" customHeight="false" outlineLevel="0" collapsed="false">
      <c r="C9" s="46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9.375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78659400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94372429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31545020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204576849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36850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20</v>
      </c>
      <c r="F2" s="0"/>
      <c r="G2" s="65" t="s">
        <v>112</v>
      </c>
      <c r="H2" s="54" t="n">
        <f aca="false">VLOOKUP(H1,A_Debt,1)</f>
        <v>36830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78603.5763888889</v>
      </c>
      <c r="F4" s="65" t="n">
        <f aca="false">VLOOKUP($H$1+30,A_Debt,5)</f>
        <v>117905.364583333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16468.75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18102353.5763889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1992718.75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6" t="n">
        <f aca="false">K9*$K$4/12</f>
        <v>24703.125</v>
      </c>
      <c r="M9" s="46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6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6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6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6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6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6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6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6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6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6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6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6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6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6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6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6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6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6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6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6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6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6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6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6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6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6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6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6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6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6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6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6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6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6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6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6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6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6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6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6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6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6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6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6" t="n">
        <f aca="false">K53*$K$4/12</f>
        <v>24703.125</v>
      </c>
      <c r="M53" s="46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18102353.5763889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234</v>
      </c>
      <c r="H4" s="15" t="n">
        <f aca="false">'Hawaii Summary'!K5</f>
        <v>1992718.75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9.375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63435000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63435000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20095072.3263889</v>
      </c>
      <c r="C11" s="15" t="n">
        <f aca="false">B11</f>
        <v>20095072.3263889</v>
      </c>
      <c r="E11" s="0" t="s">
        <v>124</v>
      </c>
      <c r="G11" s="75" t="n">
        <f aca="false">D4+H4</f>
        <v>20095072.3263889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43339927.6736111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63435000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18102353.5763889</v>
      </c>
      <c r="C14" s="15" t="n">
        <f aca="false">B14</f>
        <v>18102353.5763889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61458750</v>
      </c>
      <c r="C15" s="15" t="n">
        <f aca="false">C10-E4+C12</f>
        <v>140118150</v>
      </c>
      <c r="F15" s="56"/>
      <c r="G15" s="56" t="n">
        <f aca="false">-F14+F13</f>
        <v>-78659400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43356396.4236111</v>
      </c>
      <c r="C16" s="76" t="n">
        <f aca="false">C15-C14</f>
        <v>122015796.423611</v>
      </c>
      <c r="D16" s="77" t="s">
        <v>129</v>
      </c>
      <c r="F16" s="56"/>
      <c r="G16" s="59" t="n">
        <f aca="false">G12-G15</f>
        <v>121999327.673611</v>
      </c>
      <c r="H16" s="56" t="n">
        <f aca="false">C16-G16</f>
        <v>16468.75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78659400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122015796.423611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36850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22</v>
      </c>
      <c r="F2" s="0"/>
      <c r="G2" s="65" t="s">
        <v>112</v>
      </c>
      <c r="H2" s="54" t="n">
        <f aca="false">VLOOKUP(H1,BD_Debt,1)</f>
        <v>36828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417221.631688889</v>
      </c>
      <c r="F4" s="65" t="n">
        <f aca="false">VLOOKUP($H$1+30,BD_Debt,5)</f>
        <v>568938.588666667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36246.3383333333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87388725.6316889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3990392.33833333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6" t="n">
        <f aca="false">K9*$K$4/12</f>
        <v>49426.825</v>
      </c>
      <c r="M9" s="46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6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6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6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6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6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6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6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6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6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6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6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6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6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6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6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6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6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6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6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6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6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6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6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6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6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6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6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6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6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6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6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6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6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6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6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6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6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6" t="n">
        <f aca="false">K47*$K$4/12</f>
        <v>49426.825</v>
      </c>
      <c r="M47" s="46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2000-11-21T23:15:15Z</dcterms:modified>
  <cp:revision>0</cp:revision>
  <dc:subject/>
  <dc:title/>
</cp:coreProperties>
</file>