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<sst xmlns="http://schemas.openxmlformats.org/spreadsheetml/2006/main" count="373" uniqueCount="159">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</sst>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36851</v>
      </c>
      <c r="D5" s="10" t="s">
        <v>3</v>
      </c>
      <c r="E5" s="11" t="n">
        <f aca="false">+C5-1</f>
        <v>36850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-204576849</v>
      </c>
      <c r="D12" s="15" t="n">
        <v>0</v>
      </c>
      <c r="E12" s="15" t="n">
        <f aca="false">+C12-D12</f>
        <v>-204576849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-7872817.19999999</v>
      </c>
      <c r="D13" s="16" t="n">
        <f aca="false">+D15-D12</f>
        <v>0</v>
      </c>
      <c r="E13" s="16" t="n">
        <f aca="false">+E15-E12</f>
        <v>-7872817.19999999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-212449666.2</v>
      </c>
      <c r="D15" s="17" t="n">
        <v>0</v>
      </c>
      <c r="E15" s="17" t="n">
        <f aca="false">+C15-D15</f>
        <v>-212449666.2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+'Credit Analysis'!C55</f>
        <v>388748022.914364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-6907814.62297332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87407690.2513111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53</v>
      </c>
      <c r="H4" s="65" t="n">
        <f aca="false">'Hawaii Summary'!K6</f>
        <v>3992039.89916667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8.938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75599391.6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75599391.6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91399730.1504778</v>
      </c>
      <c r="C11" s="15" t="n">
        <f aca="false">B11</f>
        <v>91399730.1504778</v>
      </c>
      <c r="E11" s="0" t="s">
        <v>124</v>
      </c>
      <c r="G11" s="75" t="n">
        <f aca="false">D4+H4</f>
        <v>91399730.1504778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-15800338.5504778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75599391.6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87407690.2513111</v>
      </c>
      <c r="C14" s="15" t="n">
        <f aca="false">B14</f>
        <v>87407690.2513111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75599391.6</v>
      </c>
      <c r="C15" s="15" t="n">
        <f aca="false">C10-E4+C12</f>
        <v>173668054</v>
      </c>
      <c r="F15" s="56"/>
      <c r="G15" s="56" t="n">
        <f aca="false">-F14+F13</f>
        <v>-102022808.4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-11808298.6513111</v>
      </c>
      <c r="C16" s="76" t="n">
        <f aca="false">C15-C14</f>
        <v>86260363.7486889</v>
      </c>
      <c r="D16" s="77" t="s">
        <v>129</v>
      </c>
      <c r="F16" s="56"/>
      <c r="G16" s="59" t="n">
        <f aca="false">G12-G15</f>
        <v>86222469.8495222</v>
      </c>
      <c r="H16" s="56" t="n">
        <f aca="false">C16-G16</f>
        <v>37893.8991666734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98068662.4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86260363.7486889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36851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24</v>
      </c>
      <c r="F2" s="0"/>
      <c r="G2" s="65" t="s">
        <v>112</v>
      </c>
      <c r="H2" s="54" t="n">
        <f aca="false">VLOOKUP(H1,C_Debt,1)</f>
        <v>36827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152350.157166667</v>
      </c>
      <c r="F4" s="65" t="n">
        <f aca="false">VLOOKUP($H$1+30,C_Debt,5)</f>
        <v>190437.696458333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9003.55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29263845.1571667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909358.55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6" t="n">
        <f aca="false">K9*$K$4/12</f>
        <v>11254.4375</v>
      </c>
      <c r="M9" s="46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6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6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6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6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6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6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6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6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6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6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6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6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6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6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6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6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6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6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6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6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6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6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6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6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6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6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6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6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6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6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6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6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6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6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6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6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6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6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6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29263845.1571667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85</v>
      </c>
      <c r="H4" s="15" t="n">
        <f aca="false">'Hawaii Summary'!K7</f>
        <v>909358.55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8.938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24945958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24945958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30173203.7071667</v>
      </c>
      <c r="C11" s="15" t="n">
        <f aca="false">B11</f>
        <v>30173203.7071667</v>
      </c>
      <c r="E11" s="0" t="s">
        <v>124</v>
      </c>
      <c r="G11" s="75" t="n">
        <f aca="false">D4+H4</f>
        <v>30173203.7071667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-5227245.70716667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24945958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29263845.1571667</v>
      </c>
      <c r="C14" s="15" t="n">
        <f aca="false">B14</f>
        <v>29263845.1571667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24945958</v>
      </c>
      <c r="C15" s="15" t="n">
        <f aca="false">C10-E4+C12</f>
        <v>57710645</v>
      </c>
      <c r="F15" s="56"/>
      <c r="G15" s="56" t="n">
        <f aca="false">-F14+F13</f>
        <v>-33665042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-4317887.15716667</v>
      </c>
      <c r="C16" s="76" t="n">
        <f aca="false">C15-C14</f>
        <v>28446799.8428333</v>
      </c>
      <c r="D16" s="77" t="s">
        <v>129</v>
      </c>
      <c r="F16" s="56"/>
      <c r="G16" s="59" t="n">
        <f aca="false">G12-G15</f>
        <v>28437796.2928333</v>
      </c>
      <c r="H16" s="56" t="n">
        <f aca="false">C16-G16</f>
        <v>9003.55000000075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32764687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28446799.8428333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4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4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6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6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6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6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6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6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6"/>
    </row>
    <row r="43" customFormat="false" ht="12.75" hidden="false" customHeight="false" outlineLevel="0" collapsed="false">
      <c r="C43" s="0" t="s">
        <v>59</v>
      </c>
      <c r="E43" s="46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6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6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6" t="n">
        <f aca="false">E51-E52</f>
        <v>98953996.3866225</v>
      </c>
    </row>
    <row r="54" customFormat="false" ht="12.75" hidden="false" customHeight="false" outlineLevel="0" collapsed="false">
      <c r="C54" s="52"/>
      <c r="E54" s="46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36851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8.938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36851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215564896.4</v>
      </c>
      <c r="D14" s="0" t="s">
        <v>30</v>
      </c>
      <c r="E14" s="40" t="n">
        <f aca="false">'50 NP'!J3</f>
        <v>50625000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10623511.6666667</v>
      </c>
      <c r="D15" s="0" t="s">
        <v>33</v>
      </c>
      <c r="E15" s="40" t="n">
        <f aca="false">'Hawaii Summary'!C18</f>
        <v>212449666.2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21556.48964</v>
      </c>
    </row>
    <row r="17" customFormat="false" ht="12.75" hidden="false" customHeight="false" outlineLevel="0" collapsed="false">
      <c r="D17" s="0" t="s">
        <v>36</v>
      </c>
      <c r="E17" s="40" t="n">
        <f aca="false">'Notional Analysis'!F38</f>
        <v>30000000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-36907814.6229733</v>
      </c>
    </row>
    <row r="19" customFormat="false" ht="13.5" hidden="false" customHeight="false" outlineLevel="0" collapsed="false">
      <c r="B19" s="41" t="n">
        <f aca="false">SUM(B13:B18)</f>
        <v>256188408.066667</v>
      </c>
      <c r="E19" s="42" t="n">
        <f aca="false">SUM(E13:E18)</f>
        <v>256188408.066667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4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-290908903.6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-212449666.2</v>
      </c>
    </row>
    <row r="28" customFormat="false" ht="12.75" hidden="false" customHeight="false" outlineLevel="0" collapsed="false">
      <c r="A28" s="0" t="s">
        <v>45</v>
      </c>
      <c r="C28" s="44" t="n">
        <f aca="false">'50 NR'!K4-'258 NP'!J4-'50 NP'!J4</f>
        <v>-502488.333333333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-6886258.13333329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-36907814.6229733</v>
      </c>
    </row>
    <row r="31" customFormat="false" ht="12.75" hidden="false" customHeight="false" outlineLevel="0" collapsed="false">
      <c r="A31" s="0" t="s">
        <v>48</v>
      </c>
      <c r="C31" s="40" t="n">
        <f aca="false">E17</f>
        <v>30000000</v>
      </c>
    </row>
    <row r="32" customFormat="false" ht="12.75" hidden="false" customHeight="false" outlineLevel="0" collapsed="false">
      <c r="A32" s="0" t="s">
        <v>49</v>
      </c>
      <c r="C32" s="44" t="n">
        <f aca="false">E16</f>
        <v>21556.48964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3.84570739697665E-008</v>
      </c>
      <c r="D33" s="45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256188408.066667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50625000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21556.48964</v>
      </c>
    </row>
    <row r="41" customFormat="false" ht="12.75" hidden="false" customHeight="false" outlineLevel="0" collapsed="false">
      <c r="A41" s="0" t="s">
        <v>57</v>
      </c>
      <c r="C41" s="44" t="n">
        <f aca="false">E15-B16</f>
        <v>212449666.2</v>
      </c>
    </row>
    <row r="42" customFormat="false" ht="13.5" hidden="false" customHeight="false" outlineLevel="0" collapsed="false">
      <c r="C42" s="42" t="n">
        <f aca="false">C36-SUM(C38:C41)</f>
        <v>-6907814.62297332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6" t="n">
        <f aca="false">+E19</f>
        <v>256188408.066667</v>
      </c>
    </row>
    <row r="46" customFormat="false" ht="12.75" hidden="false" customHeight="false" outlineLevel="0" collapsed="false">
      <c r="A46" s="0" t="s">
        <v>60</v>
      </c>
      <c r="C46" s="46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30021556.48964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227166851.577027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6860438.91762621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30021556.48964</v>
      </c>
    </row>
    <row r="52" customFormat="false" ht="12.75" hidden="false" customHeight="false" outlineLevel="0" collapsed="false">
      <c r="A52" s="0" t="s">
        <v>66</v>
      </c>
      <c r="C52" s="46" t="n">
        <f aca="false">C51-C50</f>
        <v>23161117.5720138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766924422.914364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6" t="n">
        <f aca="false">C53-C54</f>
        <v>388748022.914364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36851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122511.666666667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60</v>
      </c>
      <c r="K3" s="59" t="n">
        <f aca="false">K1+K2</f>
        <v>10623511.6666667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122511.666666667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36851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60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36851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625000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60</v>
      </c>
      <c r="J3" s="59" t="n">
        <f aca="false">J1+J2</f>
        <v>50625000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625000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36851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18106283.7552083</v>
      </c>
      <c r="H5" s="15" t="n">
        <v>1976250</v>
      </c>
      <c r="I5" s="28" t="n">
        <v>0.15</v>
      </c>
      <c r="J5" s="40" t="n">
        <f aca="false">B2-B5</f>
        <v>235</v>
      </c>
      <c r="K5" s="0" t="n">
        <f aca="false">'A Amort'!N5</f>
        <v>1993542.1875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87407690.2513111</v>
      </c>
      <c r="H6" s="15" t="n">
        <v>3954146</v>
      </c>
      <c r="I6" s="28" t="n">
        <v>0.15</v>
      </c>
      <c r="J6" s="40" t="n">
        <f aca="false">B2-B6</f>
        <v>53</v>
      </c>
      <c r="K6" s="65" t="n">
        <f aca="false">'B_D Amort'!N5</f>
        <v>3992039.89916667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29263845.1571667</v>
      </c>
      <c r="H7" s="15" t="n">
        <v>900355</v>
      </c>
      <c r="I7" s="28" t="n">
        <v>0.15</v>
      </c>
      <c r="J7" s="40" t="n">
        <f aca="false">B2-B7</f>
        <v>85</v>
      </c>
      <c r="K7" s="65" t="n">
        <f aca="false">'C Amort'!N5</f>
        <v>909358.55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134777819.163686</v>
      </c>
      <c r="H8" s="42" t="n">
        <f aca="false">SUM(H5:H7)</f>
        <v>6830751</v>
      </c>
      <c r="K8" s="42" t="n">
        <f aca="false">SUM(K5:K7)</f>
        <v>6894940.63666667</v>
      </c>
    </row>
    <row r="9" customFormat="false" ht="13.5" hidden="false" customHeight="false" outlineLevel="0" collapsed="false">
      <c r="C9" s="46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8.938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81616316.8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98068662.4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32764687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212449666.2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36851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21</v>
      </c>
      <c r="F2" s="0"/>
      <c r="G2" s="65" t="s">
        <v>112</v>
      </c>
      <c r="H2" s="54" t="n">
        <f aca="false">VLOOKUP(H1,A_Debt,1)</f>
        <v>36830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82533.7552083333</v>
      </c>
      <c r="F4" s="65" t="n">
        <f aca="false">VLOOKUP($H$1+30,A_Debt,5)</f>
        <v>117905.364583333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17292.1875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18106283.7552083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1993542.1875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6" t="n">
        <f aca="false">K9*$K$4/12</f>
        <v>24703.125</v>
      </c>
      <c r="M9" s="46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6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6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6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6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6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6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6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6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6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6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6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6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6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6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6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6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6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6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6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6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6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6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6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6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6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6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6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6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6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6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6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6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6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6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6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6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6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6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6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6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6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6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6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6" t="n">
        <f aca="false">K53*$K$4/12</f>
        <v>24703.125</v>
      </c>
      <c r="M53" s="46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18106283.7552083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235</v>
      </c>
      <c r="H4" s="15" t="n">
        <f aca="false">'Hawaii Summary'!K5</f>
        <v>1993542.1875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8.938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60478083.2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60478083.2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20099825.9427083</v>
      </c>
      <c r="C11" s="15" t="n">
        <f aca="false">B11</f>
        <v>20099825.9427083</v>
      </c>
      <c r="E11" s="0" t="s">
        <v>124</v>
      </c>
      <c r="G11" s="75" t="n">
        <f aca="false">D4+H4</f>
        <v>20099825.9427083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40378257.2572917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60478083.2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18106283.7552083</v>
      </c>
      <c r="C14" s="15" t="n">
        <f aca="false">B14</f>
        <v>18106283.7552083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58501833.2</v>
      </c>
      <c r="C15" s="15" t="n">
        <f aca="false">C10-E4+C12</f>
        <v>140118150</v>
      </c>
      <c r="F15" s="56"/>
      <c r="G15" s="56" t="n">
        <f aca="false">-F14+F13</f>
        <v>-81616316.8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40395549.4447917</v>
      </c>
      <c r="C16" s="76" t="n">
        <f aca="false">C15-C14</f>
        <v>122011866.244792</v>
      </c>
      <c r="D16" s="77" t="s">
        <v>129</v>
      </c>
      <c r="F16" s="56"/>
      <c r="G16" s="59" t="n">
        <f aca="false">G12-G15</f>
        <v>121994574.057292</v>
      </c>
      <c r="H16" s="56" t="n">
        <f aca="false">C16-G16</f>
        <v>17292.1875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81616316.8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122011866.244792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36851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23</v>
      </c>
      <c r="F2" s="0"/>
      <c r="G2" s="65" t="s">
        <v>112</v>
      </c>
      <c r="H2" s="54" t="n">
        <f aca="false">VLOOKUP(H1,BD_Debt,1)</f>
        <v>36828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436186.251311111</v>
      </c>
      <c r="F4" s="65" t="n">
        <f aca="false">VLOOKUP($H$1+30,BD_Debt,5)</f>
        <v>568938.588666667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37893.8991666667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87407690.2513111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3992039.89916667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6" t="n">
        <f aca="false">K9*$K$4/12</f>
        <v>49426.825</v>
      </c>
      <c r="M9" s="46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6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6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6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6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6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6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6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6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6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6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6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6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6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6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6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6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6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6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6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6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6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6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6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6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6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6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6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6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6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6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6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6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6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6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6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6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6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6" t="n">
        <f aca="false">K47*$K$4/12</f>
        <v>49426.825</v>
      </c>
      <c r="M47" s="46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GLMcKillop</cp:lastModifiedBy>
  <cp:lastPrinted>2000-11-07T17:20:20Z</cp:lastPrinted>
  <dcterms:modified xsi:type="dcterms:W3CDTF">2000-11-21T23:15:15Z</dcterms:modified>
  <cp:revision>0</cp:revision>
  <dc:subject/>
  <dc:title/>
</cp:coreProperties>
</file>