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50 NR" sheetId="3" state="hidden" r:id="rId5"/>
    <sheet name="258 NP" sheetId="4" state="hidden" r:id="rId6"/>
    <sheet name="50 NP" sheetId="5" state="hidden" r:id="rId7"/>
    <sheet name="Hawaii Summary" sheetId="6" state="visible" r:id="rId8"/>
    <sheet name="A Amort" sheetId="7" state="hidden" r:id="rId9"/>
    <sheet name="A TRS" sheetId="8" state="hidden" r:id="rId10"/>
    <sheet name="B_D Amort" sheetId="9" state="hidden" r:id="rId11"/>
    <sheet name="B_D TRS" sheetId="10" state="hidden" r:id="rId12"/>
    <sheet name="C Amort" sheetId="11" state="hidden" r:id="rId13"/>
    <sheet name="C TRS" sheetId="12" state="hidden" r:id="rId14"/>
    <sheet name="Notional Analysis" sheetId="13" state="visible" r:id="rId15"/>
  </sheets>
  <definedNames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able" vbProcedure="false">'258 NP'!$A$8:$H$68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<sst xmlns="http://schemas.openxmlformats.org/spreadsheetml/2006/main" count="373" uniqueCount="159">
  <si>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</si>
  <si>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</si>
  <si>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</si>
  <si>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</si>
  <si>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</si>
  <si>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</si>
  <si>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</si>
  <si>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</si>
  <si>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</si>
  <si>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</si>
  <si>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</si>
  <si>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</si>
  <si>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</si>
  <si>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</si>
  <si>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</si>
  <si>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</si>
  <si>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</si>
  <si>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</si>
  <si>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</si>
  <si>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</si>
  <si>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</si>
  <si>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</si>
  <si>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</si>
  <si>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</si>
  <si>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</si>
  <si>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</si>
  <si>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</si>
  <si>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</si>
  <si>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</si>
  <si>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</si>
  <si>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</si>
  <si>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</si>
  <si>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</si>
  <si>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</si>
  <si>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</si>
  <si>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</si>
  <si>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</si>
  <si>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</si>
  <si>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</si>
  <si>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</si>
  <si>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</si>
  <si>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</si>
  <si>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</si>
  <si>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</si>
  <si>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</si>
  <si>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</si>
  <si>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</si>
  <si>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</si>
  <si>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</si>
  <si>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</si>
  <si>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</si>
  <si>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</si>
  <si>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</si>
  <si>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</si>
  <si>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</si>
  <si>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</si>
  <si>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</si>
  <si>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</si>
  <si>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</si>
  <si>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</si>
  <si>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</si>
  <si>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</si>
  <si>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</si>
  <si>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</si>
  <si>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</si>
  <si>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</si>
  <si>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</si>
  <si>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</si>
  <si>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</si>
  <si>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Note Receivable</t>
  </si>
  <si>
    <t xml:space="preserve">Today</t>
  </si>
  <si>
    <t xml:space="preserve">Principle</t>
  </si>
  <si>
    <t xml:space="preserve">Face</t>
  </si>
  <si>
    <t xml:space="preserve">Last Pymt Date</t>
  </si>
  <si>
    <t xml:space="preserve">Accrued Interest</t>
  </si>
  <si>
    <t xml:space="preserve">Interest</t>
  </si>
  <si>
    <t xml:space="preserve">Interest Days</t>
  </si>
  <si>
    <t xml:space="preserve">Tenor</t>
  </si>
  <si>
    <t xml:space="preserve">Next Interest</t>
  </si>
  <si>
    <t xml:space="preserve">Cum. Interest Inc.</t>
  </si>
  <si>
    <t xml:space="preserve">Payment</t>
  </si>
  <si>
    <t xml:space="preserve">Beg. Bal</t>
  </si>
  <si>
    <t xml:space="preserve">End Bal</t>
  </si>
  <si>
    <t xml:space="preserve">Cum Payments</t>
  </si>
  <si>
    <t xml:space="preserve">Cum Int Inc</t>
  </si>
  <si>
    <t xml:space="preserve">258MM Note Payable</t>
  </si>
  <si>
    <t xml:space="preserve">Cum. Int. Exp.</t>
  </si>
  <si>
    <t xml:space="preserve">Cum Int Exp</t>
  </si>
  <si>
    <t xml:space="preserve">50MM Note Payable</t>
  </si>
  <si>
    <t xml:space="preserve">Summary of Hawaii Securitizations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</si>
  <si>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</si>
  <si>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</si>
  <si>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</si>
  <si>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</si>
  <si>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</si>
  <si>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</si>
  <si>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</si>
  <si>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</si>
  <si>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</si>
  <si>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</si>
  <si>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</si>
  <si>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</si>
  <si>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</si>
  <si>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</si>
  <si>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</si>
  <si>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</si>
  <si>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</si>
  <si>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</si>
  <si>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</si>
  <si>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</si>
  <si>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</si>
  <si>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</si>
  <si>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</si>
  <si>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Acc Int</t>
  </si>
  <si>
    <t xml:space="preserve">Inflation</t>
  </si>
  <si>
    <t xml:space="preserve">A Debt O/S</t>
  </si>
  <si>
    <t xml:space="preserve">A Equity O/S</t>
  </si>
  <si>
    <t xml:space="preserve">LIBOR</t>
  </si>
  <si>
    <t xml:space="preserve">Interest Rate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</si>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</sst>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.00_);[RED]&quot;($&quot;#,##0.00\)"/>
    <numFmt numFmtId="174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36859</v>
      </c>
      <c r="D5" s="10" t="s">
        <v>3</v>
      </c>
      <c r="E5" s="11" t="n">
        <f aca="false">+C5-1</f>
        <v>36858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2.75" hidden="false" customHeight="false" outlineLevel="0" collapsed="false">
      <c r="A12" s="4"/>
      <c r="B12" s="7" t="s">
        <v>9</v>
      </c>
      <c r="C12" s="15" t="n">
        <v>-247363899</v>
      </c>
      <c r="D12" s="15" t="n">
        <v>0</v>
      </c>
      <c r="E12" s="15" t="n">
        <f aca="false">+C12-D12</f>
        <v>-247363899</v>
      </c>
      <c r="F12" s="6"/>
    </row>
    <row r="13" customFormat="false" ht="12.75" hidden="false" customHeight="false" outlineLevel="0" collapsed="false">
      <c r="A13" s="4"/>
      <c r="B13" s="7" t="s">
        <v>10</v>
      </c>
      <c r="C13" s="16" t="n">
        <f aca="false">+C15-C12</f>
        <v>-9007800</v>
      </c>
      <c r="D13" s="16" t="n">
        <f aca="false">+D15-D12</f>
        <v>0</v>
      </c>
      <c r="E13" s="16" t="n">
        <f aca="false">+E15-E12</f>
        <v>-9007800</v>
      </c>
      <c r="F13" s="6"/>
    </row>
    <row r="14" customFormat="false" ht="12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3.5" hidden="false" customHeight="false" outlineLevel="0" collapsed="false">
      <c r="A15" s="4"/>
      <c r="B15" s="7" t="s">
        <v>11</v>
      </c>
      <c r="C15" s="17" t="n">
        <f aca="false">+'Credit Analysis'!C27</f>
        <v>-256371699</v>
      </c>
      <c r="D15" s="17" t="n">
        <v>0</v>
      </c>
      <c r="E15" s="17" t="n">
        <f aca="false">+C15-D15</f>
        <v>-256371699</v>
      </c>
      <c r="F15" s="6"/>
    </row>
    <row r="16" customFormat="false" ht="13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2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2.75" hidden="false" customHeight="false" outlineLevel="0" collapsed="false">
      <c r="A18" s="4"/>
      <c r="B18" s="7" t="s">
        <v>12</v>
      </c>
      <c r="C18" s="15" t="n">
        <f aca="false">+'Credit Analysis'!C55</f>
        <v>447330305.180007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2.75" hidden="false" customHeight="false" outlineLevel="0" collapsed="false">
      <c r="A21" s="4"/>
      <c r="B21" s="7" t="s">
        <v>13</v>
      </c>
      <c r="C21" s="15" t="n">
        <f aca="false">+'Credit Analysis'!C42</f>
        <v>-109690162.347778</v>
      </c>
      <c r="D21" s="7"/>
      <c r="E21" s="7"/>
      <c r="F21" s="6"/>
    </row>
    <row r="22" customFormat="false" ht="12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2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/>
      <c r="C24" s="15"/>
      <c r="D24" s="7"/>
      <c r="E24" s="7"/>
      <c r="F24" s="6"/>
    </row>
    <row r="25" customFormat="false" ht="13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2" t="s">
        <v>138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Summary'!C6</f>
        <v>42291</v>
      </c>
      <c r="C4" s="15" t="n">
        <f aca="false">'Hawaii Summary'!F6</f>
        <v>86971504</v>
      </c>
      <c r="D4" s="15" t="n">
        <f aca="false">'Hawaii Summary'!G6</f>
        <v>86971504</v>
      </c>
      <c r="E4" s="15" t="n">
        <f aca="false">'Hawaii Summary'!H6</f>
        <v>3954146</v>
      </c>
      <c r="F4" s="28" t="n">
        <f aca="false">'Hawaii Summary'!I6</f>
        <v>0.15</v>
      </c>
      <c r="G4" s="40" t="n">
        <f aca="false">'Hawaii Summary'!J6</f>
        <v>61</v>
      </c>
      <c r="H4" s="65" t="n">
        <f aca="false">'Hawaii Summary'!K6</f>
        <v>3954146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6.5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54978300</v>
      </c>
      <c r="C10" s="15" t="n">
        <f aca="false">B4*B7*'Notional Analysis'!C8</f>
        <v>177622200</v>
      </c>
      <c r="E10" s="0" t="s">
        <v>122</v>
      </c>
      <c r="G10" s="56" t="n">
        <f aca="false">B4*B6*'Notional Analysis'!C8</f>
        <v>54978300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90925650</v>
      </c>
      <c r="C11" s="15" t="n">
        <f aca="false">B11</f>
        <v>90925650</v>
      </c>
      <c r="E11" s="0" t="s">
        <v>124</v>
      </c>
      <c r="G11" s="75" t="n">
        <f aca="false">D4+H4</f>
        <v>90925650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3954146</v>
      </c>
      <c r="C12" s="15"/>
      <c r="G12" s="56" t="n">
        <f aca="false">G10-G11</f>
        <v>-35947350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54978300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86971504</v>
      </c>
      <c r="C14" s="15" t="n">
        <f aca="false">B14</f>
        <v>86971504</v>
      </c>
      <c r="E14" s="0" t="s">
        <v>103</v>
      </c>
      <c r="F14" s="56" t="n">
        <f aca="false">B7*B4*'Notional Analysis'!C8</f>
        <v>177622200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54978300</v>
      </c>
      <c r="C15" s="15" t="n">
        <f aca="false">C10-E4+C12</f>
        <v>173668054</v>
      </c>
      <c r="F15" s="56"/>
      <c r="G15" s="56" t="n">
        <f aca="false">-F14+F13</f>
        <v>-122643900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-31993204</v>
      </c>
      <c r="C16" s="76" t="n">
        <f aca="false">C15-C14</f>
        <v>86696550</v>
      </c>
      <c r="D16" s="77" t="s">
        <v>129</v>
      </c>
      <c r="F16" s="56"/>
      <c r="G16" s="59" t="n">
        <f aca="false">G12-G15</f>
        <v>86696550</v>
      </c>
      <c r="H16" s="56" t="n">
        <f aca="false">C16-G16</f>
        <v>0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173668054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118689754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86696550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65" width="12.56"/>
    <col collapsed="false" customWidth="true" hidden="false" outlineLevel="0" max="7" min="7" style="65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2" t="s">
        <v>139</v>
      </c>
      <c r="F1" s="0"/>
      <c r="G1" s="65" t="s">
        <v>110</v>
      </c>
      <c r="H1" s="54" t="n">
        <f aca="false">'Credit Analysis'!B3</f>
        <v>36859</v>
      </c>
      <c r="J1" s="22" t="s">
        <v>140</v>
      </c>
    </row>
    <row r="2" customFormat="false" ht="12.75" hidden="false" customHeight="false" outlineLevel="0" collapsed="false">
      <c r="D2" s="0" t="s">
        <v>98</v>
      </c>
      <c r="E2" s="40" t="n">
        <f aca="false">H1-H2</f>
        <v>1</v>
      </c>
      <c r="F2" s="0"/>
      <c r="G2" s="65" t="s">
        <v>112</v>
      </c>
      <c r="H2" s="54" t="n">
        <f aca="false">VLOOKUP(H1,C_Debt,1)</f>
        <v>36858</v>
      </c>
    </row>
    <row r="3" customFormat="false" ht="12.75" hidden="false" customHeight="false" outlineLevel="0" collapsed="false">
      <c r="A3" s="0" t="s">
        <v>72</v>
      </c>
      <c r="B3" s="15" t="n">
        <f aca="false">'Hawaii Summary'!F7</f>
        <v>29111495</v>
      </c>
      <c r="D3" s="0" t="s">
        <v>71</v>
      </c>
      <c r="E3" s="15" t="n">
        <f aca="false">VLOOKUP($H$1,C_Debt,8)</f>
        <v>29111495</v>
      </c>
      <c r="H3" s="54"/>
      <c r="J3" s="22" t="s">
        <v>72</v>
      </c>
      <c r="K3" s="15" t="n">
        <f aca="false">'Hawaii Summary'!H7</f>
        <v>900355</v>
      </c>
      <c r="M3" s="0" t="s">
        <v>71</v>
      </c>
      <c r="N3" s="15" t="n">
        <f aca="false">VLOOKUP($H$1,C_Equity,6)</f>
        <v>900355</v>
      </c>
    </row>
    <row r="4" customFormat="false" ht="12.75" hidden="false" customHeight="false" outlineLevel="0" collapsed="false">
      <c r="A4" s="0" t="s">
        <v>16</v>
      </c>
      <c r="B4" s="54" t="n">
        <f aca="false">'Hawaii Summary'!B7</f>
        <v>36766</v>
      </c>
      <c r="D4" s="0" t="s">
        <v>113</v>
      </c>
      <c r="E4" s="15" t="n">
        <f aca="false">F4*$E$2/30</f>
        <v>6356.00974166667</v>
      </c>
      <c r="F4" s="65" t="n">
        <f aca="false">VLOOKUP($H$1+30,C_Debt,5)</f>
        <v>190680.29225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375.147916666667</v>
      </c>
      <c r="O4" s="65" t="n">
        <f aca="false">VLOOKUP($H$1+30,C_Equity,3)</f>
        <v>11254.4375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141</v>
      </c>
      <c r="E5" s="69" t="n">
        <f aca="false">E3+E4</f>
        <v>29117851.0097417</v>
      </c>
      <c r="H5" s="40"/>
      <c r="J5" s="22" t="s">
        <v>77</v>
      </c>
      <c r="K5" s="40" t="n">
        <f aca="false">COUNT(J8:J48)-1</f>
        <v>40</v>
      </c>
      <c r="M5" s="0" t="s">
        <v>142</v>
      </c>
      <c r="N5" s="59" t="n">
        <f aca="false">SUM(N3:N4)</f>
        <v>900730.147916667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28740.6046196603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36766</v>
      </c>
      <c r="B8" s="56" t="n">
        <f aca="false">B3</f>
        <v>29111495</v>
      </c>
      <c r="H8" s="56" t="n">
        <f aca="false">B8-G8</f>
        <v>29111495</v>
      </c>
      <c r="J8" s="54" t="n">
        <f aca="false">A8</f>
        <v>36766</v>
      </c>
      <c r="K8" s="15" t="n">
        <f aca="false">K3</f>
        <v>900355</v>
      </c>
      <c r="N8" s="65" t="n">
        <f aca="false">M8-L8</f>
        <v>0</v>
      </c>
      <c r="O8" s="56" t="n">
        <f aca="false">K8-N8</f>
        <v>900355</v>
      </c>
    </row>
    <row r="9" customFormat="false" ht="12.75" hidden="false" customHeight="false" outlineLevel="0" collapsed="false">
      <c r="A9" s="54" t="n">
        <v>36797</v>
      </c>
      <c r="B9" s="56" t="n">
        <f aca="false">H8</f>
        <v>29111495</v>
      </c>
      <c r="C9" s="28" t="n">
        <v>0.0676</v>
      </c>
      <c r="D9" s="58" t="n">
        <f aca="false">C9+0.005+0.0055</f>
        <v>0.0781</v>
      </c>
      <c r="E9" s="15" t="n">
        <f aca="false">B9*D9/12</f>
        <v>189467.313291667</v>
      </c>
      <c r="F9" s="56" t="n">
        <f aca="false">E9</f>
        <v>189467.313291667</v>
      </c>
      <c r="G9" s="65" t="n">
        <f aca="false">F9-E9</f>
        <v>0</v>
      </c>
      <c r="H9" s="56" t="n">
        <f aca="false">B9-G9</f>
        <v>29111495</v>
      </c>
      <c r="J9" s="54" t="n">
        <f aca="false">A9</f>
        <v>36797</v>
      </c>
      <c r="K9" s="56" t="n">
        <f aca="false">O8</f>
        <v>900355</v>
      </c>
      <c r="L9" s="46" t="n">
        <f aca="false">K9*$K$4/12</f>
        <v>11254.4375</v>
      </c>
      <c r="M9" s="46" t="n">
        <f aca="false">L9</f>
        <v>11254.4375</v>
      </c>
      <c r="N9" s="65" t="n">
        <f aca="false">M9-L9</f>
        <v>0</v>
      </c>
      <c r="O9" s="56" t="n">
        <f aca="false">K9-N9</f>
        <v>900355</v>
      </c>
    </row>
    <row r="10" customFormat="false" ht="12.75" hidden="false" customHeight="false" outlineLevel="0" collapsed="false">
      <c r="A10" s="54" t="n">
        <v>36827</v>
      </c>
      <c r="B10" s="56" t="n">
        <f aca="false">H9</f>
        <v>29111495</v>
      </c>
      <c r="C10" s="28" t="n">
        <v>0.0672</v>
      </c>
      <c r="D10" s="58" t="n">
        <f aca="false">C10+0.005+0.0055</f>
        <v>0.0777</v>
      </c>
      <c r="E10" s="15" t="n">
        <f aca="false">B10*D10/12</f>
        <v>188496.930125</v>
      </c>
      <c r="F10" s="56" t="n">
        <f aca="false">E10</f>
        <v>188496.930125</v>
      </c>
      <c r="G10" s="65" t="n">
        <f aca="false">F10-E10</f>
        <v>0</v>
      </c>
      <c r="H10" s="56" t="n">
        <f aca="false">B10-G10</f>
        <v>29111495</v>
      </c>
      <c r="J10" s="54" t="n">
        <f aca="false">A10</f>
        <v>36827</v>
      </c>
      <c r="K10" s="56" t="n">
        <f aca="false">O9</f>
        <v>900355</v>
      </c>
      <c r="L10" s="46" t="n">
        <f aca="false">K10*$K$4/12</f>
        <v>11254.4375</v>
      </c>
      <c r="M10" s="65" t="n">
        <f aca="false">M9</f>
        <v>11254.4375</v>
      </c>
      <c r="N10" s="65" t="n">
        <f aca="false">M10-L10</f>
        <v>0</v>
      </c>
      <c r="O10" s="56" t="n">
        <f aca="false">K10-N10</f>
        <v>900355</v>
      </c>
    </row>
    <row r="11" customFormat="false" ht="12.75" hidden="false" customHeight="false" outlineLevel="0" collapsed="false">
      <c r="A11" s="54" t="n">
        <v>36858</v>
      </c>
      <c r="B11" s="56" t="n">
        <f aca="false">H10</f>
        <v>29111495</v>
      </c>
      <c r="C11" s="28" t="n">
        <v>0.068</v>
      </c>
      <c r="D11" s="58" t="n">
        <f aca="false">C11+0.005+0.0055</f>
        <v>0.0785</v>
      </c>
      <c r="E11" s="15" t="n">
        <f aca="false">B11*D11/12</f>
        <v>190437.696458333</v>
      </c>
      <c r="F11" s="56" t="n">
        <f aca="false">E11</f>
        <v>190437.696458333</v>
      </c>
      <c r="G11" s="65" t="n">
        <f aca="false">F11-E11</f>
        <v>0</v>
      </c>
      <c r="H11" s="56" t="n">
        <f aca="false">B11-G11</f>
        <v>29111495</v>
      </c>
      <c r="J11" s="54" t="n">
        <f aca="false">A11</f>
        <v>36858</v>
      </c>
      <c r="K11" s="56" t="n">
        <f aca="false">O10</f>
        <v>900355</v>
      </c>
      <c r="L11" s="46" t="n">
        <f aca="false">K11*$K$4/12</f>
        <v>11254.4375</v>
      </c>
      <c r="M11" s="65" t="n">
        <f aca="false">M10</f>
        <v>11254.4375</v>
      </c>
      <c r="N11" s="65" t="n">
        <f aca="false">M11-L11</f>
        <v>0</v>
      </c>
      <c r="O11" s="56" t="n">
        <f aca="false">K11-N11</f>
        <v>900355</v>
      </c>
    </row>
    <row r="12" customFormat="false" ht="12.75" hidden="false" customHeight="false" outlineLevel="0" collapsed="false">
      <c r="A12" s="54" t="n">
        <v>36888</v>
      </c>
      <c r="B12" s="56" t="n">
        <f aca="false">H11</f>
        <v>29111495</v>
      </c>
      <c r="C12" s="28" t="n">
        <v>0.0681</v>
      </c>
      <c r="D12" s="58" t="n">
        <f aca="false">C12+0.005+0.0055</f>
        <v>0.0786</v>
      </c>
      <c r="E12" s="15" t="n">
        <f aca="false">B12*D12/12</f>
        <v>190680.29225</v>
      </c>
      <c r="F12" s="56" t="n">
        <f aca="false">E12</f>
        <v>190680.29225</v>
      </c>
      <c r="G12" s="65" t="n">
        <f aca="false">F12-E12</f>
        <v>0</v>
      </c>
      <c r="H12" s="56" t="n">
        <f aca="false">B12-G12</f>
        <v>29111495</v>
      </c>
      <c r="J12" s="54" t="n">
        <f aca="false">A12</f>
        <v>36888</v>
      </c>
      <c r="K12" s="56" t="n">
        <f aca="false">O11</f>
        <v>900355</v>
      </c>
      <c r="L12" s="46" t="n">
        <f aca="false">K12*$K$4/12</f>
        <v>11254.4375</v>
      </c>
      <c r="M12" s="65" t="n">
        <f aca="false">M11</f>
        <v>11254.4375</v>
      </c>
      <c r="N12" s="65" t="n">
        <f aca="false">M12-L12</f>
        <v>0</v>
      </c>
      <c r="O12" s="56" t="n">
        <f aca="false">K12-N12</f>
        <v>900355</v>
      </c>
    </row>
    <row r="13" customFormat="false" ht="12.75" hidden="false" customHeight="false" outlineLevel="0" collapsed="false">
      <c r="A13" s="54" t="n">
        <v>36919</v>
      </c>
      <c r="B13" s="56" t="n">
        <f aca="false">H12</f>
        <v>29111495</v>
      </c>
      <c r="C13" s="28" t="n">
        <v>0.0683</v>
      </c>
      <c r="D13" s="58" t="n">
        <f aca="false">C13+0.005+0.0055</f>
        <v>0.0788</v>
      </c>
      <c r="E13" s="15" t="n">
        <f aca="false">B13*D13/12</f>
        <v>191165.483833333</v>
      </c>
      <c r="F13" s="56" t="n">
        <f aca="false">E13</f>
        <v>191165.483833333</v>
      </c>
      <c r="G13" s="65" t="n">
        <f aca="false">F13-E13</f>
        <v>0</v>
      </c>
      <c r="H13" s="56" t="n">
        <f aca="false">B13-G13</f>
        <v>29111495</v>
      </c>
      <c r="J13" s="54" t="n">
        <f aca="false">A13</f>
        <v>36919</v>
      </c>
      <c r="K13" s="56" t="n">
        <f aca="false">O12</f>
        <v>900355</v>
      </c>
      <c r="L13" s="46" t="n">
        <f aca="false">K13*$K$4/12</f>
        <v>11254.4375</v>
      </c>
      <c r="M13" s="65" t="n">
        <f aca="false">M12</f>
        <v>11254.4375</v>
      </c>
      <c r="N13" s="65" t="n">
        <f aca="false">M13-L13</f>
        <v>0</v>
      </c>
      <c r="O13" s="56" t="n">
        <f aca="false">K13-N13</f>
        <v>900355</v>
      </c>
    </row>
    <row r="14" customFormat="false" ht="12.75" hidden="false" customHeight="false" outlineLevel="0" collapsed="false">
      <c r="A14" s="54" t="n">
        <v>36950</v>
      </c>
      <c r="B14" s="56" t="n">
        <f aca="false">H13</f>
        <v>29111495</v>
      </c>
      <c r="C14" s="28" t="n">
        <v>0.0683</v>
      </c>
      <c r="D14" s="58" t="n">
        <f aca="false">C14+0.005+0.0055</f>
        <v>0.0788</v>
      </c>
      <c r="E14" s="15" t="n">
        <f aca="false">B14*D14/12</f>
        <v>191165.483833333</v>
      </c>
      <c r="F14" s="56" t="n">
        <f aca="false">E14</f>
        <v>191165.483833333</v>
      </c>
      <c r="G14" s="65" t="n">
        <f aca="false">F14-E14</f>
        <v>0</v>
      </c>
      <c r="H14" s="56" t="n">
        <f aca="false">B14-G14</f>
        <v>29111495</v>
      </c>
      <c r="J14" s="54" t="n">
        <f aca="false">A14</f>
        <v>36950</v>
      </c>
      <c r="K14" s="56" t="n">
        <f aca="false">O13</f>
        <v>900355</v>
      </c>
      <c r="L14" s="46" t="n">
        <f aca="false">K14*$K$4/12</f>
        <v>11254.4375</v>
      </c>
      <c r="M14" s="65" t="n">
        <f aca="false">M13</f>
        <v>11254.4375</v>
      </c>
      <c r="N14" s="65" t="n">
        <f aca="false">M14-L14</f>
        <v>0</v>
      </c>
      <c r="O14" s="56" t="n">
        <f aca="false">K14-N14</f>
        <v>900355</v>
      </c>
    </row>
    <row r="15" customFormat="false" ht="12.75" hidden="false" customHeight="false" outlineLevel="0" collapsed="false">
      <c r="A15" s="54" t="n">
        <v>36978</v>
      </c>
      <c r="B15" s="56" t="n">
        <f aca="false">H14</f>
        <v>29111495</v>
      </c>
      <c r="C15" s="28" t="n">
        <v>0.0683</v>
      </c>
      <c r="D15" s="58" t="n">
        <f aca="false">C15+0.005+0.0055</f>
        <v>0.0788</v>
      </c>
      <c r="E15" s="15" t="n">
        <f aca="false">B15*D15/12</f>
        <v>191165.483833333</v>
      </c>
      <c r="F15" s="56" t="n">
        <f aca="false">E15</f>
        <v>191165.483833333</v>
      </c>
      <c r="G15" s="65" t="n">
        <f aca="false">F15-E15</f>
        <v>0</v>
      </c>
      <c r="H15" s="56" t="n">
        <f aca="false">B15-G15</f>
        <v>29111495</v>
      </c>
      <c r="J15" s="54" t="n">
        <f aca="false">A15</f>
        <v>36978</v>
      </c>
      <c r="K15" s="56" t="n">
        <f aca="false">O14</f>
        <v>900355</v>
      </c>
      <c r="L15" s="46" t="n">
        <f aca="false">K15*$K$4/12</f>
        <v>11254.4375</v>
      </c>
      <c r="M15" s="65" t="n">
        <f aca="false">M14</f>
        <v>11254.4375</v>
      </c>
      <c r="N15" s="65" t="n">
        <f aca="false">M15-L15</f>
        <v>0</v>
      </c>
      <c r="O15" s="56" t="n">
        <f aca="false">K15-N15</f>
        <v>900355</v>
      </c>
    </row>
    <row r="16" customFormat="false" ht="12.75" hidden="false" customHeight="false" outlineLevel="0" collapsed="false">
      <c r="A16" s="54" t="n">
        <v>37009</v>
      </c>
      <c r="B16" s="56" t="n">
        <f aca="false">H15</f>
        <v>29111495</v>
      </c>
      <c r="C16" s="28" t="n">
        <v>0.0685</v>
      </c>
      <c r="D16" s="58" t="n">
        <f aca="false">C16+0.005+0.0055</f>
        <v>0.079</v>
      </c>
      <c r="E16" s="15" t="n">
        <f aca="false">B16*D16/12</f>
        <v>191650.675416667</v>
      </c>
      <c r="F16" s="56" t="n">
        <f aca="false">E16</f>
        <v>191650.675416667</v>
      </c>
      <c r="G16" s="65" t="n">
        <f aca="false">F16-E16</f>
        <v>0</v>
      </c>
      <c r="H16" s="56" t="n">
        <f aca="false">B16-G16</f>
        <v>29111495</v>
      </c>
      <c r="J16" s="54" t="n">
        <f aca="false">A16</f>
        <v>37009</v>
      </c>
      <c r="K16" s="56" t="n">
        <f aca="false">O15</f>
        <v>900355</v>
      </c>
      <c r="L16" s="46" t="n">
        <f aca="false">K16*$K$4/12</f>
        <v>11254.4375</v>
      </c>
      <c r="M16" s="65" t="n">
        <f aca="false">M15</f>
        <v>11254.4375</v>
      </c>
      <c r="N16" s="65" t="n">
        <f aca="false">M16-L16</f>
        <v>0</v>
      </c>
      <c r="O16" s="56" t="n">
        <f aca="false">K16-N16</f>
        <v>900355</v>
      </c>
    </row>
    <row r="17" customFormat="false" ht="12.75" hidden="false" customHeight="false" outlineLevel="0" collapsed="false">
      <c r="A17" s="54" t="n">
        <v>37039</v>
      </c>
      <c r="B17" s="56" t="n">
        <f aca="false">H16</f>
        <v>29111495</v>
      </c>
      <c r="C17" s="28" t="n">
        <v>0.0687</v>
      </c>
      <c r="D17" s="58" t="n">
        <f aca="false">C17+0.005+0.0055</f>
        <v>0.0792</v>
      </c>
      <c r="E17" s="15" t="n">
        <f aca="false">B17*D17/12</f>
        <v>192135.867</v>
      </c>
      <c r="F17" s="56" t="n">
        <f aca="false">E17</f>
        <v>192135.867</v>
      </c>
      <c r="G17" s="65" t="n">
        <f aca="false">F17-E17</f>
        <v>0</v>
      </c>
      <c r="H17" s="56" t="n">
        <f aca="false">B17-G17</f>
        <v>29111495</v>
      </c>
      <c r="J17" s="54" t="n">
        <f aca="false">A17</f>
        <v>37039</v>
      </c>
      <c r="K17" s="56" t="n">
        <f aca="false">O16</f>
        <v>900355</v>
      </c>
      <c r="L17" s="46" t="n">
        <f aca="false">K17*$K$4/12</f>
        <v>11254.4375</v>
      </c>
      <c r="M17" s="65" t="n">
        <f aca="false">M16</f>
        <v>11254.4375</v>
      </c>
      <c r="N17" s="65" t="n">
        <f aca="false">M17-L17</f>
        <v>0</v>
      </c>
      <c r="O17" s="56" t="n">
        <f aca="false">K17-N17</f>
        <v>900355</v>
      </c>
    </row>
    <row r="18" customFormat="false" ht="12.75" hidden="false" customHeight="false" outlineLevel="0" collapsed="false">
      <c r="A18" s="54" t="n">
        <v>37070</v>
      </c>
      <c r="B18" s="56" t="n">
        <f aca="false">H17</f>
        <v>29111495</v>
      </c>
      <c r="C18" s="28" t="n">
        <v>0.0689</v>
      </c>
      <c r="D18" s="58" t="n">
        <f aca="false">C18+0.005+0.0055</f>
        <v>0.0794</v>
      </c>
      <c r="E18" s="15" t="n">
        <f aca="false">B18*D18/12</f>
        <v>192621.058583333</v>
      </c>
      <c r="F18" s="56" t="n">
        <f aca="false">E18</f>
        <v>192621.058583333</v>
      </c>
      <c r="G18" s="65" t="n">
        <f aca="false">F18-E18</f>
        <v>0</v>
      </c>
      <c r="H18" s="56" t="n">
        <f aca="false">B18-G18</f>
        <v>29111495</v>
      </c>
      <c r="J18" s="54" t="n">
        <f aca="false">A18</f>
        <v>37070</v>
      </c>
      <c r="K18" s="56" t="n">
        <f aca="false">O17</f>
        <v>900355</v>
      </c>
      <c r="L18" s="46" t="n">
        <f aca="false">K18*$K$4/12</f>
        <v>11254.4375</v>
      </c>
      <c r="M18" s="65" t="n">
        <f aca="false">M17</f>
        <v>11254.4375</v>
      </c>
      <c r="N18" s="65" t="n">
        <f aca="false">M18-L18</f>
        <v>0</v>
      </c>
      <c r="O18" s="56" t="n">
        <f aca="false">K18-N18</f>
        <v>900355</v>
      </c>
    </row>
    <row r="19" customFormat="false" ht="12.75" hidden="false" customHeight="false" outlineLevel="0" collapsed="false">
      <c r="A19" s="54" t="n">
        <v>37100</v>
      </c>
      <c r="B19" s="56" t="n">
        <f aca="false">H18</f>
        <v>29111495</v>
      </c>
      <c r="C19" s="28" t="n">
        <v>0.0689</v>
      </c>
      <c r="D19" s="58" t="n">
        <f aca="false">C19+0.005+0.0055</f>
        <v>0.0794</v>
      </c>
      <c r="E19" s="15" t="n">
        <f aca="false">B19*D19/12</f>
        <v>192621.058583333</v>
      </c>
      <c r="F19" s="56" t="n">
        <f aca="false">E19</f>
        <v>192621.058583333</v>
      </c>
      <c r="G19" s="65" t="n">
        <f aca="false">F19-E19</f>
        <v>0</v>
      </c>
      <c r="H19" s="56" t="n">
        <f aca="false">B19-G19</f>
        <v>29111495</v>
      </c>
      <c r="J19" s="54" t="n">
        <f aca="false">A19</f>
        <v>37100</v>
      </c>
      <c r="K19" s="56" t="n">
        <f aca="false">O18</f>
        <v>900355</v>
      </c>
      <c r="L19" s="46" t="n">
        <f aca="false">K19*$K$4/12</f>
        <v>11254.4375</v>
      </c>
      <c r="M19" s="65" t="n">
        <f aca="false">M18</f>
        <v>11254.4375</v>
      </c>
      <c r="N19" s="65" t="n">
        <f aca="false">M19-L19</f>
        <v>0</v>
      </c>
      <c r="O19" s="56" t="n">
        <f aca="false">K19-N19</f>
        <v>900355</v>
      </c>
    </row>
    <row r="20" customFormat="false" ht="12.75" hidden="false" customHeight="false" outlineLevel="0" collapsed="false">
      <c r="A20" s="54" t="n">
        <v>37131</v>
      </c>
      <c r="B20" s="56" t="n">
        <f aca="false">H19</f>
        <v>29111495</v>
      </c>
      <c r="C20" s="28" t="n">
        <v>0.0689</v>
      </c>
      <c r="D20" s="58" t="n">
        <f aca="false">C20+0.005+0.0055</f>
        <v>0.0794</v>
      </c>
      <c r="E20" s="15" t="n">
        <f aca="false">B20*D20/12</f>
        <v>192621.058583333</v>
      </c>
      <c r="F20" s="56" t="n">
        <f aca="false">E20</f>
        <v>192621.058583333</v>
      </c>
      <c r="G20" s="65" t="n">
        <f aca="false">F20-E20</f>
        <v>0</v>
      </c>
      <c r="H20" s="56" t="n">
        <f aca="false">B20-G20</f>
        <v>29111495</v>
      </c>
      <c r="J20" s="54" t="n">
        <f aca="false">A20</f>
        <v>37131</v>
      </c>
      <c r="K20" s="56" t="n">
        <f aca="false">O19</f>
        <v>900355</v>
      </c>
      <c r="L20" s="46" t="n">
        <f aca="false">K20*$K$4/12</f>
        <v>11254.4375</v>
      </c>
      <c r="M20" s="65" t="n">
        <f aca="false">M19</f>
        <v>11254.4375</v>
      </c>
      <c r="N20" s="65" t="n">
        <f aca="false">M20-L20</f>
        <v>0</v>
      </c>
      <c r="O20" s="56" t="n">
        <f aca="false">K20-N20</f>
        <v>900355</v>
      </c>
    </row>
    <row r="21" customFormat="false" ht="12.75" hidden="false" customHeight="false" outlineLevel="0" collapsed="false">
      <c r="A21" s="54" t="n">
        <v>37162</v>
      </c>
      <c r="B21" s="56" t="n">
        <f aca="false">H20</f>
        <v>29111495</v>
      </c>
      <c r="C21" s="28" t="n">
        <f aca="false">C20*(1+$C$5)</f>
        <v>0.06907225</v>
      </c>
      <c r="D21" s="58" t="n">
        <f aca="false">C21+0.005+0.0055</f>
        <v>0.07957225</v>
      </c>
      <c r="E21" s="15" t="n">
        <f aca="false">B21*D21/12</f>
        <v>193038.929834479</v>
      </c>
      <c r="F21" s="56" t="n">
        <f aca="false">E21</f>
        <v>193038.929834479</v>
      </c>
      <c r="G21" s="65" t="n">
        <f aca="false">F21-E21</f>
        <v>0</v>
      </c>
      <c r="H21" s="56" t="n">
        <f aca="false">B21-G21</f>
        <v>29111495</v>
      </c>
      <c r="J21" s="54" t="n">
        <f aca="false">A21</f>
        <v>37162</v>
      </c>
      <c r="K21" s="56" t="n">
        <f aca="false">O20</f>
        <v>900355</v>
      </c>
      <c r="L21" s="46" t="n">
        <f aca="false">K21*$K$4/12</f>
        <v>11254.4375</v>
      </c>
      <c r="M21" s="65" t="n">
        <f aca="false">M20</f>
        <v>11254.4375</v>
      </c>
      <c r="N21" s="65" t="n">
        <f aca="false">M21-L21</f>
        <v>0</v>
      </c>
      <c r="O21" s="56" t="n">
        <f aca="false">K21-N21</f>
        <v>900355</v>
      </c>
    </row>
    <row r="22" customFormat="false" ht="12.75" hidden="false" customHeight="false" outlineLevel="0" collapsed="false">
      <c r="A22" s="54" t="n">
        <v>37192</v>
      </c>
      <c r="B22" s="56" t="n">
        <f aca="false">H21</f>
        <v>29111495</v>
      </c>
      <c r="C22" s="28" t="n">
        <f aca="false">C21*(1+$C$5)</f>
        <v>0.069244930625</v>
      </c>
      <c r="D22" s="58" t="n">
        <f aca="false">C22+0.005+0.0055</f>
        <v>0.079744930625</v>
      </c>
      <c r="E22" s="15" t="n">
        <f aca="false">B22*D22/12</f>
        <v>193457.845763753</v>
      </c>
      <c r="F22" s="56" t="n">
        <f aca="false">E22</f>
        <v>193457.845763753</v>
      </c>
      <c r="G22" s="65" t="n">
        <f aca="false">F22-E22</f>
        <v>0</v>
      </c>
      <c r="H22" s="56" t="n">
        <f aca="false">B22-G22</f>
        <v>29111495</v>
      </c>
      <c r="J22" s="54" t="n">
        <f aca="false">A22</f>
        <v>37192</v>
      </c>
      <c r="K22" s="56" t="n">
        <f aca="false">O21</f>
        <v>900355</v>
      </c>
      <c r="L22" s="46" t="n">
        <f aca="false">K22*$K$4/12</f>
        <v>11254.4375</v>
      </c>
      <c r="M22" s="65" t="n">
        <f aca="false">M21</f>
        <v>11254.4375</v>
      </c>
      <c r="N22" s="65" t="n">
        <f aca="false">M22-L22</f>
        <v>0</v>
      </c>
      <c r="O22" s="56" t="n">
        <f aca="false">K22-N22</f>
        <v>900355</v>
      </c>
    </row>
    <row r="23" customFormat="false" ht="12.75" hidden="false" customHeight="false" outlineLevel="0" collapsed="false">
      <c r="A23" s="54" t="n">
        <v>37223</v>
      </c>
      <c r="B23" s="56" t="n">
        <f aca="false">H22</f>
        <v>29111495</v>
      </c>
      <c r="C23" s="28" t="n">
        <f aca="false">C22*(1+$C$5)</f>
        <v>0.0694180429515625</v>
      </c>
      <c r="D23" s="58" t="n">
        <f aca="false">C23+0.005+0.0055</f>
        <v>0.0799180429515625</v>
      </c>
      <c r="E23" s="15" t="n">
        <f aca="false">B23*D23/12</f>
        <v>193877.80898285</v>
      </c>
      <c r="F23" s="56" t="n">
        <f aca="false">E23</f>
        <v>193877.80898285</v>
      </c>
      <c r="G23" s="65" t="n">
        <f aca="false">F23-E23</f>
        <v>0</v>
      </c>
      <c r="H23" s="56" t="n">
        <f aca="false">B23-G23</f>
        <v>29111495</v>
      </c>
      <c r="J23" s="54" t="n">
        <f aca="false">A23</f>
        <v>37223</v>
      </c>
      <c r="K23" s="56" t="n">
        <f aca="false">O22</f>
        <v>900355</v>
      </c>
      <c r="L23" s="46" t="n">
        <f aca="false">K23*$K$4/12</f>
        <v>11254.4375</v>
      </c>
      <c r="M23" s="65" t="n">
        <f aca="false">M22</f>
        <v>11254.4375</v>
      </c>
      <c r="N23" s="65" t="n">
        <f aca="false">M23-L23</f>
        <v>0</v>
      </c>
      <c r="O23" s="56" t="n">
        <f aca="false">K23-N23</f>
        <v>900355</v>
      </c>
    </row>
    <row r="24" customFormat="false" ht="12.75" hidden="false" customHeight="false" outlineLevel="0" collapsed="false">
      <c r="A24" s="54" t="n">
        <v>37253</v>
      </c>
      <c r="B24" s="56" t="n">
        <f aca="false">H23</f>
        <v>29111495</v>
      </c>
      <c r="C24" s="28" t="n">
        <f aca="false">C23*(1+$C$5)</f>
        <v>0.0695915880589414</v>
      </c>
      <c r="D24" s="58" t="n">
        <f aca="false">C24+0.005+0.0055</f>
        <v>0.0800915880589414</v>
      </c>
      <c r="E24" s="15" t="n">
        <f aca="false">B24*D24/12</f>
        <v>194298.822109994</v>
      </c>
      <c r="F24" s="56" t="n">
        <f aca="false">E24</f>
        <v>194298.822109994</v>
      </c>
      <c r="G24" s="65" t="n">
        <f aca="false">F24-E24</f>
        <v>0</v>
      </c>
      <c r="H24" s="56" t="n">
        <f aca="false">B24-G24</f>
        <v>29111495</v>
      </c>
      <c r="J24" s="54" t="n">
        <f aca="false">A24</f>
        <v>37253</v>
      </c>
      <c r="K24" s="56" t="n">
        <f aca="false">O23</f>
        <v>900355</v>
      </c>
      <c r="L24" s="46" t="n">
        <f aca="false">K24*$K$4/12</f>
        <v>11254.4375</v>
      </c>
      <c r="M24" s="65" t="n">
        <f aca="false">M23</f>
        <v>11254.4375</v>
      </c>
      <c r="N24" s="65" t="n">
        <f aca="false">M24-L24</f>
        <v>0</v>
      </c>
      <c r="O24" s="56" t="n">
        <f aca="false">K24-N24</f>
        <v>900355</v>
      </c>
    </row>
    <row r="25" customFormat="false" ht="12.75" hidden="false" customHeight="false" outlineLevel="0" collapsed="false">
      <c r="A25" s="54" t="n">
        <v>37284</v>
      </c>
      <c r="B25" s="56" t="n">
        <f aca="false">H24</f>
        <v>29111495</v>
      </c>
      <c r="C25" s="28" t="n">
        <f aca="false">C24*(1+$C$5)</f>
        <v>0.0697655670290888</v>
      </c>
      <c r="D25" s="58" t="n">
        <f aca="false">C25+0.005+0.0055</f>
        <v>0.0802655670290888</v>
      </c>
      <c r="E25" s="15" t="n">
        <f aca="false">B25*D25/12</f>
        <v>194720.887769957</v>
      </c>
      <c r="F25" s="56" t="n">
        <f aca="false">E25</f>
        <v>194720.887769957</v>
      </c>
      <c r="G25" s="65" t="n">
        <f aca="false">F25-E25</f>
        <v>0</v>
      </c>
      <c r="H25" s="56" t="n">
        <f aca="false">B25-G25</f>
        <v>29111495</v>
      </c>
      <c r="J25" s="54" t="n">
        <f aca="false">A25</f>
        <v>37284</v>
      </c>
      <c r="K25" s="56" t="n">
        <f aca="false">O24</f>
        <v>900355</v>
      </c>
      <c r="L25" s="46" t="n">
        <f aca="false">K25*$K$4/12</f>
        <v>11254.4375</v>
      </c>
      <c r="M25" s="65" t="n">
        <f aca="false">M24</f>
        <v>11254.4375</v>
      </c>
      <c r="N25" s="65" t="n">
        <f aca="false">M25-L25</f>
        <v>0</v>
      </c>
      <c r="O25" s="56" t="n">
        <f aca="false">K25-N25</f>
        <v>900355</v>
      </c>
    </row>
    <row r="26" customFormat="false" ht="12.75" hidden="false" customHeight="false" outlineLevel="0" collapsed="false">
      <c r="A26" s="54" t="n">
        <v>37315</v>
      </c>
      <c r="B26" s="56" t="n">
        <f aca="false">H25</f>
        <v>29111495</v>
      </c>
      <c r="C26" s="28" t="n">
        <f aca="false">C25*(1+$C$5)</f>
        <v>0.0699399809466615</v>
      </c>
      <c r="D26" s="58" t="n">
        <f aca="false">C26+0.005+0.0055</f>
        <v>0.0804399809466615</v>
      </c>
      <c r="E26" s="15" t="n">
        <f aca="false">B26*D26/12</f>
        <v>195144.008594069</v>
      </c>
      <c r="F26" s="56" t="n">
        <f aca="false">E26</f>
        <v>195144.008594069</v>
      </c>
      <c r="G26" s="65" t="n">
        <f aca="false">F26-E26</f>
        <v>0</v>
      </c>
      <c r="H26" s="56" t="n">
        <f aca="false">B26-G26</f>
        <v>29111495</v>
      </c>
      <c r="J26" s="54" t="n">
        <f aca="false">A26</f>
        <v>37315</v>
      </c>
      <c r="K26" s="56" t="n">
        <f aca="false">O25</f>
        <v>900355</v>
      </c>
      <c r="L26" s="46" t="n">
        <f aca="false">K26*$K$4/12</f>
        <v>11254.4375</v>
      </c>
      <c r="M26" s="65" t="n">
        <f aca="false">M25</f>
        <v>11254.4375</v>
      </c>
      <c r="N26" s="65" t="n">
        <f aca="false">M26-L26</f>
        <v>0</v>
      </c>
      <c r="O26" s="56" t="n">
        <f aca="false">K26-N26</f>
        <v>900355</v>
      </c>
    </row>
    <row r="27" customFormat="false" ht="12.75" hidden="false" customHeight="false" outlineLevel="0" collapsed="false">
      <c r="A27" s="54" t="n">
        <v>37343</v>
      </c>
      <c r="B27" s="56" t="n">
        <f aca="false">H26</f>
        <v>29111495</v>
      </c>
      <c r="C27" s="28" t="n">
        <f aca="false">C26*(1+$C$5)</f>
        <v>0.0701148308990281</v>
      </c>
      <c r="D27" s="58" t="n">
        <f aca="false">C27+0.005+0.0055</f>
        <v>0.0806148308990281</v>
      </c>
      <c r="E27" s="15" t="n">
        <f aca="false">B27*D27/12</f>
        <v>195568.187220242</v>
      </c>
      <c r="F27" s="56" t="n">
        <f aca="false">E27</f>
        <v>195568.187220242</v>
      </c>
      <c r="G27" s="65" t="n">
        <f aca="false">F27-E27</f>
        <v>0</v>
      </c>
      <c r="H27" s="56" t="n">
        <f aca="false">B27-G27</f>
        <v>29111495</v>
      </c>
      <c r="J27" s="54" t="n">
        <f aca="false">A27</f>
        <v>37343</v>
      </c>
      <c r="K27" s="56" t="n">
        <f aca="false">O26</f>
        <v>900355</v>
      </c>
      <c r="L27" s="46" t="n">
        <f aca="false">K27*$K$4/12</f>
        <v>11254.4375</v>
      </c>
      <c r="M27" s="65" t="n">
        <f aca="false">M26</f>
        <v>11254.4375</v>
      </c>
      <c r="N27" s="65" t="n">
        <f aca="false">M27-L27</f>
        <v>0</v>
      </c>
      <c r="O27" s="56" t="n">
        <f aca="false">K27-N27</f>
        <v>900355</v>
      </c>
    </row>
    <row r="28" customFormat="false" ht="12.75" hidden="false" customHeight="false" outlineLevel="0" collapsed="false">
      <c r="A28" s="54" t="n">
        <v>37374</v>
      </c>
      <c r="B28" s="56" t="n">
        <f aca="false">H27</f>
        <v>29111495</v>
      </c>
      <c r="C28" s="28" t="n">
        <f aca="false">C27*(1+$C$5)</f>
        <v>0.0702901179762757</v>
      </c>
      <c r="D28" s="58" t="n">
        <f aca="false">C28+0.005+0.0055</f>
        <v>0.0807901179762757</v>
      </c>
      <c r="E28" s="15" t="n">
        <f aca="false">B28*D28/12</f>
        <v>195993.42629298</v>
      </c>
      <c r="F28" s="56" t="n">
        <f aca="false">E28</f>
        <v>195993.42629298</v>
      </c>
      <c r="G28" s="65" t="n">
        <f aca="false">F28-E28</f>
        <v>0</v>
      </c>
      <c r="H28" s="56" t="n">
        <f aca="false">B28-G28</f>
        <v>29111495</v>
      </c>
      <c r="J28" s="54" t="n">
        <f aca="false">A28</f>
        <v>37374</v>
      </c>
      <c r="K28" s="56" t="n">
        <f aca="false">O27</f>
        <v>900355</v>
      </c>
      <c r="L28" s="46" t="n">
        <f aca="false">K28*$K$4/12</f>
        <v>11254.4375</v>
      </c>
      <c r="M28" s="65" t="n">
        <f aca="false">M27</f>
        <v>11254.4375</v>
      </c>
      <c r="N28" s="65" t="n">
        <f aca="false">M28-L28</f>
        <v>0</v>
      </c>
      <c r="O28" s="56" t="n">
        <f aca="false">K28-N28</f>
        <v>900355</v>
      </c>
    </row>
    <row r="29" customFormat="false" ht="12.75" hidden="false" customHeight="false" outlineLevel="0" collapsed="false">
      <c r="A29" s="54" t="n">
        <v>37404</v>
      </c>
      <c r="B29" s="56" t="n">
        <f aca="false">H28</f>
        <v>29111495</v>
      </c>
      <c r="C29" s="28" t="n">
        <f aca="false">C28*(1+$C$5)</f>
        <v>0.0704658432712164</v>
      </c>
      <c r="D29" s="58" t="n">
        <f aca="false">C29+0.005+0.0055</f>
        <v>0.0809658432712164</v>
      </c>
      <c r="E29" s="15" t="n">
        <f aca="false">B29*D29/12</f>
        <v>196419.7284634</v>
      </c>
      <c r="F29" s="56" t="n">
        <f aca="false">E29</f>
        <v>196419.7284634</v>
      </c>
      <c r="G29" s="65" t="n">
        <f aca="false">F29-E29</f>
        <v>0</v>
      </c>
      <c r="H29" s="56" t="n">
        <f aca="false">B29-G29</f>
        <v>29111495</v>
      </c>
      <c r="J29" s="54" t="n">
        <f aca="false">A29</f>
        <v>37404</v>
      </c>
      <c r="K29" s="56" t="n">
        <f aca="false">O28</f>
        <v>900355</v>
      </c>
      <c r="L29" s="46" t="n">
        <f aca="false">K29*$K$4/12</f>
        <v>11254.4375</v>
      </c>
      <c r="M29" s="65" t="n">
        <f aca="false">M28</f>
        <v>11254.4375</v>
      </c>
      <c r="N29" s="65" t="n">
        <f aca="false">M29-L29</f>
        <v>0</v>
      </c>
      <c r="O29" s="56" t="n">
        <f aca="false">K29-N29</f>
        <v>900355</v>
      </c>
    </row>
    <row r="30" customFormat="false" ht="12.75" hidden="false" customHeight="false" outlineLevel="0" collapsed="false">
      <c r="A30" s="54" t="n">
        <v>37435</v>
      </c>
      <c r="B30" s="56" t="n">
        <f aca="false">H29</f>
        <v>29111495</v>
      </c>
      <c r="C30" s="28" t="n">
        <f aca="false">C29*(1+$C$5)</f>
        <v>0.0706420078793944</v>
      </c>
      <c r="D30" s="58" t="n">
        <f aca="false">C30+0.005+0.0055</f>
        <v>0.0811420078793944</v>
      </c>
      <c r="E30" s="15" t="n">
        <f aca="false">B30*D30/12</f>
        <v>196847.096389246</v>
      </c>
      <c r="F30" s="56" t="n">
        <f aca="false">E30</f>
        <v>196847.096389246</v>
      </c>
      <c r="G30" s="65" t="n">
        <f aca="false">F30-E30</f>
        <v>0</v>
      </c>
      <c r="H30" s="56" t="n">
        <f aca="false">B30-G30</f>
        <v>29111495</v>
      </c>
      <c r="J30" s="54" t="n">
        <f aca="false">A30</f>
        <v>37435</v>
      </c>
      <c r="K30" s="56" t="n">
        <f aca="false">O29</f>
        <v>900355</v>
      </c>
      <c r="L30" s="46" t="n">
        <f aca="false">K30*$K$4/12</f>
        <v>11254.4375</v>
      </c>
      <c r="M30" s="65" t="n">
        <f aca="false">M29</f>
        <v>11254.4375</v>
      </c>
      <c r="N30" s="65" t="n">
        <f aca="false">M30-L30</f>
        <v>0</v>
      </c>
      <c r="O30" s="56" t="n">
        <f aca="false">K30-N30</f>
        <v>900355</v>
      </c>
    </row>
    <row r="31" customFormat="false" ht="12.75" hidden="false" customHeight="false" outlineLevel="0" collapsed="false">
      <c r="A31" s="54" t="n">
        <v>37465</v>
      </c>
      <c r="B31" s="56" t="n">
        <f aca="false">H30</f>
        <v>29111495</v>
      </c>
      <c r="C31" s="28" t="n">
        <f aca="false">C30*(1+$C$5)</f>
        <v>0.0708186128990929</v>
      </c>
      <c r="D31" s="58" t="n">
        <f aca="false">C31+0.005+0.0055</f>
        <v>0.0813186128990929</v>
      </c>
      <c r="E31" s="15" t="n">
        <f aca="false">B31*D31/12</f>
        <v>197275.532734907</v>
      </c>
      <c r="F31" s="56" t="n">
        <f aca="false">E31</f>
        <v>197275.532734907</v>
      </c>
      <c r="G31" s="65" t="n">
        <f aca="false">F31-E31</f>
        <v>0</v>
      </c>
      <c r="H31" s="56" t="n">
        <f aca="false">B31-G31</f>
        <v>29111495</v>
      </c>
      <c r="J31" s="54" t="n">
        <f aca="false">A31</f>
        <v>37465</v>
      </c>
      <c r="K31" s="56" t="n">
        <f aca="false">O30</f>
        <v>900355</v>
      </c>
      <c r="L31" s="46" t="n">
        <f aca="false">K31*$K$4/12</f>
        <v>11254.4375</v>
      </c>
      <c r="M31" s="65" t="n">
        <f aca="false">M30</f>
        <v>11254.4375</v>
      </c>
      <c r="N31" s="65" t="n">
        <f aca="false">M31-L31</f>
        <v>0</v>
      </c>
      <c r="O31" s="56" t="n">
        <f aca="false">K31-N31</f>
        <v>900355</v>
      </c>
    </row>
    <row r="32" customFormat="false" ht="12.75" hidden="false" customHeight="false" outlineLevel="0" collapsed="false">
      <c r="A32" s="54" t="n">
        <v>37496</v>
      </c>
      <c r="B32" s="56" t="n">
        <f aca="false">H31</f>
        <v>29111495</v>
      </c>
      <c r="C32" s="28" t="n">
        <f aca="false">C31*(1+$C$5)</f>
        <v>0.0709956594313407</v>
      </c>
      <c r="D32" s="58" t="n">
        <f aca="false">C32+0.005+0.0055</f>
        <v>0.0814956594313407</v>
      </c>
      <c r="E32" s="15" t="n">
        <f aca="false">B32*D32/12</f>
        <v>197705.040171431</v>
      </c>
      <c r="F32" s="56" t="n">
        <f aca="false">E32</f>
        <v>197705.040171431</v>
      </c>
      <c r="G32" s="65" t="n">
        <f aca="false">F32-E32</f>
        <v>0</v>
      </c>
      <c r="H32" s="56" t="n">
        <f aca="false">B32-G32</f>
        <v>29111495</v>
      </c>
      <c r="J32" s="54" t="n">
        <f aca="false">A32</f>
        <v>37496</v>
      </c>
      <c r="K32" s="56" t="n">
        <f aca="false">O31</f>
        <v>900355</v>
      </c>
      <c r="L32" s="46" t="n">
        <f aca="false">K32*$K$4/12</f>
        <v>11254.4375</v>
      </c>
      <c r="M32" s="65" t="n">
        <f aca="false">M31</f>
        <v>11254.4375</v>
      </c>
      <c r="N32" s="65" t="n">
        <f aca="false">M32-L32</f>
        <v>0</v>
      </c>
      <c r="O32" s="56" t="n">
        <f aca="false">K32-N32</f>
        <v>900355</v>
      </c>
    </row>
    <row r="33" customFormat="false" ht="12.75" hidden="false" customHeight="false" outlineLevel="0" collapsed="false">
      <c r="A33" s="54" t="n">
        <v>37527</v>
      </c>
      <c r="B33" s="56" t="n">
        <f aca="false">H32</f>
        <v>29111495</v>
      </c>
      <c r="C33" s="28" t="n">
        <f aca="false">C32*(1+$C$5)</f>
        <v>0.071173148579919</v>
      </c>
      <c r="D33" s="58" t="n">
        <f aca="false">C33+0.005+0.0055</f>
        <v>0.081673148579919</v>
      </c>
      <c r="E33" s="15" t="n">
        <f aca="false">B33*D33/12</f>
        <v>198135.621376547</v>
      </c>
      <c r="F33" s="56" t="n">
        <f aca="false">E33</f>
        <v>198135.621376547</v>
      </c>
      <c r="G33" s="65" t="n">
        <f aca="false">F33-E33</f>
        <v>0</v>
      </c>
      <c r="H33" s="56" t="n">
        <f aca="false">B33-G33</f>
        <v>29111495</v>
      </c>
      <c r="J33" s="54" t="n">
        <f aca="false">A33</f>
        <v>37527</v>
      </c>
      <c r="K33" s="56" t="n">
        <f aca="false">O32</f>
        <v>900355</v>
      </c>
      <c r="L33" s="46" t="n">
        <f aca="false">K33*$K$4/12</f>
        <v>11254.4375</v>
      </c>
      <c r="M33" s="65" t="n">
        <f aca="false">M32</f>
        <v>11254.4375</v>
      </c>
      <c r="N33" s="65" t="n">
        <f aca="false">M33-L33</f>
        <v>0</v>
      </c>
      <c r="O33" s="56" t="n">
        <f aca="false">K33-N33</f>
        <v>900355</v>
      </c>
    </row>
    <row r="34" customFormat="false" ht="12.75" hidden="false" customHeight="false" outlineLevel="0" collapsed="false">
      <c r="A34" s="54" t="n">
        <v>37557</v>
      </c>
      <c r="B34" s="56" t="n">
        <f aca="false">H33</f>
        <v>29111495</v>
      </c>
      <c r="C34" s="28" t="n">
        <f aca="false">C33*(1+$C$5)</f>
        <v>0.0713510814513688</v>
      </c>
      <c r="D34" s="58" t="n">
        <f aca="false">C34+0.005+0.0055</f>
        <v>0.0818510814513688</v>
      </c>
      <c r="E34" s="15" t="n">
        <f aca="false">B34*D34/12</f>
        <v>198567.279034676</v>
      </c>
      <c r="F34" s="56" t="n">
        <f aca="false">E34</f>
        <v>198567.279034676</v>
      </c>
      <c r="G34" s="65" t="n">
        <f aca="false">F34-E34</f>
        <v>0</v>
      </c>
      <c r="H34" s="56" t="n">
        <f aca="false">B34-G34</f>
        <v>29111495</v>
      </c>
      <c r="J34" s="54" t="n">
        <f aca="false">A34</f>
        <v>37557</v>
      </c>
      <c r="K34" s="56" t="n">
        <f aca="false">O33</f>
        <v>900355</v>
      </c>
      <c r="L34" s="46" t="n">
        <f aca="false">K34*$K$4/12</f>
        <v>11254.4375</v>
      </c>
      <c r="M34" s="65" t="n">
        <f aca="false">M33</f>
        <v>11254.4375</v>
      </c>
      <c r="N34" s="65" t="n">
        <f aca="false">M34-L34</f>
        <v>0</v>
      </c>
      <c r="O34" s="56" t="n">
        <f aca="false">K34-N34</f>
        <v>900355</v>
      </c>
    </row>
    <row r="35" customFormat="false" ht="12.75" hidden="false" customHeight="false" outlineLevel="0" collapsed="false">
      <c r="A35" s="54" t="n">
        <v>37588</v>
      </c>
      <c r="B35" s="56" t="n">
        <f aca="false">H34</f>
        <v>29111495</v>
      </c>
      <c r="C35" s="28" t="n">
        <f aca="false">C34*(1+$C$5)</f>
        <v>0.0715294591549972</v>
      </c>
      <c r="D35" s="58" t="n">
        <f aca="false">C35+0.005+0.0055</f>
        <v>0.0820294591549972</v>
      </c>
      <c r="E35" s="15" t="n">
        <f aca="false">B35*D35/12</f>
        <v>199000.01583695</v>
      </c>
      <c r="F35" s="56" t="n">
        <f aca="false">E35</f>
        <v>199000.01583695</v>
      </c>
      <c r="G35" s="65" t="n">
        <f aca="false">F35-E35</f>
        <v>0</v>
      </c>
      <c r="H35" s="56" t="n">
        <f aca="false">B35-G35</f>
        <v>29111495</v>
      </c>
      <c r="J35" s="54" t="n">
        <f aca="false">A35</f>
        <v>37588</v>
      </c>
      <c r="K35" s="56" t="n">
        <f aca="false">O34</f>
        <v>900355</v>
      </c>
      <c r="L35" s="46" t="n">
        <f aca="false">K35*$K$4/12</f>
        <v>11254.4375</v>
      </c>
      <c r="M35" s="65" t="n">
        <f aca="false">M34</f>
        <v>11254.4375</v>
      </c>
      <c r="N35" s="65" t="n">
        <f aca="false">M35-L35</f>
        <v>0</v>
      </c>
      <c r="O35" s="56" t="n">
        <f aca="false">K35-N35</f>
        <v>900355</v>
      </c>
    </row>
    <row r="36" customFormat="false" ht="12.75" hidden="false" customHeight="false" outlineLevel="0" collapsed="false">
      <c r="A36" s="54" t="n">
        <v>37618</v>
      </c>
      <c r="B36" s="56" t="n">
        <f aca="false">H35</f>
        <v>29111495</v>
      </c>
      <c r="C36" s="28" t="n">
        <f aca="false">C35*(1+$C$5)</f>
        <v>0.0717082828028847</v>
      </c>
      <c r="D36" s="58" t="n">
        <f aca="false">C36+0.005+0.0055</f>
        <v>0.0822082828028847</v>
      </c>
      <c r="E36" s="15" t="n">
        <f aca="false">B36*D36/12</f>
        <v>199433.83448123</v>
      </c>
      <c r="F36" s="56" t="n">
        <f aca="false">E36</f>
        <v>199433.83448123</v>
      </c>
      <c r="G36" s="65" t="n">
        <f aca="false">F36-E36</f>
        <v>0</v>
      </c>
      <c r="H36" s="56" t="n">
        <f aca="false">B36-G36</f>
        <v>29111495</v>
      </c>
      <c r="J36" s="54" t="n">
        <f aca="false">A36</f>
        <v>37618</v>
      </c>
      <c r="K36" s="56" t="n">
        <f aca="false">O35</f>
        <v>900355</v>
      </c>
      <c r="L36" s="46" t="n">
        <f aca="false">K36*$K$4/12</f>
        <v>11254.4375</v>
      </c>
      <c r="M36" s="65" t="n">
        <f aca="false">M35</f>
        <v>11254.4375</v>
      </c>
      <c r="N36" s="65" t="n">
        <f aca="false">M36-L36</f>
        <v>0</v>
      </c>
      <c r="O36" s="56" t="n">
        <f aca="false">K36-N36</f>
        <v>900355</v>
      </c>
    </row>
    <row r="37" customFormat="false" ht="12.75" hidden="false" customHeight="false" outlineLevel="0" collapsed="false">
      <c r="A37" s="54" t="n">
        <v>37649</v>
      </c>
      <c r="B37" s="56" t="n">
        <f aca="false">H36</f>
        <v>29111495</v>
      </c>
      <c r="C37" s="28" t="n">
        <f aca="false">C36*(1+$C$5)</f>
        <v>0.0718875535098919</v>
      </c>
      <c r="D37" s="58" t="n">
        <f aca="false">C37+0.005+0.0055</f>
        <v>0.0823875535098919</v>
      </c>
      <c r="E37" s="15" t="n">
        <f aca="false">B37*D37/12</f>
        <v>199868.737672121</v>
      </c>
      <c r="F37" s="56" t="n">
        <f aca="false">E37</f>
        <v>199868.737672121</v>
      </c>
      <c r="G37" s="65" t="n">
        <f aca="false">F37-E37</f>
        <v>0</v>
      </c>
      <c r="H37" s="56" t="n">
        <f aca="false">B37-G37</f>
        <v>29111495</v>
      </c>
      <c r="J37" s="54" t="n">
        <f aca="false">A37</f>
        <v>37649</v>
      </c>
      <c r="K37" s="56" t="n">
        <f aca="false">O36</f>
        <v>900355</v>
      </c>
      <c r="L37" s="46" t="n">
        <f aca="false">K37*$K$4/12</f>
        <v>11254.4375</v>
      </c>
      <c r="M37" s="65" t="n">
        <f aca="false">M36</f>
        <v>11254.4375</v>
      </c>
      <c r="N37" s="65" t="n">
        <f aca="false">M37-L37</f>
        <v>0</v>
      </c>
      <c r="O37" s="56" t="n">
        <f aca="false">K37-N37</f>
        <v>900355</v>
      </c>
    </row>
    <row r="38" customFormat="false" ht="12.75" hidden="false" customHeight="false" outlineLevel="0" collapsed="false">
      <c r="A38" s="54" t="n">
        <v>37680</v>
      </c>
      <c r="B38" s="56" t="n">
        <f aca="false">H37</f>
        <v>29111495</v>
      </c>
      <c r="C38" s="28" t="n">
        <f aca="false">C37*(1+$C$5)</f>
        <v>0.0720672723936666</v>
      </c>
      <c r="D38" s="58" t="n">
        <f aca="false">C38+0.005+0.0055</f>
        <v>0.0825672723936666</v>
      </c>
      <c r="E38" s="15" t="n">
        <f aca="false">B38*D38/12</f>
        <v>200304.728120989</v>
      </c>
      <c r="F38" s="56" t="n">
        <f aca="false">E38</f>
        <v>200304.728120989</v>
      </c>
      <c r="G38" s="65" t="n">
        <f aca="false">F38-E38</f>
        <v>0</v>
      </c>
      <c r="H38" s="56" t="n">
        <f aca="false">B38-G38</f>
        <v>29111495</v>
      </c>
      <c r="J38" s="54" t="n">
        <f aca="false">A38</f>
        <v>37680</v>
      </c>
      <c r="K38" s="56" t="n">
        <f aca="false">O37</f>
        <v>900355</v>
      </c>
      <c r="L38" s="46" t="n">
        <f aca="false">K38*$K$4/12</f>
        <v>11254.4375</v>
      </c>
      <c r="M38" s="65" t="n">
        <f aca="false">M37</f>
        <v>11254.4375</v>
      </c>
      <c r="N38" s="65" t="n">
        <f aca="false">M38-L38</f>
        <v>0</v>
      </c>
      <c r="O38" s="56" t="n">
        <f aca="false">K38-N38</f>
        <v>900355</v>
      </c>
    </row>
    <row r="39" customFormat="false" ht="12.75" hidden="false" customHeight="false" outlineLevel="0" collapsed="false">
      <c r="A39" s="54" t="n">
        <v>37708</v>
      </c>
      <c r="B39" s="56" t="n">
        <f aca="false">H38</f>
        <v>29111495</v>
      </c>
      <c r="C39" s="28" t="n">
        <f aca="false">C38*(1+$C$5)</f>
        <v>0.0722474405746508</v>
      </c>
      <c r="D39" s="58" t="n">
        <f aca="false">C39+0.005+0.0055</f>
        <v>0.0827474405746508</v>
      </c>
      <c r="E39" s="15" t="n">
        <f aca="false">B39*D39/12</f>
        <v>200741.808545979</v>
      </c>
      <c r="F39" s="56" t="n">
        <f aca="false">E39</f>
        <v>200741.808545979</v>
      </c>
      <c r="G39" s="65" t="n">
        <f aca="false">F39-E39</f>
        <v>0</v>
      </c>
      <c r="H39" s="56" t="n">
        <f aca="false">B39-G39</f>
        <v>29111495</v>
      </c>
      <c r="J39" s="54" t="n">
        <f aca="false">A39</f>
        <v>37708</v>
      </c>
      <c r="K39" s="56" t="n">
        <f aca="false">O38</f>
        <v>900355</v>
      </c>
      <c r="L39" s="46" t="n">
        <f aca="false">K39*$K$4/12</f>
        <v>11254.4375</v>
      </c>
      <c r="M39" s="65" t="n">
        <f aca="false">M38</f>
        <v>11254.4375</v>
      </c>
      <c r="N39" s="65" t="n">
        <f aca="false">M39-L39</f>
        <v>0</v>
      </c>
      <c r="O39" s="56" t="n">
        <f aca="false">K39-N39</f>
        <v>900355</v>
      </c>
    </row>
    <row r="40" customFormat="false" ht="12.75" hidden="false" customHeight="false" outlineLevel="0" collapsed="false">
      <c r="A40" s="54" t="n">
        <v>37739</v>
      </c>
      <c r="B40" s="56" t="n">
        <f aca="false">H39</f>
        <v>29111495</v>
      </c>
      <c r="C40" s="28" t="n">
        <f aca="false">C39*(1+$C$5)</f>
        <v>0.0724280591760874</v>
      </c>
      <c r="D40" s="58" t="n">
        <f aca="false">C40+0.005+0.0055</f>
        <v>0.0829280591760874</v>
      </c>
      <c r="E40" s="15" t="n">
        <f aca="false">B40*D40/12</f>
        <v>201179.981672031</v>
      </c>
      <c r="F40" s="56" t="n">
        <f aca="false">E40</f>
        <v>201179.981672031</v>
      </c>
      <c r="G40" s="65" t="n">
        <f aca="false">F40-E40</f>
        <v>0</v>
      </c>
      <c r="H40" s="56" t="n">
        <f aca="false">B40-G40</f>
        <v>29111495</v>
      </c>
      <c r="J40" s="54" t="n">
        <f aca="false">A40</f>
        <v>37739</v>
      </c>
      <c r="K40" s="56" t="n">
        <f aca="false">O39</f>
        <v>900355</v>
      </c>
      <c r="L40" s="46" t="n">
        <f aca="false">K40*$K$4/12</f>
        <v>11254.4375</v>
      </c>
      <c r="M40" s="65" t="n">
        <f aca="false">M39</f>
        <v>11254.4375</v>
      </c>
      <c r="N40" s="65" t="n">
        <f aca="false">M40-L40</f>
        <v>0</v>
      </c>
      <c r="O40" s="56" t="n">
        <f aca="false">K40-N40</f>
        <v>900355</v>
      </c>
    </row>
    <row r="41" customFormat="false" ht="12.75" hidden="false" customHeight="false" outlineLevel="0" collapsed="false">
      <c r="A41" s="54" t="n">
        <v>37769</v>
      </c>
      <c r="B41" s="56" t="n">
        <f aca="false">H40</f>
        <v>29111495</v>
      </c>
      <c r="C41" s="28" t="n">
        <f aca="false">C40*(1+$C$5)</f>
        <v>0.0726091293240276</v>
      </c>
      <c r="D41" s="58" t="n">
        <f aca="false">C41+0.005+0.0055</f>
        <v>0.0831091293240276</v>
      </c>
      <c r="E41" s="15" t="n">
        <f aca="false">B41*D41/12</f>
        <v>201619.250230899</v>
      </c>
      <c r="F41" s="56" t="n">
        <f aca="false">E41</f>
        <v>201619.250230899</v>
      </c>
      <c r="G41" s="65" t="n">
        <f aca="false">F41-E41</f>
        <v>0</v>
      </c>
      <c r="H41" s="56" t="n">
        <f aca="false">B41-G41</f>
        <v>29111495</v>
      </c>
      <c r="J41" s="54" t="n">
        <f aca="false">A41</f>
        <v>37769</v>
      </c>
      <c r="K41" s="56" t="n">
        <f aca="false">O40</f>
        <v>900355</v>
      </c>
      <c r="L41" s="46" t="n">
        <f aca="false">K41*$K$4/12</f>
        <v>11254.4375</v>
      </c>
      <c r="M41" s="65" t="n">
        <f aca="false">M40</f>
        <v>11254.4375</v>
      </c>
      <c r="N41" s="65" t="n">
        <f aca="false">M41-L41</f>
        <v>0</v>
      </c>
      <c r="O41" s="56" t="n">
        <f aca="false">K41-N41</f>
        <v>900355</v>
      </c>
    </row>
    <row r="42" customFormat="false" ht="12.75" hidden="false" customHeight="false" outlineLevel="0" collapsed="false">
      <c r="A42" s="54" t="n">
        <v>37800</v>
      </c>
      <c r="B42" s="56" t="n">
        <f aca="false">H41</f>
        <v>29111495</v>
      </c>
      <c r="C42" s="28" t="n">
        <f aca="false">C41*(1+$C$5)</f>
        <v>0.0727906521473377</v>
      </c>
      <c r="D42" s="58" t="n">
        <f aca="false">C42+0.005+0.0055</f>
        <v>0.0832906521473377</v>
      </c>
      <c r="E42" s="15" t="n">
        <f aca="false">B42*D42/12</f>
        <v>202059.616961163</v>
      </c>
      <c r="F42" s="56" t="n">
        <f aca="false">E42</f>
        <v>202059.616961163</v>
      </c>
      <c r="G42" s="65" t="n">
        <f aca="false">F42-E42</f>
        <v>0</v>
      </c>
      <c r="H42" s="56" t="n">
        <f aca="false">B42-G42</f>
        <v>29111495</v>
      </c>
      <c r="J42" s="54" t="n">
        <f aca="false">A42</f>
        <v>37800</v>
      </c>
      <c r="K42" s="56" t="n">
        <f aca="false">O41</f>
        <v>900355</v>
      </c>
      <c r="L42" s="46" t="n">
        <f aca="false">K42*$K$4/12</f>
        <v>11254.4375</v>
      </c>
      <c r="M42" s="65" t="n">
        <f aca="false">M41</f>
        <v>11254.4375</v>
      </c>
      <c r="N42" s="65" t="n">
        <f aca="false">M42-L42</f>
        <v>0</v>
      </c>
      <c r="O42" s="56" t="n">
        <f aca="false">K42-N42</f>
        <v>900355</v>
      </c>
    </row>
    <row r="43" customFormat="false" ht="12.75" hidden="false" customHeight="false" outlineLevel="0" collapsed="false">
      <c r="A43" s="54" t="n">
        <v>37830</v>
      </c>
      <c r="B43" s="56" t="n">
        <f aca="false">H42</f>
        <v>29111495</v>
      </c>
      <c r="C43" s="28" t="n">
        <f aca="false">C42*(1+$C$5)</f>
        <v>0.072972628777706</v>
      </c>
      <c r="D43" s="58" t="n">
        <f aca="false">C43+0.005+0.0055</f>
        <v>0.0834726287777061</v>
      </c>
      <c r="E43" s="15" t="n">
        <f aca="false">B43*D43/12</f>
        <v>202501.084608254</v>
      </c>
      <c r="F43" s="56" t="n">
        <f aca="false">E43</f>
        <v>202501.084608254</v>
      </c>
      <c r="G43" s="65" t="n">
        <f aca="false">F43-E43</f>
        <v>0</v>
      </c>
      <c r="H43" s="56" t="n">
        <f aca="false">B43-G43</f>
        <v>29111495</v>
      </c>
      <c r="J43" s="54" t="n">
        <f aca="false">A43</f>
        <v>37830</v>
      </c>
      <c r="K43" s="56" t="n">
        <f aca="false">O42</f>
        <v>900355</v>
      </c>
      <c r="L43" s="46" t="n">
        <f aca="false">K43*$K$4/12</f>
        <v>11254.4375</v>
      </c>
      <c r="M43" s="65" t="n">
        <f aca="false">M42</f>
        <v>11254.4375</v>
      </c>
      <c r="N43" s="65" t="n">
        <f aca="false">M43-L43</f>
        <v>0</v>
      </c>
      <c r="O43" s="56" t="n">
        <f aca="false">K43-N43</f>
        <v>900355</v>
      </c>
    </row>
    <row r="44" customFormat="false" ht="12.75" hidden="false" customHeight="false" outlineLevel="0" collapsed="false">
      <c r="A44" s="54" t="n">
        <v>37861</v>
      </c>
      <c r="B44" s="56" t="n">
        <f aca="false">H43</f>
        <v>29111495</v>
      </c>
      <c r="C44" s="28" t="n">
        <f aca="false">C43*(1+$C$5)</f>
        <v>0.0731550603496503</v>
      </c>
      <c r="D44" s="58" t="n">
        <f aca="false">C44+0.005+0.0055</f>
        <v>0.0836550603496503</v>
      </c>
      <c r="E44" s="15" t="n">
        <f aca="false">B44*D44/12</f>
        <v>202943.655924462</v>
      </c>
      <c r="F44" s="56" t="n">
        <f aca="false">E44</f>
        <v>202943.655924462</v>
      </c>
      <c r="G44" s="65" t="n">
        <f aca="false">F44-E44</f>
        <v>0</v>
      </c>
      <c r="H44" s="56" t="n">
        <f aca="false">B44-G44</f>
        <v>29111495</v>
      </c>
      <c r="J44" s="54" t="n">
        <f aca="false">A44</f>
        <v>37861</v>
      </c>
      <c r="K44" s="56" t="n">
        <f aca="false">O43</f>
        <v>900355</v>
      </c>
      <c r="L44" s="46" t="n">
        <f aca="false">K44*$K$4/12</f>
        <v>11254.4375</v>
      </c>
      <c r="M44" s="65" t="n">
        <f aca="false">M43</f>
        <v>11254.4375</v>
      </c>
      <c r="N44" s="65" t="n">
        <f aca="false">M44-L44</f>
        <v>0</v>
      </c>
      <c r="O44" s="56" t="n">
        <f aca="false">K44-N44</f>
        <v>900355</v>
      </c>
    </row>
    <row r="45" customFormat="false" ht="12.75" hidden="false" customHeight="false" outlineLevel="0" collapsed="false">
      <c r="A45" s="54" t="n">
        <v>37892</v>
      </c>
      <c r="B45" s="56" t="n">
        <f aca="false">H44</f>
        <v>29111495</v>
      </c>
      <c r="C45" s="28" t="n">
        <f aca="false">C44*(1+$C$5)</f>
        <v>0.0733379480005244</v>
      </c>
      <c r="D45" s="58" t="n">
        <f aca="false">C45+0.005+0.0055</f>
        <v>0.0838379480005244</v>
      </c>
      <c r="E45" s="15" t="n">
        <f aca="false">B45*D45/12</f>
        <v>203387.333668961</v>
      </c>
      <c r="F45" s="56" t="n">
        <f aca="false">E45</f>
        <v>203387.333668961</v>
      </c>
      <c r="G45" s="65" t="n">
        <f aca="false">F45-E45</f>
        <v>0</v>
      </c>
      <c r="H45" s="56" t="n">
        <f aca="false">B45-G45</f>
        <v>29111495</v>
      </c>
      <c r="J45" s="54" t="n">
        <f aca="false">A45</f>
        <v>37892</v>
      </c>
      <c r="K45" s="56" t="n">
        <f aca="false">O44</f>
        <v>900355</v>
      </c>
      <c r="L45" s="46" t="n">
        <f aca="false">K45*$K$4/12</f>
        <v>11254.4375</v>
      </c>
      <c r="M45" s="65" t="n">
        <f aca="false">M44</f>
        <v>11254.4375</v>
      </c>
      <c r="N45" s="65" t="n">
        <f aca="false">M45-L45</f>
        <v>0</v>
      </c>
      <c r="O45" s="56" t="n">
        <f aca="false">K45-N45</f>
        <v>900355</v>
      </c>
    </row>
    <row r="46" customFormat="false" ht="12.75" hidden="false" customHeight="false" outlineLevel="0" collapsed="false">
      <c r="A46" s="54" t="n">
        <v>37922</v>
      </c>
      <c r="B46" s="56" t="n">
        <f aca="false">H45</f>
        <v>29111495</v>
      </c>
      <c r="C46" s="28" t="n">
        <f aca="false">C45*(1+$C$5)</f>
        <v>0.0735212928705257</v>
      </c>
      <c r="D46" s="58" t="n">
        <f aca="false">C46+0.005+0.0055</f>
        <v>0.0840212928705258</v>
      </c>
      <c r="E46" s="15" t="n">
        <f aca="false">B46*D46/12</f>
        <v>203832.12060782</v>
      </c>
      <c r="F46" s="56" t="n">
        <f aca="false">E46</f>
        <v>203832.12060782</v>
      </c>
      <c r="G46" s="65" t="n">
        <f aca="false">F46-E46</f>
        <v>0</v>
      </c>
      <c r="H46" s="56" t="n">
        <f aca="false">B46-G46</f>
        <v>29111495</v>
      </c>
      <c r="J46" s="54" t="n">
        <f aca="false">A46</f>
        <v>37922</v>
      </c>
      <c r="K46" s="56" t="n">
        <f aca="false">O45</f>
        <v>900355</v>
      </c>
      <c r="L46" s="46" t="n">
        <f aca="false">K46*$K$4/12</f>
        <v>11254.4375</v>
      </c>
      <c r="M46" s="65" t="n">
        <f aca="false">M45</f>
        <v>11254.4375</v>
      </c>
      <c r="N46" s="65" t="n">
        <f aca="false">M46-L46</f>
        <v>0</v>
      </c>
      <c r="O46" s="56" t="n">
        <f aca="false">K46-N46</f>
        <v>900355</v>
      </c>
    </row>
    <row r="47" customFormat="false" ht="12.75" hidden="false" customHeight="false" outlineLevel="0" collapsed="false">
      <c r="A47" s="54" t="n">
        <v>37953</v>
      </c>
      <c r="B47" s="56" t="n">
        <f aca="false">H46</f>
        <v>29111495</v>
      </c>
      <c r="C47" s="28" t="n">
        <f aca="false">C46*(1+$C$5)</f>
        <v>0.0737050961027021</v>
      </c>
      <c r="D47" s="58" t="n">
        <f aca="false">C47+0.005+0.0055</f>
        <v>0.0842050961027021</v>
      </c>
      <c r="E47" s="15" t="n">
        <f aca="false">B47*D47/12</f>
        <v>204278.019514028</v>
      </c>
      <c r="F47" s="56" t="n">
        <f aca="false">E47</f>
        <v>204278.019514028</v>
      </c>
      <c r="G47" s="65" t="n">
        <f aca="false">F47-E47</f>
        <v>0</v>
      </c>
      <c r="H47" s="56" t="n">
        <f aca="false">B47-G47</f>
        <v>29111495</v>
      </c>
      <c r="J47" s="54" t="n">
        <f aca="false">A47</f>
        <v>37953</v>
      </c>
      <c r="K47" s="56" t="n">
        <f aca="false">O46</f>
        <v>900355</v>
      </c>
      <c r="L47" s="46" t="n">
        <f aca="false">K47*$K$4/12</f>
        <v>11254.4375</v>
      </c>
      <c r="M47" s="65" t="n">
        <f aca="false">M46</f>
        <v>11254.4375</v>
      </c>
      <c r="N47" s="65" t="n">
        <f aca="false">M47-L47</f>
        <v>0</v>
      </c>
      <c r="O47" s="56" t="n">
        <f aca="false">K47-N47</f>
        <v>900355</v>
      </c>
    </row>
    <row r="48" customFormat="false" ht="12.75" hidden="false" customHeight="false" outlineLevel="0" collapsed="false">
      <c r="A48" s="54" t="n">
        <v>37983</v>
      </c>
      <c r="B48" s="56" t="n">
        <f aca="false">H47</f>
        <v>29111495</v>
      </c>
      <c r="C48" s="28" t="n">
        <f aca="false">C47*(1+$C$5)</f>
        <v>0.0738893588429588</v>
      </c>
      <c r="D48" s="58" t="n">
        <f aca="false">C48+0.005+0.0055</f>
        <v>0.0843893588429588</v>
      </c>
      <c r="E48" s="15" t="n">
        <f aca="false">B48*D48/12</f>
        <v>204725.0331675</v>
      </c>
      <c r="F48" s="56" t="n">
        <f aca="false">E48+B48</f>
        <v>29316220.0331675</v>
      </c>
      <c r="G48" s="65" t="n">
        <f aca="false">F48-E48</f>
        <v>29111495</v>
      </c>
      <c r="H48" s="70" t="n">
        <f aca="false">B48-G48</f>
        <v>0</v>
      </c>
      <c r="J48" s="54" t="n">
        <f aca="false">A48</f>
        <v>37983</v>
      </c>
      <c r="K48" s="56" t="n">
        <f aca="false">O47</f>
        <v>900355</v>
      </c>
      <c r="L48" s="46" t="n">
        <f aca="false">K48*$K$4/12</f>
        <v>11254.4375</v>
      </c>
      <c r="M48" s="65" t="n">
        <f aca="false">M47+K48</f>
        <v>911609.4375</v>
      </c>
      <c r="N48" s="65" t="n">
        <f aca="false">M48-L48</f>
        <v>900355</v>
      </c>
      <c r="O48" s="70" t="n">
        <f aca="false">K48-N48</f>
        <v>0</v>
      </c>
    </row>
    <row r="49" customFormat="false" ht="12.75" hidden="false" customHeight="false" outlineLevel="0" collapsed="false">
      <c r="A49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2" t="s">
        <v>143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Summary'!B7</f>
        <v>36766</v>
      </c>
      <c r="B4" s="40" t="n">
        <f aca="false">'Hawaii Summary'!C7</f>
        <v>13955</v>
      </c>
      <c r="C4" s="15" t="n">
        <f aca="false">'Hawaii Summary'!F7</f>
        <v>29111495</v>
      </c>
      <c r="D4" s="15" t="n">
        <f aca="false">'Hawaii Summary'!G7</f>
        <v>29117851.0097417</v>
      </c>
      <c r="E4" s="15" t="n">
        <f aca="false">'Hawaii Summary'!H7</f>
        <v>900355</v>
      </c>
      <c r="F4" s="28" t="n">
        <f aca="false">'Hawaii Summary'!I7</f>
        <v>0.15</v>
      </c>
      <c r="G4" s="40" t="n">
        <f aca="false">'Hawaii Summary'!J7</f>
        <v>93</v>
      </c>
      <c r="H4" s="15" t="n">
        <f aca="false">'Hawaii Summary'!K7</f>
        <v>900730.147916667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6.5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18141500</v>
      </c>
      <c r="C10" s="15" t="n">
        <f aca="false">B4*B7*'Notional Analysis'!C8</f>
        <v>58611000</v>
      </c>
      <c r="E10" s="0" t="s">
        <v>122</v>
      </c>
      <c r="G10" s="56" t="n">
        <f aca="false">B4*B6*'Notional Analysis'!C8</f>
        <v>18141500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30018581.1576583</v>
      </c>
      <c r="C11" s="15" t="n">
        <f aca="false">B11</f>
        <v>30018581.1576583</v>
      </c>
      <c r="E11" s="0" t="s">
        <v>124</v>
      </c>
      <c r="G11" s="75" t="n">
        <f aca="false">D4+H4</f>
        <v>30018581.1576583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900355</v>
      </c>
      <c r="C12" s="56"/>
      <c r="G12" s="56" t="n">
        <f aca="false">G10-G11</f>
        <v>-11877081.1576583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18141500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29117851.0097417</v>
      </c>
      <c r="C14" s="15" t="n">
        <f aca="false">B14</f>
        <v>29117851.0097417</v>
      </c>
      <c r="E14" s="0" t="s">
        <v>103</v>
      </c>
      <c r="F14" s="56" t="n">
        <f aca="false">B7*B4*'Notional Analysis'!C8</f>
        <v>58611000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18141500</v>
      </c>
      <c r="C15" s="15" t="n">
        <f aca="false">C10-E4+C12</f>
        <v>57710645</v>
      </c>
      <c r="F15" s="56"/>
      <c r="G15" s="56" t="n">
        <f aca="false">-F14+F13</f>
        <v>-40469500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-10976351.0097417</v>
      </c>
      <c r="C16" s="76" t="n">
        <f aca="false">C15-C14</f>
        <v>28592793.9902583</v>
      </c>
      <c r="D16" s="77" t="s">
        <v>129</v>
      </c>
      <c r="F16" s="56"/>
      <c r="G16" s="59" t="n">
        <f aca="false">G12-G15</f>
        <v>28592418.8423417</v>
      </c>
      <c r="H16" s="56" t="n">
        <f aca="false">C16-G16</f>
        <v>375.147916667163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  <c r="F17" s="56"/>
    </row>
    <row r="18" customFormat="false" ht="12.75" hidden="false" customHeight="false" outlineLevel="0" collapsed="false">
      <c r="A18" s="0" t="s">
        <v>130</v>
      </c>
      <c r="B18" s="15" t="n">
        <f aca="false">C15</f>
        <v>57710645</v>
      </c>
      <c r="C18" s="15"/>
      <c r="F18" s="56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  <c r="F19" s="56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39569145</v>
      </c>
      <c r="C20" s="15"/>
      <c r="F20" s="56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28592793.9902583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E45" activeCellId="0" sqref="E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9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2" t="s">
        <v>144</v>
      </c>
    </row>
    <row r="2" customFormat="false" ht="12.75" hidden="false" customHeight="false" outlineLevel="0" collapsed="false">
      <c r="A2" s="22" t="s">
        <v>15</v>
      </c>
    </row>
    <row r="3" customFormat="false" ht="12.75" hidden="false" customHeight="false" outlineLevel="0" collapsed="false">
      <c r="A3" s="83" t="n">
        <v>36790</v>
      </c>
    </row>
    <row r="4" customFormat="false" ht="12.75" hidden="false" customHeight="false" outlineLevel="0" collapsed="false">
      <c r="A4" s="83"/>
    </row>
    <row r="5" customFormat="false" ht="12.75" hidden="false" customHeight="false" outlineLevel="0" collapsed="false">
      <c r="A5" s="83" t="s">
        <v>145</v>
      </c>
      <c r="C5" s="40" t="n">
        <v>120589</v>
      </c>
      <c r="D5" s="40" t="n">
        <f aca="false">C5*C8</f>
        <v>24117800</v>
      </c>
    </row>
    <row r="6" customFormat="false" ht="12.75" hidden="false" customHeight="false" outlineLevel="0" collapsed="false">
      <c r="A6" s="83" t="s">
        <v>146</v>
      </c>
      <c r="C6" s="15" t="n">
        <v>2150</v>
      </c>
      <c r="D6" s="68" t="n">
        <f aca="false">C6/C8</f>
        <v>10.75</v>
      </c>
    </row>
    <row r="7" customFormat="false" ht="12.75" hidden="false" customHeight="false" outlineLevel="0" collapsed="false">
      <c r="A7" s="83" t="s">
        <v>147</v>
      </c>
      <c r="C7" s="84" t="n">
        <f aca="false">D7*C8</f>
        <v>4200</v>
      </c>
      <c r="D7" s="68" t="n">
        <v>21</v>
      </c>
    </row>
    <row r="8" customFormat="false" ht="12.75" hidden="false" customHeight="false" outlineLevel="0" collapsed="false">
      <c r="A8" s="83" t="s">
        <v>148</v>
      </c>
      <c r="C8" s="40" t="n">
        <v>200</v>
      </c>
    </row>
    <row r="9" customFormat="false" ht="12.75" hidden="false" customHeight="false" outlineLevel="0" collapsed="false">
      <c r="A9" s="83" t="s">
        <v>149</v>
      </c>
      <c r="C9" s="40" t="n">
        <v>90042</v>
      </c>
      <c r="D9" s="40" t="n">
        <f aca="false">C9*C8</f>
        <v>18008400</v>
      </c>
    </row>
    <row r="11" customFormat="false" ht="12.75" hidden="false" customHeight="false" outlineLevel="0" collapsed="false">
      <c r="A11" s="0" t="s">
        <v>150</v>
      </c>
    </row>
    <row r="13" customFormat="false" ht="13.5" hidden="false" customHeight="false" outlineLevel="0" collapsed="false">
      <c r="B13" s="38" t="s">
        <v>27</v>
      </c>
      <c r="C13" s="38"/>
      <c r="E13" s="38" t="s">
        <v>28</v>
      </c>
      <c r="F13" s="38"/>
    </row>
    <row r="14" customFormat="false" ht="12.75" hidden="false" customHeight="false" outlineLevel="0" collapsed="false">
      <c r="B14" s="39" t="s">
        <v>29</v>
      </c>
      <c r="C14" s="40" t="n">
        <f aca="false">30001000-C17</f>
        <v>30001000</v>
      </c>
      <c r="E14" s="0" t="s">
        <v>30</v>
      </c>
      <c r="F14" s="40" t="n">
        <f aca="false">C15*0.9999</f>
        <v>0</v>
      </c>
    </row>
    <row r="15" customFormat="false" ht="12.75" hidden="false" customHeight="false" outlineLevel="0" collapsed="false">
      <c r="B15" s="39" t="s">
        <v>151</v>
      </c>
      <c r="C15" s="40" t="n">
        <v>0</v>
      </c>
      <c r="E15" s="0" t="s">
        <v>30</v>
      </c>
      <c r="F15" s="40" t="n">
        <f aca="false">C16</f>
        <v>50000000</v>
      </c>
    </row>
    <row r="16" customFormat="false" ht="12.75" hidden="false" customHeight="false" outlineLevel="0" collapsed="false">
      <c r="B16" s="39" t="s">
        <v>32</v>
      </c>
      <c r="C16" s="40" t="n">
        <v>50000000</v>
      </c>
      <c r="E16" s="0" t="s">
        <v>35</v>
      </c>
      <c r="F16" s="40" t="n">
        <f aca="false">C15*(1-0.9999)</f>
        <v>0</v>
      </c>
    </row>
    <row r="17" customFormat="false" ht="12.75" hidden="false" customHeight="false" outlineLevel="0" collapsed="false">
      <c r="C17" s="40"/>
      <c r="E17" s="0" t="s">
        <v>36</v>
      </c>
      <c r="F17" s="40" t="n">
        <v>30000000</v>
      </c>
    </row>
    <row r="18" customFormat="false" ht="12.75" hidden="false" customHeight="false" outlineLevel="0" collapsed="false">
      <c r="C18" s="40"/>
      <c r="E18" s="0" t="s">
        <v>37</v>
      </c>
      <c r="F18" s="40" t="n">
        <v>1000</v>
      </c>
    </row>
    <row r="19" customFormat="false" ht="13.5" hidden="false" customHeight="false" outlineLevel="0" collapsed="false">
      <c r="C19" s="42" t="n">
        <f aca="false">SUM(C14:C17)</f>
        <v>80001000</v>
      </c>
      <c r="F19" s="42" t="n">
        <f aca="false">SUM(F14:F18)</f>
        <v>80001000</v>
      </c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C21" s="43" t="s">
        <v>58</v>
      </c>
      <c r="D21" s="43"/>
      <c r="E21" s="43"/>
      <c r="F21" s="40"/>
    </row>
    <row r="22" customFormat="false" ht="12.75" hidden="false" customHeight="false" outlineLevel="0" collapsed="false">
      <c r="C22" s="0" t="s">
        <v>59</v>
      </c>
      <c r="E22" s="40" t="n">
        <f aca="false">C19</f>
        <v>80001000</v>
      </c>
      <c r="F22" s="40"/>
    </row>
    <row r="23" customFormat="false" ht="12.75" hidden="false" customHeight="false" outlineLevel="0" collapsed="false">
      <c r="C23" s="0" t="s">
        <v>60</v>
      </c>
      <c r="E23" s="40" t="n">
        <v>1000000</v>
      </c>
      <c r="F23" s="40"/>
    </row>
    <row r="24" customFormat="false" ht="12.75" hidden="false" customHeight="false" outlineLevel="0" collapsed="false">
      <c r="C24" s="0" t="s">
        <v>152</v>
      </c>
      <c r="E24" s="44" t="n">
        <f aca="false">F17</f>
        <v>30000000</v>
      </c>
      <c r="F24" s="40"/>
    </row>
    <row r="25" customFormat="false" ht="12.75" hidden="false" customHeight="false" outlineLevel="0" collapsed="false">
      <c r="C25" s="0" t="s">
        <v>62</v>
      </c>
      <c r="E25" s="40" t="n">
        <f aca="false">E22+E23-E24</f>
        <v>51001000</v>
      </c>
      <c r="F25" s="40"/>
    </row>
    <row r="26" customFormat="false" ht="12.75" hidden="false" customHeight="false" outlineLevel="0" collapsed="false">
      <c r="C26" s="0" t="s">
        <v>63</v>
      </c>
      <c r="E26" s="85" t="n">
        <v>0.0302</v>
      </c>
      <c r="F26" s="40"/>
    </row>
    <row r="27" customFormat="false" ht="12.75" hidden="false" customHeight="false" outlineLevel="0" collapsed="false">
      <c r="C27" s="0" t="s">
        <v>64</v>
      </c>
      <c r="E27" s="40" t="n">
        <f aca="false">E25*E26</f>
        <v>1540230.2</v>
      </c>
      <c r="F27" s="40"/>
    </row>
    <row r="28" customFormat="false" ht="12.75" hidden="false" customHeight="false" outlineLevel="0" collapsed="false">
      <c r="C28" s="0" t="s">
        <v>65</v>
      </c>
      <c r="E28" s="44" t="n">
        <f aca="false">F17</f>
        <v>30000000</v>
      </c>
      <c r="F28" s="40"/>
    </row>
    <row r="29" customFormat="false" ht="12.75" hidden="false" customHeight="false" outlineLevel="0" collapsed="false">
      <c r="C29" s="0" t="s">
        <v>66</v>
      </c>
      <c r="E29" s="40" t="n">
        <f aca="false">E28-E27</f>
        <v>28459769.8</v>
      </c>
      <c r="F29" s="40"/>
    </row>
    <row r="30" customFormat="false" ht="12.75" hidden="false" customHeight="false" outlineLevel="0" collapsed="false">
      <c r="C30" s="49" t="s">
        <v>12</v>
      </c>
      <c r="D30" s="50"/>
      <c r="E30" s="51" t="n">
        <f aca="false">E29/E26</f>
        <v>942376483.443709</v>
      </c>
      <c r="F30" s="40"/>
    </row>
    <row r="32" customFormat="false" ht="12.75" hidden="false" customHeight="false" outlineLevel="0" collapsed="false">
      <c r="A32" s="0" t="s">
        <v>153</v>
      </c>
    </row>
    <row r="34" customFormat="false" ht="13.5" hidden="false" customHeight="false" outlineLevel="0" collapsed="false">
      <c r="B34" s="38" t="s">
        <v>27</v>
      </c>
      <c r="C34" s="38"/>
      <c r="E34" s="38" t="s">
        <v>28</v>
      </c>
      <c r="F34" s="38"/>
      <c r="H34" s="35" t="s">
        <v>38</v>
      </c>
      <c r="I34" s="35"/>
      <c r="J34" s="35"/>
    </row>
    <row r="35" customFormat="false" ht="12.75" hidden="false" customHeight="false" outlineLevel="0" collapsed="false">
      <c r="B35" s="39" t="s">
        <v>29</v>
      </c>
      <c r="C35" s="46" t="n">
        <f aca="false">C14+C16-C37-39500000</f>
        <v>30000000</v>
      </c>
      <c r="E35" s="0" t="s">
        <v>30</v>
      </c>
      <c r="F35" s="40" t="n">
        <f aca="false">F14</f>
        <v>0</v>
      </c>
      <c r="H35" s="0" t="s">
        <v>154</v>
      </c>
      <c r="J35" s="46" t="n">
        <f aca="false">SUM(F16:F18)</f>
        <v>30001000</v>
      </c>
    </row>
    <row r="36" customFormat="false" ht="12.75" hidden="false" customHeight="false" outlineLevel="0" collapsed="false">
      <c r="B36" s="39" t="s">
        <v>31</v>
      </c>
      <c r="C36" s="40" t="n">
        <f aca="false">C5*C7</f>
        <v>506473800</v>
      </c>
      <c r="E36" s="0" t="s">
        <v>30</v>
      </c>
      <c r="F36" s="40" t="n">
        <f aca="false">F15</f>
        <v>50000000</v>
      </c>
      <c r="H36" s="0" t="s">
        <v>155</v>
      </c>
      <c r="J36" s="86" t="n">
        <f aca="false">C36-C15</f>
        <v>506473800</v>
      </c>
    </row>
    <row r="37" customFormat="false" ht="12.75" hidden="false" customHeight="false" outlineLevel="0" collapsed="false">
      <c r="B37" s="39" t="s">
        <v>32</v>
      </c>
      <c r="C37" s="46" t="n">
        <f aca="false">C16-39500000+1000</f>
        <v>10501000</v>
      </c>
      <c r="E37" s="0" t="s">
        <v>35</v>
      </c>
      <c r="F37" s="40" t="n">
        <f aca="false">0.0001*C36</f>
        <v>50647.38</v>
      </c>
      <c r="H37" s="0" t="s">
        <v>156</v>
      </c>
      <c r="J37" s="47" t="n">
        <f aca="false">C16+C14-C37-C35</f>
        <v>39500000</v>
      </c>
    </row>
    <row r="38" customFormat="false" ht="12.75" hidden="false" customHeight="false" outlineLevel="0" collapsed="false">
      <c r="E38" s="0" t="s">
        <v>36</v>
      </c>
      <c r="F38" s="40" t="n">
        <f aca="false">F17</f>
        <v>30000000</v>
      </c>
      <c r="H38" s="0" t="s">
        <v>157</v>
      </c>
      <c r="J38" s="46" t="n">
        <f aca="false">J35+J36-J37</f>
        <v>496974800</v>
      </c>
    </row>
    <row r="39" customFormat="false" ht="12.75" hidden="false" customHeight="false" outlineLevel="0" collapsed="false">
      <c r="E39" s="0" t="s">
        <v>37</v>
      </c>
      <c r="F39" s="40" t="n">
        <f aca="false">C40-SUM(F35:F38)</f>
        <v>466924152.62</v>
      </c>
      <c r="H39" s="0" t="s">
        <v>158</v>
      </c>
      <c r="J39" s="46" t="n">
        <f aca="false">SUM(F37:F39)</f>
        <v>496974800</v>
      </c>
    </row>
    <row r="40" customFormat="false" ht="13.5" hidden="false" customHeight="false" outlineLevel="0" collapsed="false">
      <c r="C40" s="41" t="n">
        <f aca="false">SUM(C35:C39)</f>
        <v>546974800</v>
      </c>
      <c r="F40" s="41" t="n">
        <f aca="false">SUM(F35:F39)</f>
        <v>546974800</v>
      </c>
      <c r="G40" s="46"/>
      <c r="J40" s="87"/>
    </row>
    <row r="41" customFormat="false" ht="13.5" hidden="false" customHeight="false" outlineLevel="0" collapsed="false"/>
    <row r="42" customFormat="false" ht="13.5" hidden="false" customHeight="false" outlineLevel="0" collapsed="false">
      <c r="C42" s="43" t="s">
        <v>58</v>
      </c>
      <c r="D42" s="43"/>
      <c r="E42" s="43"/>
      <c r="H42" s="46"/>
    </row>
    <row r="43" customFormat="false" ht="12.75" hidden="false" customHeight="false" outlineLevel="0" collapsed="false">
      <c r="C43" s="0" t="s">
        <v>59</v>
      </c>
      <c r="E43" s="46" t="n">
        <f aca="false">F40</f>
        <v>546974800</v>
      </c>
    </row>
    <row r="44" customFormat="false" ht="12.75" hidden="false" customHeight="false" outlineLevel="0" collapsed="false">
      <c r="C44" s="0" t="s">
        <v>60</v>
      </c>
      <c r="E44" s="46" t="n">
        <f aca="false">E23</f>
        <v>1000000</v>
      </c>
    </row>
    <row r="45" customFormat="false" ht="12.75" hidden="false" customHeight="false" outlineLevel="0" collapsed="false">
      <c r="C45" s="0" t="s">
        <v>61</v>
      </c>
      <c r="E45" s="47" t="n">
        <f aca="false">F38+F37</f>
        <v>30050647.38</v>
      </c>
    </row>
    <row r="46" customFormat="false" ht="12.75" hidden="false" customHeight="false" outlineLevel="0" collapsed="false">
      <c r="C46" s="0" t="s">
        <v>62</v>
      </c>
      <c r="E46" s="40" t="n">
        <f aca="false">E43+E44-E45</f>
        <v>517924152.62</v>
      </c>
    </row>
    <row r="47" customFormat="false" ht="12.75" hidden="false" customHeight="false" outlineLevel="0" collapsed="false">
      <c r="C47" s="0" t="s">
        <v>63</v>
      </c>
      <c r="E47" s="48" t="n">
        <f aca="false">E26</f>
        <v>0.0302</v>
      </c>
    </row>
    <row r="48" customFormat="false" ht="12.75" hidden="false" customHeight="false" outlineLevel="0" collapsed="false">
      <c r="C48" s="0" t="s">
        <v>64</v>
      </c>
      <c r="E48" s="40" t="n">
        <f aca="false">E46*E47</f>
        <v>15641309.409124</v>
      </c>
    </row>
    <row r="49" customFormat="false" ht="12.75" hidden="false" customHeight="false" outlineLevel="0" collapsed="false">
      <c r="C49" s="0" t="s">
        <v>65</v>
      </c>
      <c r="E49" s="47" t="n">
        <f aca="false">F38+F37</f>
        <v>30050647.38</v>
      </c>
    </row>
    <row r="50" customFormat="false" ht="12.75" hidden="false" customHeight="false" outlineLevel="0" collapsed="false">
      <c r="C50" s="0" t="s">
        <v>66</v>
      </c>
      <c r="E50" s="46" t="n">
        <f aca="false">E49-E48</f>
        <v>14409337.970876</v>
      </c>
    </row>
    <row r="51" customFormat="false" ht="12.75" hidden="false" customHeight="false" outlineLevel="0" collapsed="false">
      <c r="C51" s="49" t="s">
        <v>12</v>
      </c>
      <c r="D51" s="50"/>
      <c r="E51" s="51" t="n">
        <f aca="false">E50/E47</f>
        <v>477130396.386623</v>
      </c>
    </row>
    <row r="52" customFormat="false" ht="12.75" hidden="false" customHeight="false" outlineLevel="0" collapsed="false">
      <c r="C52" s="52" t="s">
        <v>67</v>
      </c>
      <c r="E52" s="53" t="n">
        <f aca="false">C9*C7</f>
        <v>378176400</v>
      </c>
    </row>
    <row r="53" customFormat="false" ht="12.75" hidden="false" customHeight="false" outlineLevel="0" collapsed="false">
      <c r="C53" s="52" t="s">
        <v>68</v>
      </c>
      <c r="E53" s="46" t="n">
        <f aca="false">E51-E52</f>
        <v>98953996.3866225</v>
      </c>
    </row>
    <row r="54" customFormat="false" ht="12.75" hidden="false" customHeight="false" outlineLevel="0" collapsed="false">
      <c r="C54" s="52"/>
      <c r="E54" s="46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2" t="s">
        <v>14</v>
      </c>
    </row>
    <row r="2" customFormat="false" ht="12.75" hidden="false" customHeight="false" outlineLevel="0" collapsed="false">
      <c r="A2" s="0" t="s">
        <v>15</v>
      </c>
    </row>
    <row r="3" customFormat="false" ht="13.5" hidden="false" customHeight="false" outlineLevel="0" collapsed="false">
      <c r="A3" s="0" t="s">
        <v>16</v>
      </c>
      <c r="B3" s="23" t="n">
        <v>36859</v>
      </c>
    </row>
    <row r="4" customFormat="false" ht="12.75" hidden="false" customHeight="false" outlineLevel="0" collapsed="false">
      <c r="A4" s="24" t="s">
        <v>17</v>
      </c>
      <c r="B4" s="24"/>
      <c r="C4" s="25" t="s">
        <v>18</v>
      </c>
      <c r="D4" s="26" t="s">
        <v>19</v>
      </c>
      <c r="E4" s="27" t="s">
        <v>20</v>
      </c>
    </row>
    <row r="5" customFormat="false" ht="12.75" hidden="true" customHeight="false" outlineLevel="0" collapsed="false">
      <c r="A5" s="0" t="s">
        <v>21</v>
      </c>
      <c r="B5" s="28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22</v>
      </c>
      <c r="B6" s="28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23</v>
      </c>
      <c r="B7" s="28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24</v>
      </c>
      <c r="B8" s="29" t="n">
        <v>6.5</v>
      </c>
      <c r="C8" s="30" t="n">
        <v>15.4237217717563</v>
      </c>
      <c r="D8" s="31" t="n">
        <v>9.81124244931266</v>
      </c>
      <c r="E8" s="32" t="n">
        <v>9.09917749979509</v>
      </c>
    </row>
    <row r="9" customFormat="false" ht="12.75" hidden="false" customHeight="false" outlineLevel="0" collapsed="false">
      <c r="B9" s="33"/>
      <c r="C9" s="34"/>
    </row>
    <row r="10" customFormat="false" ht="12.75" hidden="false" customHeight="false" outlineLevel="0" collapsed="false">
      <c r="A10" s="35" t="s">
        <v>25</v>
      </c>
      <c r="B10" s="35"/>
      <c r="C10" s="35"/>
      <c r="D10" s="35"/>
      <c r="E10" s="35"/>
    </row>
    <row r="11" customFormat="false" ht="12.75" hidden="false" customHeight="false" outlineLevel="0" collapsed="false">
      <c r="B11" s="36" t="s">
        <v>26</v>
      </c>
      <c r="C11" s="37" t="n">
        <f aca="false">B3</f>
        <v>36859</v>
      </c>
    </row>
    <row r="12" customFormat="false" ht="13.5" hidden="false" customHeight="false" outlineLevel="0" collapsed="false">
      <c r="A12" s="38" t="s">
        <v>27</v>
      </c>
      <c r="B12" s="38"/>
      <c r="D12" s="38" t="s">
        <v>28</v>
      </c>
      <c r="E12" s="38"/>
    </row>
    <row r="13" customFormat="false" ht="12.75" hidden="false" customHeight="false" outlineLevel="0" collapsed="false">
      <c r="A13" s="39" t="s">
        <v>29</v>
      </c>
      <c r="B13" s="40" t="n">
        <f aca="false">'Notional Analysis'!C35+VLOOKUP(B3,Note_Receivable,8)-'50 NR'!C8</f>
        <v>30000000</v>
      </c>
      <c r="D13" s="0" t="s">
        <v>30</v>
      </c>
      <c r="E13" s="40" t="n">
        <v>0</v>
      </c>
    </row>
    <row r="14" customFormat="false" ht="12.75" hidden="false" customHeight="false" outlineLevel="0" collapsed="false">
      <c r="A14" s="39" t="s">
        <v>31</v>
      </c>
      <c r="B14" s="40" t="n">
        <f aca="false">'Notional Analysis'!C5*'Notional Analysis'!C8*(B8)</f>
        <v>156765700</v>
      </c>
      <c r="D14" s="0" t="s">
        <v>30</v>
      </c>
      <c r="E14" s="40" t="n">
        <f aca="false">'50 NP'!J3</f>
        <v>50708333.3333333</v>
      </c>
    </row>
    <row r="15" customFormat="false" ht="12.75" hidden="false" customHeight="false" outlineLevel="0" collapsed="false">
      <c r="A15" s="39" t="s">
        <v>32</v>
      </c>
      <c r="B15" s="40" t="n">
        <f aca="false">'50 NR'!K3</f>
        <v>10639846.5555556</v>
      </c>
      <c r="D15" s="0" t="s">
        <v>33</v>
      </c>
      <c r="E15" s="40" t="n">
        <f aca="false">'Hawaii Summary'!C18</f>
        <v>256371699</v>
      </c>
      <c r="F15" s="15"/>
    </row>
    <row r="16" customFormat="false" ht="12.75" hidden="false" customHeight="false" outlineLevel="0" collapsed="false">
      <c r="A16" s="39" t="s">
        <v>34</v>
      </c>
      <c r="B16" s="40" t="n">
        <f aca="false">'Hawaii Summary'!B18</f>
        <v>0</v>
      </c>
      <c r="D16" s="0" t="s">
        <v>35</v>
      </c>
      <c r="E16" s="40" t="n">
        <f aca="false">0.0001*B14</f>
        <v>15676.57</v>
      </c>
    </row>
    <row r="17" customFormat="false" ht="12.75" hidden="false" customHeight="false" outlineLevel="0" collapsed="false">
      <c r="D17" s="0" t="s">
        <v>36</v>
      </c>
      <c r="E17" s="40" t="n">
        <f aca="false">'Notional Analysis'!F38</f>
        <v>30000000</v>
      </c>
    </row>
    <row r="18" customFormat="false" ht="12.75" hidden="false" customHeight="false" outlineLevel="0" collapsed="false">
      <c r="D18" s="0" t="s">
        <v>37</v>
      </c>
      <c r="E18" s="40" t="n">
        <f aca="false">B19-SUM(E13:E17)</f>
        <v>-139690162.347778</v>
      </c>
    </row>
    <row r="19" customFormat="false" ht="13.5" hidden="false" customHeight="false" outlineLevel="0" collapsed="false">
      <c r="B19" s="41" t="n">
        <f aca="false">SUM(B13:B18)</f>
        <v>197405546.555556</v>
      </c>
      <c r="E19" s="42" t="n">
        <f aca="false">SUM(E13:E18)</f>
        <v>197405546.555556</v>
      </c>
      <c r="F19" s="40"/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A21" s="43" t="s">
        <v>38</v>
      </c>
      <c r="B21" s="43"/>
      <c r="C21" s="43"/>
      <c r="F21" s="40"/>
    </row>
    <row r="22" customFormat="false" ht="12.75" hidden="false" customHeight="false" outlineLevel="0" collapsed="false">
      <c r="A22" s="0" t="s">
        <v>39</v>
      </c>
      <c r="C22" s="40" t="n">
        <f aca="false">'Notional Analysis'!F39</f>
        <v>466924152.62</v>
      </c>
      <c r="F22" s="40"/>
    </row>
    <row r="23" customFormat="false" ht="12.75" hidden="false" customHeight="false" outlineLevel="0" collapsed="false">
      <c r="A23" s="0" t="s">
        <v>40</v>
      </c>
      <c r="C23" s="40" t="n">
        <f aca="false">'Notional Analysis'!F38</f>
        <v>30000000</v>
      </c>
      <c r="F23" s="40"/>
    </row>
    <row r="24" customFormat="false" ht="12.75" hidden="false" customHeight="false" outlineLevel="0" collapsed="false">
      <c r="A24" s="0" t="s">
        <v>41</v>
      </c>
      <c r="C24" s="44" t="n">
        <f aca="false">'Notional Analysis'!F37</f>
        <v>50647.38</v>
      </c>
      <c r="F24" s="40"/>
    </row>
    <row r="25" customFormat="false" ht="12.75" hidden="false" customHeight="false" outlineLevel="0" collapsed="false">
      <c r="A25" s="0" t="s">
        <v>42</v>
      </c>
      <c r="C25" s="40" t="n">
        <f aca="false">SUM(C22:C24)</f>
        <v>496974800</v>
      </c>
    </row>
    <row r="26" customFormat="false" ht="12.75" hidden="false" customHeight="false" outlineLevel="0" collapsed="false">
      <c r="A26" s="0" t="s">
        <v>43</v>
      </c>
      <c r="C26" s="40" t="n">
        <f aca="false">'Notional Analysis'!C5*'Notional Analysis'!C8*('Credit Analysis'!B8-'Notional Analysis'!D7)</f>
        <v>-349708100</v>
      </c>
    </row>
    <row r="27" customFormat="false" ht="12.75" hidden="false" customHeight="false" outlineLevel="0" collapsed="false">
      <c r="A27" s="0" t="s">
        <v>44</v>
      </c>
      <c r="C27" s="40" t="n">
        <f aca="false">IF(B16&lt;&gt;0,B16,-E15)</f>
        <v>-256371699</v>
      </c>
    </row>
    <row r="28" customFormat="false" ht="12.75" hidden="false" customHeight="false" outlineLevel="0" collapsed="false">
      <c r="A28" s="0" t="s">
        <v>45</v>
      </c>
      <c r="C28" s="44" t="n">
        <f aca="false">'50 NR'!K4-'258 NP'!J4-'50 NP'!J4</f>
        <v>-569486.777777778</v>
      </c>
    </row>
    <row r="29" customFormat="false" ht="12.75" hidden="false" customHeight="false" outlineLevel="0" collapsed="false">
      <c r="A29" s="0" t="s">
        <v>46</v>
      </c>
      <c r="C29" s="40" t="n">
        <f aca="false">C25+C26+C27+C28</f>
        <v>-109674485.777778</v>
      </c>
    </row>
    <row r="30" customFormat="false" ht="12.75" hidden="false" customHeight="false" outlineLevel="0" collapsed="false">
      <c r="A30" s="0" t="s">
        <v>47</v>
      </c>
      <c r="C30" s="40" t="n">
        <f aca="false">E18</f>
        <v>-139690162.347778</v>
      </c>
    </row>
    <row r="31" customFormat="false" ht="12.75" hidden="false" customHeight="false" outlineLevel="0" collapsed="false">
      <c r="A31" s="0" t="s">
        <v>48</v>
      </c>
      <c r="C31" s="40" t="n">
        <f aca="false">E17</f>
        <v>30000000</v>
      </c>
    </row>
    <row r="32" customFormat="false" ht="12.75" hidden="false" customHeight="false" outlineLevel="0" collapsed="false">
      <c r="A32" s="0" t="s">
        <v>49</v>
      </c>
      <c r="C32" s="44" t="n">
        <f aca="false">E16</f>
        <v>15676.57</v>
      </c>
    </row>
    <row r="33" customFormat="false" ht="12.75" hidden="false" customHeight="false" outlineLevel="0" collapsed="false">
      <c r="A33" s="0" t="s">
        <v>50</v>
      </c>
      <c r="C33" s="40" t="n">
        <f aca="false">C29-C30-C31-C32</f>
        <v>-2.20552465179935E-008</v>
      </c>
      <c r="D33" s="45" t="str">
        <f aca="false">IF(ROUND(C33,1)=0,"OK","Not OK")</f>
        <v>OK</v>
      </c>
    </row>
    <row r="34" customFormat="false" ht="12.75" hidden="false" customHeight="false" outlineLevel="0" collapsed="false">
      <c r="C34" s="40"/>
    </row>
    <row r="35" customFormat="false" ht="13.5" hidden="false" customHeight="false" outlineLevel="0" collapsed="false">
      <c r="A35" s="43" t="s">
        <v>51</v>
      </c>
      <c r="B35" s="43"/>
      <c r="C35" s="43"/>
    </row>
    <row r="36" customFormat="false" ht="12.75" hidden="false" customHeight="false" outlineLevel="0" collapsed="false">
      <c r="A36" s="0" t="s">
        <v>52</v>
      </c>
      <c r="C36" s="40" t="n">
        <f aca="false">B19</f>
        <v>197405546.555556</v>
      </c>
    </row>
    <row r="37" customFormat="false" ht="12.75" hidden="false" customHeight="false" outlineLevel="0" collapsed="false">
      <c r="A37" s="0" t="s">
        <v>53</v>
      </c>
      <c r="C37" s="40"/>
    </row>
    <row r="38" customFormat="false" ht="12.75" hidden="false" customHeight="false" outlineLevel="0" collapsed="false">
      <c r="A38" s="0" t="s">
        <v>54</v>
      </c>
      <c r="C38" s="40" t="n">
        <f aca="false">E14</f>
        <v>50708333.3333333</v>
      </c>
    </row>
    <row r="39" customFormat="false" ht="12.75" hidden="false" customHeight="false" outlineLevel="0" collapsed="false">
      <c r="A39" s="0" t="s">
        <v>55</v>
      </c>
      <c r="C39" s="40" t="n">
        <f aca="false">E13</f>
        <v>0</v>
      </c>
    </row>
    <row r="40" customFormat="false" ht="12.75" hidden="false" customHeight="false" outlineLevel="0" collapsed="false">
      <c r="A40" s="0" t="s">
        <v>56</v>
      </c>
      <c r="C40" s="40" t="n">
        <f aca="false">E16</f>
        <v>15676.57</v>
      </c>
    </row>
    <row r="41" customFormat="false" ht="12.75" hidden="false" customHeight="false" outlineLevel="0" collapsed="false">
      <c r="A41" s="0" t="s">
        <v>57</v>
      </c>
      <c r="C41" s="44" t="n">
        <f aca="false">E15-B16</f>
        <v>256371699</v>
      </c>
    </row>
    <row r="42" customFormat="false" ht="13.5" hidden="false" customHeight="false" outlineLevel="0" collapsed="false">
      <c r="C42" s="42" t="n">
        <f aca="false">C36-SUM(C38:C41)</f>
        <v>-109690162.347778</v>
      </c>
    </row>
    <row r="43" customFormat="false" ht="13.5" hidden="false" customHeight="false" outlineLevel="0" collapsed="false">
      <c r="C43" s="40"/>
    </row>
    <row r="44" customFormat="false" ht="13.5" hidden="false" customHeight="false" outlineLevel="0" collapsed="false">
      <c r="A44" s="43" t="s">
        <v>58</v>
      </c>
      <c r="B44" s="43"/>
      <c r="C44" s="43"/>
    </row>
    <row r="45" customFormat="false" ht="12.75" hidden="false" customHeight="false" outlineLevel="0" collapsed="false">
      <c r="A45" s="0" t="s">
        <v>59</v>
      </c>
      <c r="C45" s="46" t="n">
        <f aca="false">+E19</f>
        <v>197405546.555556</v>
      </c>
    </row>
    <row r="46" customFormat="false" ht="12.75" hidden="false" customHeight="false" outlineLevel="0" collapsed="false">
      <c r="A46" s="0" t="s">
        <v>60</v>
      </c>
      <c r="C46" s="46" t="n">
        <f aca="false">+'Notional Analysis'!E44</f>
        <v>1000000</v>
      </c>
    </row>
    <row r="47" customFormat="false" ht="12.75" hidden="false" customHeight="false" outlineLevel="0" collapsed="false">
      <c r="A47" s="0" t="s">
        <v>61</v>
      </c>
      <c r="C47" s="47" t="n">
        <f aca="false">+E16+E17</f>
        <v>30015676.57</v>
      </c>
    </row>
    <row r="48" customFormat="false" ht="12.75" hidden="false" customHeight="false" outlineLevel="0" collapsed="false">
      <c r="A48" s="0" t="s">
        <v>62</v>
      </c>
      <c r="C48" s="40" t="n">
        <f aca="false">C45+C46-C47</f>
        <v>168389869.985556</v>
      </c>
    </row>
    <row r="49" customFormat="false" ht="12.75" hidden="false" customHeight="false" outlineLevel="0" collapsed="false">
      <c r="A49" s="0" t="s">
        <v>63</v>
      </c>
      <c r="C49" s="48" t="n">
        <f aca="false">+'Notional Analysis'!E47</f>
        <v>0.0302</v>
      </c>
    </row>
    <row r="50" customFormat="false" ht="12.75" hidden="false" customHeight="false" outlineLevel="0" collapsed="false">
      <c r="A50" s="0" t="s">
        <v>64</v>
      </c>
      <c r="C50" s="40" t="n">
        <f aca="false">C48*C49</f>
        <v>5085374.07356378</v>
      </c>
    </row>
    <row r="51" customFormat="false" ht="12.75" hidden="false" customHeight="false" outlineLevel="0" collapsed="false">
      <c r="A51" s="0" t="s">
        <v>65</v>
      </c>
      <c r="C51" s="47" t="n">
        <f aca="false">+C47</f>
        <v>30015676.57</v>
      </c>
    </row>
    <row r="52" customFormat="false" ht="12.75" hidden="false" customHeight="false" outlineLevel="0" collapsed="false">
      <c r="A52" s="0" t="s">
        <v>66</v>
      </c>
      <c r="C52" s="46" t="n">
        <f aca="false">C51-C50</f>
        <v>24930302.4964362</v>
      </c>
    </row>
    <row r="53" customFormat="false" ht="12.75" hidden="false" customHeight="false" outlineLevel="0" collapsed="false">
      <c r="A53" s="49" t="s">
        <v>12</v>
      </c>
      <c r="B53" s="50"/>
      <c r="C53" s="51" t="n">
        <f aca="false">C52/C49</f>
        <v>825506705.180007</v>
      </c>
    </row>
    <row r="54" customFormat="false" ht="12.75" hidden="false" customHeight="false" outlineLevel="0" collapsed="false">
      <c r="A54" s="52" t="s">
        <v>67</v>
      </c>
      <c r="C54" s="53" t="n">
        <f aca="false">+'Notional Analysis'!E52</f>
        <v>378176400</v>
      </c>
    </row>
    <row r="55" customFormat="false" ht="12.75" hidden="false" customHeight="false" outlineLevel="0" collapsed="false">
      <c r="A55" s="52" t="s">
        <v>68</v>
      </c>
      <c r="C55" s="46" t="n">
        <f aca="false">C53-C54</f>
        <v>447330305.180007</v>
      </c>
    </row>
    <row r="56" customFormat="false" ht="12.75" hidden="false" customHeight="false" outlineLevel="0" collapsed="false">
      <c r="C56" s="40"/>
    </row>
    <row r="57" customFormat="false" ht="12.75" hidden="false" customHeight="false" outlineLevel="0" collapsed="false">
      <c r="C57" s="40"/>
    </row>
    <row r="58" customFormat="false" ht="12.75" hidden="false" customHeight="false" outlineLevel="0" collapsed="false">
      <c r="C58" s="40"/>
    </row>
    <row r="59" customFormat="false" ht="12.75" hidden="false" customHeight="false" outlineLevel="0" collapsed="false">
      <c r="C59" s="40"/>
    </row>
    <row r="60" customFormat="false" ht="12.75" hidden="false" customHeight="false" outlineLevel="0" collapsed="false">
      <c r="C60" s="40"/>
    </row>
    <row r="61" customFormat="false" ht="12.75" hidden="false" customHeight="false" outlineLevel="0" collapsed="false">
      <c r="C61" s="40"/>
    </row>
    <row r="62" customFormat="false" ht="12.75" hidden="false" customHeight="false" outlineLevel="0" collapsed="false">
      <c r="C62" s="40"/>
    </row>
    <row r="63" customFormat="false" ht="12.75" hidden="false" customHeight="false" outlineLevel="0" collapsed="false">
      <c r="C63" s="40"/>
    </row>
    <row r="64" customFormat="false" ht="12.75" hidden="false" customHeight="false" outlineLevel="0" collapsed="false">
      <c r="C64" s="40"/>
    </row>
    <row r="65" customFormat="false" ht="12.75" hidden="false" customHeight="false" outlineLevel="0" collapsed="false">
      <c r="C65" s="40"/>
    </row>
    <row r="66" customFormat="false" ht="12.75" hidden="false" customHeight="false" outlineLevel="0" collapsed="false">
      <c r="C66" s="40"/>
    </row>
    <row r="67" customFormat="false" ht="12.75" hidden="false" customHeight="false" outlineLevel="0" collapsed="false">
      <c r="C67" s="40"/>
    </row>
    <row r="68" customFormat="false" ht="12.75" hidden="false" customHeight="false" outlineLevel="0" collapsed="false">
      <c r="C68" s="40"/>
    </row>
    <row r="69" customFormat="false" ht="12.75" hidden="false" customHeight="false" outlineLevel="0" collapsed="false">
      <c r="C69" s="40"/>
    </row>
    <row r="70" customFormat="false" ht="12.75" hidden="false" customHeight="false" outlineLevel="0" collapsed="false">
      <c r="C70" s="40"/>
    </row>
    <row r="71" customFormat="false" ht="12.75" hidden="false" customHeight="false" outlineLevel="0" collapsed="false">
      <c r="C71" s="40"/>
    </row>
    <row r="72" customFormat="false" ht="12.75" hidden="false" customHeight="false" outlineLevel="0" collapsed="false">
      <c r="C72" s="40"/>
    </row>
    <row r="73" customFormat="false" ht="12.75" hidden="false" customHeight="false" outlineLevel="0" collapsed="false">
      <c r="C73" s="40"/>
    </row>
    <row r="74" customFormat="false" ht="12.75" hidden="false" customHeight="false" outlineLevel="0" collapsed="false">
      <c r="C74" s="40"/>
    </row>
    <row r="75" customFormat="false" ht="12.75" hidden="false" customHeight="false" outlineLevel="0" collapsed="false">
      <c r="C75" s="40"/>
    </row>
    <row r="76" customFormat="false" ht="12.75" hidden="false" customHeight="false" outlineLevel="0" collapsed="false">
      <c r="C76" s="40"/>
    </row>
    <row r="77" customFormat="false" ht="12.75" hidden="false" customHeight="false" outlineLevel="0" collapsed="false">
      <c r="C77" s="40"/>
    </row>
    <row r="78" customFormat="false" ht="12.75" hidden="false" customHeight="false" outlineLevel="0" collapsed="false">
      <c r="C78" s="40"/>
    </row>
    <row r="79" customFormat="false" ht="12.75" hidden="false" customHeight="false" outlineLevel="0" collapsed="false">
      <c r="C79" s="40"/>
    </row>
    <row r="80" customFormat="false" ht="12.75" hidden="false" customHeight="false" outlineLevel="0" collapsed="false">
      <c r="C80" s="40"/>
    </row>
    <row r="81" customFormat="false" ht="12.75" hidden="false" customHeight="false" outlineLevel="0" collapsed="false">
      <c r="C81" s="40"/>
    </row>
    <row r="82" customFormat="false" ht="12.75" hidden="false" customHeight="false" outlineLevel="0" collapsed="false">
      <c r="C82" s="40"/>
    </row>
    <row r="83" customFormat="false" ht="12.75" hidden="false" customHeight="false" outlineLevel="0" collapsed="false">
      <c r="C83" s="40"/>
    </row>
    <row r="84" customFormat="false" ht="12.75" hidden="false" customHeight="false" outlineLevel="0" collapsed="false">
      <c r="C84" s="40"/>
    </row>
    <row r="85" customFormat="false" ht="12.75" hidden="false" customHeight="false" outlineLevel="0" collapsed="false">
      <c r="C85" s="40"/>
    </row>
    <row r="86" customFormat="false" ht="12.75" hidden="false" customHeight="false" outlineLevel="0" collapsed="false">
      <c r="C86" s="40"/>
    </row>
    <row r="87" customFormat="false" ht="12.75" hidden="false" customHeight="false" outlineLevel="0" collapsed="false">
      <c r="C87" s="40"/>
    </row>
    <row r="88" customFormat="false" ht="12.75" hidden="false" customHeight="false" outlineLevel="0" collapsed="false">
      <c r="C88" s="40"/>
    </row>
    <row r="89" customFormat="false" ht="12.75" hidden="false" customHeight="false" outlineLevel="0" collapsed="false">
      <c r="C89" s="40"/>
    </row>
    <row r="90" customFormat="false" ht="12.75" hidden="false" customHeight="false" outlineLevel="0" collapsed="false">
      <c r="C90" s="40"/>
    </row>
    <row r="91" customFormat="false" ht="12.75" hidden="false" customHeight="false" outlineLevel="0" collapsed="false">
      <c r="C91" s="40"/>
    </row>
    <row r="92" customFormat="false" ht="12.75" hidden="false" customHeight="false" outlineLevel="0" collapsed="false">
      <c r="C92" s="40"/>
    </row>
    <row r="93" customFormat="false" ht="12.75" hidden="false" customHeight="false" outlineLevel="0" collapsed="false">
      <c r="C93" s="40"/>
    </row>
    <row r="94" customFormat="false" ht="12.75" hidden="false" customHeight="false" outlineLevel="0" collapsed="false">
      <c r="C94" s="40"/>
    </row>
    <row r="95" customFormat="false" ht="12.75" hidden="false" customHeight="false" outlineLevel="0" collapsed="false">
      <c r="C95" s="40"/>
    </row>
    <row r="96" customFormat="false" ht="12.75" hidden="false" customHeight="false" outlineLevel="0" collapsed="false">
      <c r="C96" s="40"/>
    </row>
    <row r="97" customFormat="false" ht="12.75" hidden="false" customHeight="false" outlineLevel="0" collapsed="false">
      <c r="C97" s="40"/>
    </row>
    <row r="98" customFormat="false" ht="12.75" hidden="false" customHeight="false" outlineLevel="0" collapsed="false">
      <c r="C98" s="40"/>
    </row>
    <row r="99" customFormat="false" ht="12.75" hidden="false" customHeight="false" outlineLevel="0" collapsed="false">
      <c r="C99" s="40"/>
    </row>
    <row r="100" customFormat="false" ht="12.75" hidden="false" customHeight="false" outlineLevel="0" collapsed="false">
      <c r="C100" s="40"/>
    </row>
    <row r="101" customFormat="false" ht="12.75" hidden="false" customHeight="false" outlineLevel="0" collapsed="false">
      <c r="C101" s="40"/>
    </row>
    <row r="102" customFormat="false" ht="12.75" hidden="false" customHeight="false" outlineLevel="0" collapsed="false">
      <c r="C102" s="40"/>
    </row>
    <row r="103" customFormat="false" ht="12.75" hidden="false" customHeight="false" outlineLevel="0" collapsed="false">
      <c r="C103" s="40"/>
    </row>
    <row r="104" customFormat="false" ht="12.75" hidden="false" customHeight="false" outlineLevel="0" collapsed="false">
      <c r="C104" s="40"/>
    </row>
    <row r="105" customFormat="false" ht="12.75" hidden="false" customHeight="false" outlineLevel="0" collapsed="false">
      <c r="C105" s="40"/>
    </row>
    <row r="106" customFormat="false" ht="12.75" hidden="false" customHeight="false" outlineLevel="0" collapsed="false">
      <c r="C106" s="40"/>
    </row>
    <row r="107" customFormat="false" ht="12.75" hidden="false" customHeight="false" outlineLevel="0" collapsed="false">
      <c r="C107" s="40"/>
    </row>
    <row r="108" customFormat="false" ht="12.75" hidden="false" customHeight="false" outlineLevel="0" collapsed="false">
      <c r="C108" s="40"/>
    </row>
    <row r="109" customFormat="false" ht="12.75" hidden="false" customHeight="false" outlineLevel="0" collapsed="false">
      <c r="C109" s="40"/>
    </row>
    <row r="110" customFormat="false" ht="12.75" hidden="false" customHeight="false" outlineLevel="0" collapsed="false">
      <c r="C110" s="40"/>
    </row>
    <row r="111" customFormat="false" ht="12.75" hidden="false" customHeight="false" outlineLevel="0" collapsed="false">
      <c r="C111" s="40"/>
    </row>
    <row r="112" customFormat="false" ht="12.75" hidden="false" customHeight="false" outlineLevel="0" collapsed="false">
      <c r="C112" s="40"/>
    </row>
    <row r="113" customFormat="false" ht="12.75" hidden="false" customHeight="false" outlineLevel="0" collapsed="false">
      <c r="C113" s="40"/>
    </row>
    <row r="114" customFormat="false" ht="12.75" hidden="false" customHeight="false" outlineLevel="0" collapsed="false">
      <c r="C114" s="40"/>
    </row>
    <row r="115" customFormat="false" ht="12.75" hidden="false" customHeight="false" outlineLevel="0" collapsed="false">
      <c r="C115" s="40"/>
    </row>
    <row r="116" customFormat="false" ht="12.75" hidden="false" customHeight="false" outlineLevel="0" collapsed="false">
      <c r="C116" s="40"/>
    </row>
    <row r="117" customFormat="false" ht="12.75" hidden="false" customHeight="false" outlineLevel="0" collapsed="false">
      <c r="C117" s="40"/>
    </row>
    <row r="118" customFormat="false" ht="12.75" hidden="false" customHeight="false" outlineLevel="0" collapsed="false">
      <c r="C118" s="40"/>
    </row>
    <row r="119" customFormat="false" ht="12.75" hidden="false" customHeight="false" outlineLevel="0" collapsed="false">
      <c r="C119" s="40"/>
    </row>
    <row r="120" customFormat="false" ht="12.75" hidden="false" customHeight="false" outlineLevel="0" collapsed="false">
      <c r="C120" s="40"/>
    </row>
    <row r="121" customFormat="false" ht="12.75" hidden="false" customHeight="false" outlineLevel="0" collapsed="false">
      <c r="C121" s="40"/>
    </row>
    <row r="122" customFormat="false" ht="12.75" hidden="false" customHeight="false" outlineLevel="0" collapsed="false">
      <c r="C122" s="40"/>
    </row>
    <row r="123" customFormat="false" ht="12.75" hidden="false" customHeight="false" outlineLevel="0" collapsed="false">
      <c r="C123" s="40"/>
    </row>
    <row r="124" customFormat="false" ht="12.75" hidden="false" customHeight="false" outlineLevel="0" collapsed="false">
      <c r="C124" s="40"/>
    </row>
    <row r="125" customFormat="false" ht="12.75" hidden="false" customHeight="false" outlineLevel="0" collapsed="false">
      <c r="C125" s="40"/>
    </row>
    <row r="126" customFormat="false" ht="12.75" hidden="false" customHeight="false" outlineLevel="0" collapsed="false">
      <c r="C126" s="40"/>
    </row>
    <row r="127" customFormat="false" ht="12.75" hidden="false" customHeight="false" outlineLevel="0" collapsed="false">
      <c r="C127" s="40"/>
    </row>
    <row r="128" customFormat="false" ht="12.75" hidden="false" customHeight="false" outlineLevel="0" collapsed="false">
      <c r="C128" s="40"/>
    </row>
    <row r="129" customFormat="false" ht="12.75" hidden="false" customHeight="false" outlineLevel="0" collapsed="false">
      <c r="C129" s="40"/>
    </row>
    <row r="130" customFormat="false" ht="12.75" hidden="false" customHeight="false" outlineLevel="0" collapsed="false">
      <c r="C130" s="40"/>
    </row>
    <row r="131" customFormat="false" ht="12.75" hidden="false" customHeight="false" outlineLevel="0" collapsed="false">
      <c r="C131" s="40"/>
    </row>
    <row r="132" customFormat="false" ht="12.75" hidden="false" customHeight="false" outlineLevel="0" collapsed="false">
      <c r="C132" s="40"/>
    </row>
    <row r="133" customFormat="false" ht="12.75" hidden="false" customHeight="false" outlineLevel="0" collapsed="false">
      <c r="C133" s="40"/>
    </row>
    <row r="134" customFormat="false" ht="12.75" hidden="false" customHeight="false" outlineLevel="0" collapsed="false">
      <c r="C134" s="40"/>
    </row>
    <row r="135" customFormat="false" ht="12.75" hidden="false" customHeight="false" outlineLevel="0" collapsed="false">
      <c r="C135" s="40"/>
    </row>
    <row r="136" customFormat="false" ht="12.75" hidden="false" customHeight="false" outlineLevel="0" collapsed="false">
      <c r="C136" s="40"/>
    </row>
    <row r="137" customFormat="false" ht="12.75" hidden="false" customHeight="false" outlineLevel="0" collapsed="false">
      <c r="C137" s="40"/>
    </row>
    <row r="138" customFormat="false" ht="12.75" hidden="false" customHeight="false" outlineLevel="0" collapsed="false">
      <c r="C138" s="40"/>
    </row>
    <row r="139" customFormat="false" ht="12.75" hidden="false" customHeight="false" outlineLevel="0" collapsed="false">
      <c r="C139" s="40"/>
    </row>
    <row r="140" customFormat="false" ht="12.75" hidden="false" customHeight="false" outlineLevel="0" collapsed="false">
      <c r="C140" s="40"/>
    </row>
    <row r="141" customFormat="false" ht="12.75" hidden="false" customHeight="false" outlineLevel="0" collapsed="false">
      <c r="C141" s="40"/>
    </row>
    <row r="142" customFormat="false" ht="12.75" hidden="false" customHeight="false" outlineLevel="0" collapsed="false">
      <c r="C142" s="40"/>
    </row>
    <row r="143" customFormat="false" ht="12.75" hidden="false" customHeight="false" outlineLevel="0" collapsed="false">
      <c r="C143" s="40"/>
    </row>
    <row r="144" customFormat="false" ht="12.75" hidden="false" customHeight="false" outlineLevel="0" collapsed="false">
      <c r="C144" s="40"/>
    </row>
    <row r="145" customFormat="false" ht="12.75" hidden="false" customHeight="false" outlineLevel="0" collapsed="false">
      <c r="C145" s="40"/>
    </row>
    <row r="146" customFormat="false" ht="12.75" hidden="false" customHeight="false" outlineLevel="0" collapsed="false">
      <c r="C146" s="40"/>
    </row>
    <row r="147" customFormat="false" ht="12.75" hidden="false" customHeight="false" outlineLevel="0" collapsed="false">
      <c r="C147" s="40"/>
    </row>
    <row r="148" customFormat="false" ht="12.75" hidden="false" customHeight="false" outlineLevel="0" collapsed="false">
      <c r="C148" s="40"/>
    </row>
    <row r="149" customFormat="false" ht="12.75" hidden="false" customHeight="false" outlineLevel="0" collapsed="false">
      <c r="C149" s="40"/>
    </row>
    <row r="150" customFormat="false" ht="12.75" hidden="false" customHeight="false" outlineLevel="0" collapsed="false">
      <c r="C150" s="40"/>
    </row>
    <row r="151" customFormat="false" ht="12.75" hidden="false" customHeight="false" outlineLevel="0" collapsed="false">
      <c r="C151" s="40"/>
    </row>
    <row r="152" customFormat="false" ht="12.75" hidden="false" customHeight="false" outlineLevel="0" collapsed="false">
      <c r="C152" s="40"/>
    </row>
    <row r="153" customFormat="false" ht="12.75" hidden="false" customHeight="false" outlineLevel="0" collapsed="false">
      <c r="C153" s="40"/>
    </row>
    <row r="154" customFormat="false" ht="12.75" hidden="false" customHeight="false" outlineLevel="0" collapsed="false">
      <c r="C154" s="40"/>
    </row>
    <row r="155" customFormat="false" ht="12.75" hidden="false" customHeight="false" outlineLevel="0" collapsed="false">
      <c r="C155" s="40"/>
    </row>
    <row r="156" customFormat="false" ht="12.75" hidden="false" customHeight="false" outlineLevel="0" collapsed="false">
      <c r="C156" s="40"/>
    </row>
    <row r="157" customFormat="false" ht="12.75" hidden="false" customHeight="false" outlineLevel="0" collapsed="false">
      <c r="C157" s="40"/>
    </row>
    <row r="158" customFormat="false" ht="12.75" hidden="false" customHeight="false" outlineLevel="0" collapsed="false">
      <c r="C158" s="40"/>
    </row>
    <row r="159" customFormat="false" ht="12.75" hidden="false" customHeight="false" outlineLevel="0" collapsed="false">
      <c r="C159" s="40"/>
    </row>
    <row r="160" customFormat="false" ht="12.75" hidden="false" customHeight="false" outlineLevel="0" collapsed="false">
      <c r="C160" s="40"/>
    </row>
    <row r="161" customFormat="false" ht="12.75" hidden="false" customHeight="false" outlineLevel="0" collapsed="false">
      <c r="C161" s="40"/>
    </row>
    <row r="162" customFormat="false" ht="12.75" hidden="false" customHeight="false" outlineLevel="0" collapsed="false">
      <c r="C162" s="40"/>
    </row>
    <row r="163" customFormat="false" ht="12.75" hidden="false" customHeight="false" outlineLevel="0" collapsed="false">
      <c r="C163" s="40"/>
    </row>
    <row r="164" customFormat="false" ht="12.75" hidden="false" customHeight="false" outlineLevel="0" collapsed="false">
      <c r="C164" s="40"/>
    </row>
    <row r="165" customFormat="false" ht="12.75" hidden="false" customHeight="false" outlineLevel="0" collapsed="false">
      <c r="C165" s="40"/>
    </row>
    <row r="166" customFormat="false" ht="12.75" hidden="false" customHeight="false" outlineLevel="0" collapsed="false">
      <c r="C166" s="40"/>
    </row>
    <row r="167" customFormat="false" ht="12.75" hidden="false" customHeight="false" outlineLevel="0" collapsed="false">
      <c r="C167" s="40"/>
    </row>
    <row r="168" customFormat="false" ht="12.75" hidden="false" customHeight="false" outlineLevel="0" collapsed="false">
      <c r="C168" s="40"/>
    </row>
    <row r="169" customFormat="false" ht="12.75" hidden="false" customHeight="false" outlineLevel="0" collapsed="false">
      <c r="C169" s="40"/>
    </row>
    <row r="170" customFormat="false" ht="12.75" hidden="false" customHeight="false" outlineLevel="0" collapsed="false">
      <c r="C170" s="40"/>
    </row>
    <row r="171" customFormat="false" ht="12.75" hidden="false" customHeight="false" outlineLevel="0" collapsed="false">
      <c r="C171" s="40"/>
    </row>
    <row r="172" customFormat="false" ht="12.75" hidden="false" customHeight="false" outlineLevel="0" collapsed="false">
      <c r="C172" s="40"/>
    </row>
    <row r="173" customFormat="false" ht="12.75" hidden="false" customHeight="false" outlineLevel="0" collapsed="false">
      <c r="C173" s="40"/>
    </row>
    <row r="174" customFormat="false" ht="12.75" hidden="false" customHeight="false" outlineLevel="0" collapsed="false">
      <c r="C174" s="40"/>
    </row>
    <row r="175" customFormat="false" ht="12.75" hidden="false" customHeight="false" outlineLevel="0" collapsed="false">
      <c r="C175" s="40"/>
    </row>
    <row r="176" customFormat="false" ht="12.75" hidden="false" customHeight="false" outlineLevel="0" collapsed="false">
      <c r="C176" s="40"/>
    </row>
    <row r="177" customFormat="false" ht="12.75" hidden="false" customHeight="false" outlineLevel="0" collapsed="false">
      <c r="C177" s="40"/>
    </row>
    <row r="178" customFormat="false" ht="12.75" hidden="false" customHeight="false" outlineLevel="0" collapsed="false">
      <c r="C178" s="40"/>
    </row>
    <row r="179" customFormat="false" ht="12.75" hidden="false" customHeight="false" outlineLevel="0" collapsed="false">
      <c r="C179" s="40"/>
    </row>
    <row r="180" customFormat="false" ht="12.75" hidden="false" customHeight="false" outlineLevel="0" collapsed="false">
      <c r="C180" s="40"/>
    </row>
    <row r="181" customFormat="false" ht="12.75" hidden="false" customHeight="false" outlineLevel="0" collapsed="false">
      <c r="C181" s="40"/>
    </row>
    <row r="182" customFormat="false" ht="12.75" hidden="false" customHeight="false" outlineLevel="0" collapsed="false">
      <c r="C182" s="40"/>
    </row>
    <row r="183" customFormat="false" ht="12.75" hidden="false" customHeight="false" outlineLevel="0" collapsed="false">
      <c r="C183" s="40"/>
    </row>
    <row r="184" customFormat="false" ht="12.75" hidden="false" customHeight="false" outlineLevel="0" collapsed="false">
      <c r="C184" s="40"/>
    </row>
    <row r="185" customFormat="false" ht="12.75" hidden="false" customHeight="false" outlineLevel="0" collapsed="false">
      <c r="C185" s="40"/>
    </row>
    <row r="186" customFormat="false" ht="12.75" hidden="false" customHeight="false" outlineLevel="0" collapsed="false">
      <c r="C186" s="40"/>
    </row>
    <row r="187" customFormat="false" ht="12.75" hidden="false" customHeight="false" outlineLevel="0" collapsed="false">
      <c r="C187" s="40"/>
    </row>
    <row r="188" customFormat="false" ht="12.75" hidden="false" customHeight="false" outlineLevel="0" collapsed="false">
      <c r="C188" s="40"/>
    </row>
    <row r="189" customFormat="false" ht="12.75" hidden="false" customHeight="false" outlineLevel="0" collapsed="false">
      <c r="C189" s="40"/>
    </row>
    <row r="190" customFormat="false" ht="12.75" hidden="false" customHeight="false" outlineLevel="0" collapsed="false">
      <c r="C190" s="40"/>
    </row>
    <row r="191" customFormat="false" ht="12.75" hidden="false" customHeight="false" outlineLevel="0" collapsed="false">
      <c r="C191" s="40"/>
    </row>
    <row r="192" customFormat="false" ht="12.75" hidden="false" customHeight="false" outlineLevel="0" collapsed="false">
      <c r="C192" s="40"/>
    </row>
    <row r="193" customFormat="false" ht="12.75" hidden="false" customHeight="false" outlineLevel="0" collapsed="false">
      <c r="C193" s="40"/>
    </row>
    <row r="194" customFormat="false" ht="12.75" hidden="false" customHeight="false" outlineLevel="0" collapsed="false">
      <c r="C194" s="40"/>
    </row>
    <row r="195" customFormat="false" ht="12.75" hidden="false" customHeight="false" outlineLevel="0" collapsed="false">
      <c r="C195" s="40"/>
    </row>
    <row r="196" customFormat="false" ht="12.75" hidden="false" customHeight="false" outlineLevel="0" collapsed="false">
      <c r="C196" s="40"/>
    </row>
    <row r="197" customFormat="false" ht="12.75" hidden="false" customHeight="false" outlineLevel="0" collapsed="false">
      <c r="C197" s="40"/>
    </row>
    <row r="198" customFormat="false" ht="12.75" hidden="false" customHeight="false" outlineLevel="0" collapsed="false">
      <c r="C198" s="40"/>
    </row>
    <row r="199" customFormat="false" ht="12.75" hidden="false" customHeight="false" outlineLevel="0" collapsed="false">
      <c r="C199" s="40"/>
    </row>
    <row r="200" customFormat="false" ht="12.75" hidden="false" customHeight="false" outlineLevel="0" collapsed="false">
      <c r="C200" s="40"/>
    </row>
    <row r="201" customFormat="false" ht="12.75" hidden="false" customHeight="false" outlineLevel="0" collapsed="false">
      <c r="C201" s="40"/>
    </row>
    <row r="202" customFormat="false" ht="12.75" hidden="false" customHeight="false" outlineLevel="0" collapsed="false">
      <c r="C202" s="40"/>
    </row>
    <row r="203" customFormat="false" ht="12.75" hidden="false" customHeight="false" outlineLevel="0" collapsed="false">
      <c r="C203" s="40"/>
    </row>
    <row r="204" customFormat="false" ht="12.75" hidden="false" customHeight="false" outlineLevel="0" collapsed="false">
      <c r="C204" s="40"/>
    </row>
    <row r="205" customFormat="false" ht="12.75" hidden="false" customHeight="false" outlineLevel="0" collapsed="false">
      <c r="C205" s="40"/>
    </row>
    <row r="206" customFormat="false" ht="12.75" hidden="false" customHeight="false" outlineLevel="0" collapsed="false">
      <c r="C206" s="40"/>
    </row>
    <row r="207" customFormat="false" ht="12.75" hidden="false" customHeight="false" outlineLevel="0" collapsed="false">
      <c r="C207" s="40"/>
    </row>
    <row r="208" customFormat="false" ht="12.75" hidden="false" customHeight="false" outlineLevel="0" collapsed="false">
      <c r="C208" s="40"/>
    </row>
    <row r="209" customFormat="false" ht="12.75" hidden="false" customHeight="false" outlineLevel="0" collapsed="false">
      <c r="C209" s="40"/>
    </row>
    <row r="210" customFormat="false" ht="12.75" hidden="false" customHeight="false" outlineLevel="0" collapsed="false">
      <c r="C210" s="40"/>
    </row>
    <row r="211" customFormat="false" ht="12.75" hidden="false" customHeight="false" outlineLevel="0" collapsed="false">
      <c r="C211" s="40"/>
    </row>
    <row r="212" customFormat="false" ht="12.75" hidden="false" customHeight="false" outlineLevel="0" collapsed="false">
      <c r="C212" s="40"/>
    </row>
    <row r="213" customFormat="false" ht="12.75" hidden="false" customHeight="false" outlineLevel="0" collapsed="false">
      <c r="C213" s="40"/>
    </row>
    <row r="214" customFormat="false" ht="12.75" hidden="false" customHeight="false" outlineLevel="0" collapsed="false">
      <c r="C214" s="40"/>
    </row>
    <row r="215" customFormat="false" ht="12.75" hidden="false" customHeight="false" outlineLevel="0" collapsed="false">
      <c r="C215" s="40"/>
    </row>
    <row r="216" customFormat="false" ht="12.75" hidden="false" customHeight="false" outlineLevel="0" collapsed="false">
      <c r="C216" s="40"/>
    </row>
    <row r="217" customFormat="false" ht="12.75" hidden="false" customHeight="false" outlineLevel="0" collapsed="false">
      <c r="C217" s="40"/>
    </row>
    <row r="218" customFormat="false" ht="12.75" hidden="false" customHeight="false" outlineLevel="0" collapsed="false">
      <c r="C218" s="40"/>
    </row>
    <row r="219" customFormat="false" ht="12.75" hidden="false" customHeight="false" outlineLevel="0" collapsed="false">
      <c r="C219" s="40"/>
    </row>
    <row r="220" customFormat="false" ht="12.75" hidden="false" customHeight="false" outlineLevel="0" collapsed="false">
      <c r="C220" s="40"/>
    </row>
    <row r="221" customFormat="false" ht="12.75" hidden="false" customHeight="false" outlineLevel="0" collapsed="false">
      <c r="C221" s="40"/>
    </row>
    <row r="222" customFormat="false" ht="12.75" hidden="false" customHeight="false" outlineLevel="0" collapsed="false">
      <c r="C222" s="40"/>
    </row>
    <row r="223" customFormat="false" ht="12.75" hidden="false" customHeight="false" outlineLevel="0" collapsed="false">
      <c r="C223" s="40"/>
    </row>
    <row r="224" customFormat="false" ht="12.75" hidden="false" customHeight="false" outlineLevel="0" collapsed="false">
      <c r="C224" s="40"/>
    </row>
    <row r="225" customFormat="false" ht="12.75" hidden="false" customHeight="false" outlineLevel="0" collapsed="false">
      <c r="C225" s="40"/>
    </row>
    <row r="226" customFormat="false" ht="12.75" hidden="false" customHeight="false" outlineLevel="0" collapsed="false">
      <c r="C226" s="40"/>
    </row>
    <row r="227" customFormat="false" ht="12.75" hidden="false" customHeight="false" outlineLevel="0" collapsed="false">
      <c r="C227" s="40"/>
    </row>
    <row r="228" customFormat="false" ht="12.75" hidden="false" customHeight="false" outlineLevel="0" collapsed="false">
      <c r="C228" s="40"/>
    </row>
    <row r="229" customFormat="false" ht="12.75" hidden="false" customHeight="false" outlineLevel="0" collapsed="false">
      <c r="C229" s="40"/>
    </row>
    <row r="230" customFormat="false" ht="12.75" hidden="false" customHeight="false" outlineLevel="0" collapsed="false">
      <c r="C230" s="40"/>
    </row>
    <row r="231" customFormat="false" ht="12.75" hidden="false" customHeight="false" outlineLevel="0" collapsed="false">
      <c r="C231" s="40"/>
    </row>
    <row r="232" customFormat="false" ht="12.75" hidden="false" customHeight="false" outlineLevel="0" collapsed="false">
      <c r="C232" s="40"/>
    </row>
    <row r="233" customFormat="false" ht="12.75" hidden="false" customHeight="false" outlineLevel="0" collapsed="false">
      <c r="C233" s="40"/>
    </row>
    <row r="234" customFormat="false" ht="12.75" hidden="false" customHeight="false" outlineLevel="0" collapsed="false">
      <c r="C234" s="40"/>
    </row>
    <row r="235" customFormat="false" ht="12.75" hidden="false" customHeight="false" outlineLevel="0" collapsed="false">
      <c r="C235" s="40"/>
    </row>
    <row r="236" customFormat="false" ht="12.75" hidden="false" customHeight="false" outlineLevel="0" collapsed="false">
      <c r="C236" s="40"/>
    </row>
    <row r="237" customFormat="false" ht="12.75" hidden="false" customHeight="false" outlineLevel="0" collapsed="false">
      <c r="C237" s="40"/>
    </row>
    <row r="238" customFormat="false" ht="12.75" hidden="false" customHeight="false" outlineLevel="0" collapsed="false">
      <c r="C238" s="40"/>
    </row>
    <row r="239" customFormat="false" ht="12.75" hidden="false" customHeight="false" outlineLevel="0" collapsed="false">
      <c r="C239" s="40"/>
    </row>
    <row r="240" customFormat="false" ht="12.75" hidden="false" customHeight="false" outlineLevel="0" collapsed="false">
      <c r="C240" s="40"/>
    </row>
    <row r="241" customFormat="false" ht="12.75" hidden="false" customHeight="false" outlineLevel="0" collapsed="false">
      <c r="C241" s="40"/>
    </row>
    <row r="242" customFormat="false" ht="12.75" hidden="false" customHeight="false" outlineLevel="0" collapsed="false">
      <c r="C242" s="40"/>
    </row>
    <row r="243" customFormat="false" ht="12.75" hidden="false" customHeight="false" outlineLevel="0" collapsed="false">
      <c r="C243" s="40"/>
    </row>
    <row r="244" customFormat="false" ht="12.75" hidden="false" customHeight="false" outlineLevel="0" collapsed="false">
      <c r="C244" s="40"/>
    </row>
    <row r="245" customFormat="false" ht="12.75" hidden="false" customHeight="false" outlineLevel="0" collapsed="false">
      <c r="C245" s="40"/>
    </row>
    <row r="246" customFormat="false" ht="12.75" hidden="false" customHeight="false" outlineLevel="0" collapsed="false">
      <c r="C246" s="40"/>
    </row>
    <row r="247" customFormat="false" ht="12.75" hidden="false" customHeight="false" outlineLevel="0" collapsed="false">
      <c r="C247" s="40"/>
    </row>
    <row r="248" customFormat="false" ht="12.75" hidden="false" customHeight="false" outlineLevel="0" collapsed="false">
      <c r="C248" s="40"/>
    </row>
    <row r="249" customFormat="false" ht="12.75" hidden="false" customHeight="false" outlineLevel="0" collapsed="false">
      <c r="C249" s="40"/>
    </row>
    <row r="250" customFormat="false" ht="12.75" hidden="false" customHeight="false" outlineLevel="0" collapsed="false">
      <c r="C250" s="40"/>
    </row>
    <row r="251" customFormat="false" ht="12.75" hidden="false" customHeight="false" outlineLevel="0" collapsed="false">
      <c r="C251" s="40"/>
    </row>
    <row r="252" customFormat="false" ht="12.75" hidden="false" customHeight="false" outlineLevel="0" collapsed="false">
      <c r="C252" s="40"/>
    </row>
    <row r="253" customFormat="false" ht="12.75" hidden="false" customHeight="false" outlineLevel="0" collapsed="false">
      <c r="C253" s="40"/>
    </row>
    <row r="254" customFormat="false" ht="12.75" hidden="false" customHeight="false" outlineLevel="0" collapsed="false">
      <c r="C254" s="40"/>
    </row>
    <row r="255" customFormat="false" ht="12.75" hidden="false" customHeight="false" outlineLevel="0" collapsed="false">
      <c r="C255" s="40"/>
    </row>
    <row r="256" customFormat="false" ht="12.75" hidden="false" customHeight="false" outlineLevel="0" collapsed="false">
      <c r="C256" s="40"/>
    </row>
    <row r="257" customFormat="false" ht="12.75" hidden="false" customHeight="false" outlineLevel="0" collapsed="false">
      <c r="C257" s="40"/>
    </row>
    <row r="258" customFormat="false" ht="12.75" hidden="false" customHeight="false" outlineLevel="0" collapsed="false">
      <c r="C258" s="40"/>
    </row>
    <row r="259" customFormat="false" ht="12.75" hidden="false" customHeight="false" outlineLevel="0" collapsed="false">
      <c r="C259" s="40"/>
    </row>
    <row r="260" customFormat="false" ht="12.75" hidden="false" customHeight="false" outlineLevel="0" collapsed="false">
      <c r="C260" s="40"/>
    </row>
    <row r="261" customFormat="false" ht="12.75" hidden="false" customHeight="false" outlineLevel="0" collapsed="false">
      <c r="C261" s="40"/>
    </row>
    <row r="262" customFormat="false" ht="12.75" hidden="false" customHeight="false" outlineLevel="0" collapsed="false">
      <c r="C262" s="40"/>
    </row>
    <row r="263" customFormat="false" ht="12.75" hidden="false" customHeight="false" outlineLevel="0" collapsed="false">
      <c r="C263" s="40"/>
    </row>
    <row r="264" customFormat="false" ht="12.75" hidden="false" customHeight="false" outlineLevel="0" collapsed="false">
      <c r="C264" s="40"/>
    </row>
    <row r="265" customFormat="false" ht="12.75" hidden="false" customHeight="false" outlineLevel="0" collapsed="false">
      <c r="C265" s="40"/>
    </row>
    <row r="266" customFormat="false" ht="12.75" hidden="false" customHeight="false" outlineLevel="0" collapsed="false">
      <c r="C266" s="40"/>
    </row>
    <row r="267" customFormat="false" ht="12.75" hidden="false" customHeight="false" outlineLevel="0" collapsed="false">
      <c r="C267" s="40"/>
    </row>
    <row r="268" customFormat="false" ht="12.75" hidden="false" customHeight="false" outlineLevel="0" collapsed="false">
      <c r="C268" s="40"/>
    </row>
    <row r="269" customFormat="false" ht="12.75" hidden="false" customHeight="false" outlineLevel="0" collapsed="false">
      <c r="C269" s="40"/>
    </row>
    <row r="270" customFormat="false" ht="12.75" hidden="false" customHeight="false" outlineLevel="0" collapsed="false">
      <c r="C270" s="40"/>
    </row>
    <row r="271" customFormat="false" ht="12.75" hidden="false" customHeight="false" outlineLevel="0" collapsed="false">
      <c r="C271" s="40"/>
    </row>
    <row r="272" customFormat="false" ht="12.75" hidden="false" customHeight="false" outlineLevel="0" collapsed="false">
      <c r="C272" s="40"/>
    </row>
    <row r="273" customFormat="false" ht="12.75" hidden="false" customHeight="false" outlineLevel="0" collapsed="false">
      <c r="C273" s="40"/>
    </row>
    <row r="274" customFormat="false" ht="12.75" hidden="false" customHeight="false" outlineLevel="0" collapsed="false">
      <c r="C274" s="40"/>
    </row>
    <row r="275" customFormat="false" ht="12.75" hidden="false" customHeight="false" outlineLevel="0" collapsed="false">
      <c r="C275" s="40"/>
    </row>
    <row r="276" customFormat="false" ht="12.75" hidden="false" customHeight="false" outlineLevel="0" collapsed="false">
      <c r="C276" s="40"/>
    </row>
    <row r="277" customFormat="false" ht="12.75" hidden="false" customHeight="false" outlineLevel="0" collapsed="false">
      <c r="C277" s="40"/>
    </row>
    <row r="278" customFormat="false" ht="12.75" hidden="false" customHeight="false" outlineLevel="0" collapsed="false">
      <c r="C278" s="40"/>
    </row>
    <row r="279" customFormat="false" ht="12.75" hidden="false" customHeight="false" outlineLevel="0" collapsed="false">
      <c r="C279" s="40"/>
    </row>
    <row r="280" customFormat="false" ht="12.75" hidden="false" customHeight="false" outlineLevel="0" collapsed="false">
      <c r="C280" s="40"/>
    </row>
    <row r="281" customFormat="false" ht="12.75" hidden="false" customHeight="false" outlineLevel="0" collapsed="false">
      <c r="C281" s="40"/>
    </row>
    <row r="282" customFormat="false" ht="12.75" hidden="false" customHeight="false" outlineLevel="0" collapsed="false">
      <c r="C282" s="40"/>
    </row>
    <row r="283" customFormat="false" ht="12.75" hidden="false" customHeight="false" outlineLevel="0" collapsed="false">
      <c r="C283" s="40"/>
    </row>
    <row r="284" customFormat="false" ht="12.75" hidden="false" customHeight="false" outlineLevel="0" collapsed="false">
      <c r="C284" s="40"/>
    </row>
    <row r="285" customFormat="false" ht="12.75" hidden="false" customHeight="false" outlineLevel="0" collapsed="false">
      <c r="C285" s="40"/>
    </row>
    <row r="286" customFormat="false" ht="12.75" hidden="false" customHeight="false" outlineLevel="0" collapsed="false">
      <c r="C286" s="40"/>
    </row>
    <row r="287" customFormat="false" ht="12.75" hidden="false" customHeight="false" outlineLevel="0" collapsed="false">
      <c r="C287" s="40"/>
    </row>
    <row r="288" customFormat="false" ht="12.75" hidden="false" customHeight="false" outlineLevel="0" collapsed="false">
      <c r="C288" s="40"/>
    </row>
    <row r="289" customFormat="false" ht="12.75" hidden="false" customHeight="false" outlineLevel="0" collapsed="false">
      <c r="C289" s="40"/>
    </row>
    <row r="290" customFormat="false" ht="12.75" hidden="false" customHeight="false" outlineLevel="0" collapsed="false">
      <c r="C290" s="40"/>
    </row>
    <row r="291" customFormat="false" ht="12.75" hidden="false" customHeight="false" outlineLevel="0" collapsed="false">
      <c r="C291" s="40"/>
    </row>
    <row r="292" customFormat="false" ht="12.75" hidden="false" customHeight="false" outlineLevel="0" collapsed="false">
      <c r="C292" s="40"/>
    </row>
    <row r="293" customFormat="false" ht="12.75" hidden="false" customHeight="false" outlineLevel="0" collapsed="false">
      <c r="C293" s="40"/>
    </row>
    <row r="294" customFormat="false" ht="12.75" hidden="false" customHeight="false" outlineLevel="0" collapsed="false">
      <c r="C294" s="40"/>
    </row>
    <row r="295" customFormat="false" ht="12.75" hidden="false" customHeight="false" outlineLevel="0" collapsed="false">
      <c r="C295" s="40"/>
    </row>
    <row r="296" customFormat="false" ht="12.75" hidden="false" customHeight="false" outlineLevel="0" collapsed="false">
      <c r="C296" s="40"/>
    </row>
    <row r="297" customFormat="false" ht="12.75" hidden="false" customHeight="false" outlineLevel="0" collapsed="false">
      <c r="C297" s="40"/>
    </row>
    <row r="298" customFormat="false" ht="12.75" hidden="false" customHeight="false" outlineLevel="0" collapsed="false">
      <c r="C298" s="40"/>
    </row>
    <row r="299" customFormat="false" ht="12.75" hidden="false" customHeight="false" outlineLevel="0" collapsed="false">
      <c r="C299" s="40"/>
    </row>
    <row r="300" customFormat="false" ht="12.75" hidden="false" customHeight="false" outlineLevel="0" collapsed="false">
      <c r="C300" s="40"/>
    </row>
    <row r="301" customFormat="false" ht="12.75" hidden="false" customHeight="false" outlineLevel="0" collapsed="false">
      <c r="C301" s="40"/>
    </row>
    <row r="302" customFormat="false" ht="12.75" hidden="false" customHeight="false" outlineLevel="0" collapsed="false">
      <c r="C302" s="40"/>
    </row>
    <row r="303" customFormat="false" ht="12.75" hidden="false" customHeight="false" outlineLevel="0" collapsed="false">
      <c r="C303" s="40"/>
    </row>
    <row r="304" customFormat="false" ht="12.75" hidden="false" customHeight="false" outlineLevel="0" collapsed="false">
      <c r="C304" s="40"/>
    </row>
    <row r="305" customFormat="false" ht="12.75" hidden="false" customHeight="false" outlineLevel="0" collapsed="false">
      <c r="C305" s="40"/>
    </row>
    <row r="306" customFormat="false" ht="12.75" hidden="false" customHeight="false" outlineLevel="0" collapsed="false">
      <c r="C306" s="40"/>
    </row>
    <row r="307" customFormat="false" ht="12.75" hidden="false" customHeight="false" outlineLevel="0" collapsed="false">
      <c r="C307" s="40"/>
    </row>
    <row r="308" customFormat="false" ht="12.75" hidden="false" customHeight="false" outlineLevel="0" collapsed="false">
      <c r="C308" s="40"/>
    </row>
    <row r="309" customFormat="false" ht="12.75" hidden="false" customHeight="false" outlineLevel="0" collapsed="false">
      <c r="C309" s="40"/>
    </row>
    <row r="310" customFormat="false" ht="12.75" hidden="false" customHeight="false" outlineLevel="0" collapsed="false">
      <c r="C310" s="40"/>
    </row>
    <row r="311" customFormat="false" ht="12.75" hidden="false" customHeight="false" outlineLevel="0" collapsed="false">
      <c r="C311" s="40"/>
    </row>
    <row r="312" customFormat="false" ht="12.75" hidden="false" customHeight="false" outlineLevel="0" collapsed="false">
      <c r="C312" s="40"/>
    </row>
    <row r="313" customFormat="false" ht="12.75" hidden="false" customHeight="false" outlineLevel="0" collapsed="false">
      <c r="C313" s="40"/>
    </row>
    <row r="314" customFormat="false" ht="12.75" hidden="false" customHeight="false" outlineLevel="0" collapsed="false">
      <c r="C314" s="40"/>
    </row>
    <row r="315" customFormat="false" ht="12.75" hidden="false" customHeight="false" outlineLevel="0" collapsed="false">
      <c r="C315" s="40"/>
    </row>
    <row r="316" customFormat="false" ht="12.75" hidden="false" customHeight="false" outlineLevel="0" collapsed="false">
      <c r="C316" s="40"/>
    </row>
    <row r="317" customFormat="false" ht="12.75" hidden="false" customHeight="false" outlineLevel="0" collapsed="false">
      <c r="C317" s="40"/>
    </row>
    <row r="318" customFormat="false" ht="12.75" hidden="false" customHeight="false" outlineLevel="0" collapsed="false">
      <c r="C318" s="40"/>
    </row>
    <row r="319" customFormat="false" ht="12.75" hidden="false" customHeight="false" outlineLevel="0" collapsed="false">
      <c r="C319" s="40"/>
    </row>
    <row r="320" customFormat="false" ht="12.75" hidden="false" customHeight="false" outlineLevel="0" collapsed="false">
      <c r="C320" s="40"/>
    </row>
    <row r="321" customFormat="false" ht="12.75" hidden="false" customHeight="false" outlineLevel="0" collapsed="false">
      <c r="C321" s="40"/>
    </row>
    <row r="322" customFormat="false" ht="12.75" hidden="false" customHeight="false" outlineLevel="0" collapsed="false">
      <c r="C322" s="40"/>
    </row>
    <row r="323" customFormat="false" ht="12.75" hidden="false" customHeight="false" outlineLevel="0" collapsed="false">
      <c r="C323" s="40"/>
    </row>
    <row r="324" customFormat="false" ht="12.75" hidden="false" customHeight="false" outlineLevel="0" collapsed="false">
      <c r="C324" s="40"/>
    </row>
    <row r="325" customFormat="false" ht="12.75" hidden="false" customHeight="false" outlineLevel="0" collapsed="false">
      <c r="C325" s="40"/>
    </row>
    <row r="326" customFormat="false" ht="12.75" hidden="false" customHeight="false" outlineLevel="0" collapsed="false">
      <c r="C326" s="40"/>
    </row>
    <row r="327" customFormat="false" ht="12.75" hidden="false" customHeight="false" outlineLevel="0" collapsed="false">
      <c r="C327" s="40"/>
    </row>
    <row r="328" customFormat="false" ht="12.75" hidden="false" customHeight="false" outlineLevel="0" collapsed="false">
      <c r="C328" s="40"/>
    </row>
    <row r="329" customFormat="false" ht="12.75" hidden="false" customHeight="false" outlineLevel="0" collapsed="false">
      <c r="C329" s="40"/>
    </row>
    <row r="330" customFormat="false" ht="12.75" hidden="false" customHeight="false" outlineLevel="0" collapsed="false">
      <c r="C330" s="40"/>
    </row>
    <row r="331" customFormat="false" ht="12.75" hidden="false" customHeight="false" outlineLevel="0" collapsed="false">
      <c r="C331" s="40"/>
    </row>
    <row r="332" customFormat="false" ht="12.75" hidden="false" customHeight="false" outlineLevel="0" collapsed="false">
      <c r="C332" s="40"/>
    </row>
    <row r="333" customFormat="false" ht="12.75" hidden="false" customHeight="false" outlineLevel="0" collapsed="false">
      <c r="C333" s="40"/>
    </row>
    <row r="334" customFormat="false" ht="12.75" hidden="false" customHeight="false" outlineLevel="0" collapsed="false">
      <c r="C334" s="40"/>
    </row>
    <row r="335" customFormat="false" ht="12.75" hidden="false" customHeight="false" outlineLevel="0" collapsed="false">
      <c r="C335" s="40"/>
    </row>
    <row r="336" customFormat="false" ht="12.75" hidden="false" customHeight="false" outlineLevel="0" collapsed="false">
      <c r="C336" s="40"/>
    </row>
    <row r="337" customFormat="false" ht="12.75" hidden="false" customHeight="false" outlineLevel="0" collapsed="false">
      <c r="C337" s="40"/>
    </row>
    <row r="338" customFormat="false" ht="12.75" hidden="false" customHeight="false" outlineLevel="0" collapsed="false">
      <c r="C338" s="40"/>
    </row>
    <row r="339" customFormat="false" ht="12.75" hidden="false" customHeight="false" outlineLevel="0" collapsed="false">
      <c r="C339" s="40"/>
    </row>
    <row r="340" customFormat="false" ht="12.75" hidden="false" customHeight="false" outlineLevel="0" collapsed="false">
      <c r="C340" s="40"/>
    </row>
    <row r="341" customFormat="false" ht="12.75" hidden="false" customHeight="false" outlineLevel="0" collapsed="false">
      <c r="C341" s="40"/>
    </row>
    <row r="342" customFormat="false" ht="12.75" hidden="false" customHeight="false" outlineLevel="0" collapsed="false">
      <c r="C342" s="40"/>
    </row>
    <row r="343" customFormat="false" ht="12.75" hidden="false" customHeight="false" outlineLevel="0" collapsed="false">
      <c r="C343" s="40"/>
    </row>
    <row r="344" customFormat="false" ht="12.75" hidden="false" customHeight="false" outlineLevel="0" collapsed="false">
      <c r="C344" s="40"/>
    </row>
    <row r="345" customFormat="false" ht="12.75" hidden="false" customHeight="false" outlineLevel="0" collapsed="false">
      <c r="C345" s="40"/>
    </row>
    <row r="346" customFormat="false" ht="12.75" hidden="false" customHeight="false" outlineLevel="0" collapsed="false">
      <c r="C346" s="40"/>
    </row>
    <row r="347" customFormat="false" ht="12.75" hidden="false" customHeight="false" outlineLevel="0" collapsed="false">
      <c r="C347" s="40"/>
    </row>
    <row r="348" customFormat="false" ht="12.75" hidden="false" customHeight="false" outlineLevel="0" collapsed="false">
      <c r="C348" s="40"/>
    </row>
    <row r="349" customFormat="false" ht="12.75" hidden="false" customHeight="false" outlineLevel="0" collapsed="false">
      <c r="C349" s="40"/>
    </row>
    <row r="350" customFormat="false" ht="12.75" hidden="false" customHeight="false" outlineLevel="0" collapsed="false">
      <c r="C350" s="40"/>
    </row>
    <row r="351" customFormat="false" ht="12.75" hidden="false" customHeight="false" outlineLevel="0" collapsed="false">
      <c r="C351" s="40"/>
    </row>
    <row r="352" customFormat="false" ht="12.75" hidden="false" customHeight="false" outlineLevel="0" collapsed="false">
      <c r="C352" s="40"/>
    </row>
    <row r="353" customFormat="false" ht="12.75" hidden="false" customHeight="false" outlineLevel="0" collapsed="false">
      <c r="C353" s="40"/>
    </row>
    <row r="354" customFormat="false" ht="12.75" hidden="false" customHeight="false" outlineLevel="0" collapsed="false">
      <c r="C354" s="40"/>
    </row>
    <row r="355" customFormat="false" ht="12.75" hidden="false" customHeight="false" outlineLevel="0" collapsed="false">
      <c r="C355" s="40"/>
    </row>
    <row r="356" customFormat="false" ht="12.75" hidden="false" customHeight="false" outlineLevel="0" collapsed="false">
      <c r="C356" s="40"/>
    </row>
    <row r="357" customFormat="false" ht="12.75" hidden="false" customHeight="false" outlineLevel="0" collapsed="false">
      <c r="C357" s="40"/>
    </row>
    <row r="358" customFormat="false" ht="12.75" hidden="false" customHeight="false" outlineLevel="0" collapsed="false">
      <c r="C358" s="40"/>
    </row>
    <row r="359" customFormat="false" ht="12.75" hidden="false" customHeight="false" outlineLevel="0" collapsed="false">
      <c r="C359" s="40"/>
    </row>
    <row r="360" customFormat="false" ht="12.75" hidden="false" customHeight="false" outlineLevel="0" collapsed="false">
      <c r="C360" s="40"/>
    </row>
    <row r="361" customFormat="false" ht="12.75" hidden="false" customHeight="false" outlineLevel="0" collapsed="false">
      <c r="C361" s="40"/>
    </row>
    <row r="362" customFormat="false" ht="12.75" hidden="false" customHeight="false" outlineLevel="0" collapsed="false">
      <c r="C362" s="40"/>
    </row>
    <row r="363" customFormat="false" ht="12.75" hidden="false" customHeight="false" outlineLevel="0" collapsed="false">
      <c r="C363" s="40"/>
    </row>
    <row r="364" customFormat="false" ht="12.75" hidden="false" customHeight="false" outlineLevel="0" collapsed="false">
      <c r="C364" s="40"/>
    </row>
    <row r="365" customFormat="false" ht="12.75" hidden="false" customHeight="false" outlineLevel="0" collapsed="false">
      <c r="C365" s="40"/>
    </row>
    <row r="366" customFormat="false" ht="12.75" hidden="false" customHeight="false" outlineLevel="0" collapsed="false">
      <c r="C366" s="40"/>
    </row>
    <row r="367" customFormat="false" ht="12.75" hidden="false" customHeight="false" outlineLevel="0" collapsed="false">
      <c r="C367" s="40"/>
    </row>
    <row r="368" customFormat="false" ht="12.75" hidden="false" customHeight="false" outlineLevel="0" collapsed="false">
      <c r="C368" s="40"/>
    </row>
    <row r="369" customFormat="false" ht="12.75" hidden="false" customHeight="false" outlineLevel="0" collapsed="false">
      <c r="C369" s="40"/>
    </row>
    <row r="370" customFormat="false" ht="12.75" hidden="false" customHeight="false" outlineLevel="0" collapsed="false">
      <c r="C370" s="40"/>
    </row>
    <row r="371" customFormat="false" ht="12.75" hidden="false" customHeight="false" outlineLevel="0" collapsed="false">
      <c r="C371" s="40"/>
    </row>
    <row r="372" customFormat="false" ht="12.75" hidden="false" customHeight="false" outlineLevel="0" collapsed="false">
      <c r="C372" s="40"/>
    </row>
    <row r="373" customFormat="false" ht="12.75" hidden="false" customHeight="false" outlineLevel="0" collapsed="false">
      <c r="C373" s="40"/>
    </row>
    <row r="374" customFormat="false" ht="12.75" hidden="false" customHeight="false" outlineLevel="0" collapsed="false">
      <c r="C374" s="40"/>
    </row>
    <row r="375" customFormat="false" ht="12.75" hidden="false" customHeight="false" outlineLevel="0" collapsed="false">
      <c r="C375" s="40"/>
    </row>
    <row r="376" customFormat="false" ht="12.75" hidden="false" customHeight="false" outlineLevel="0" collapsed="false">
      <c r="C376" s="40"/>
    </row>
    <row r="377" customFormat="false" ht="12.75" hidden="false" customHeight="false" outlineLevel="0" collapsed="false">
      <c r="C377" s="40"/>
    </row>
    <row r="378" customFormat="false" ht="12.75" hidden="false" customHeight="false" outlineLevel="0" collapsed="false">
      <c r="C378" s="40"/>
    </row>
    <row r="379" customFormat="false" ht="12.75" hidden="false" customHeight="false" outlineLevel="0" collapsed="false">
      <c r="C379" s="40"/>
    </row>
    <row r="380" customFormat="false" ht="12.75" hidden="false" customHeight="false" outlineLevel="0" collapsed="false">
      <c r="C380" s="40"/>
    </row>
    <row r="381" customFormat="false" ht="12.75" hidden="false" customHeight="false" outlineLevel="0" collapsed="false">
      <c r="C381" s="40"/>
    </row>
    <row r="382" customFormat="false" ht="12.75" hidden="false" customHeight="false" outlineLevel="0" collapsed="false">
      <c r="C382" s="40"/>
    </row>
    <row r="383" customFormat="false" ht="12.75" hidden="false" customHeight="false" outlineLevel="0" collapsed="false">
      <c r="C383" s="40"/>
    </row>
    <row r="384" customFormat="false" ht="12.75" hidden="false" customHeight="false" outlineLevel="0" collapsed="false">
      <c r="C384" s="40"/>
    </row>
    <row r="385" customFormat="false" ht="12.75" hidden="false" customHeight="false" outlineLevel="0" collapsed="false">
      <c r="C385" s="40"/>
    </row>
    <row r="386" customFormat="false" ht="12.75" hidden="false" customHeight="false" outlineLevel="0" collapsed="false">
      <c r="C386" s="40"/>
    </row>
    <row r="387" customFormat="false" ht="12.75" hidden="false" customHeight="false" outlineLevel="0" collapsed="false">
      <c r="C387" s="40"/>
    </row>
    <row r="388" customFormat="false" ht="12.75" hidden="false" customHeight="false" outlineLevel="0" collapsed="false">
      <c r="C388" s="40"/>
    </row>
    <row r="389" customFormat="false" ht="12.75" hidden="false" customHeight="false" outlineLevel="0" collapsed="false">
      <c r="C389" s="40"/>
    </row>
    <row r="390" customFormat="false" ht="12.75" hidden="false" customHeight="false" outlineLevel="0" collapsed="false">
      <c r="C390" s="40"/>
    </row>
    <row r="391" customFormat="false" ht="12.75" hidden="false" customHeight="false" outlineLevel="0" collapsed="false">
      <c r="C391" s="40"/>
    </row>
    <row r="392" customFormat="false" ht="12.75" hidden="false" customHeight="false" outlineLevel="0" collapsed="false">
      <c r="C392" s="40"/>
    </row>
    <row r="393" customFormat="false" ht="12.75" hidden="false" customHeight="false" outlineLevel="0" collapsed="false">
      <c r="C393" s="40"/>
    </row>
    <row r="394" customFormat="false" ht="12.75" hidden="false" customHeight="false" outlineLevel="0" collapsed="false">
      <c r="C394" s="40"/>
    </row>
    <row r="395" customFormat="false" ht="12.75" hidden="false" customHeight="false" outlineLevel="0" collapsed="false">
      <c r="C395" s="40"/>
    </row>
    <row r="396" customFormat="false" ht="12.75" hidden="false" customHeight="false" outlineLevel="0" collapsed="false">
      <c r="C396" s="40"/>
    </row>
    <row r="397" customFormat="false" ht="12.75" hidden="false" customHeight="false" outlineLevel="0" collapsed="false">
      <c r="C397" s="40"/>
    </row>
    <row r="398" customFormat="false" ht="12.75" hidden="false" customHeight="false" outlineLevel="0" collapsed="false">
      <c r="C398" s="40"/>
    </row>
    <row r="399" customFormat="false" ht="12.75" hidden="false" customHeight="false" outlineLevel="0" collapsed="false">
      <c r="C399" s="40"/>
    </row>
    <row r="400" customFormat="false" ht="12.75" hidden="false" customHeight="false" outlineLevel="0" collapsed="false">
      <c r="C400" s="40"/>
    </row>
    <row r="401" customFormat="false" ht="12.75" hidden="false" customHeight="false" outlineLevel="0" collapsed="false">
      <c r="C401" s="40"/>
    </row>
    <row r="402" customFormat="false" ht="12.75" hidden="false" customHeight="false" outlineLevel="0" collapsed="false">
      <c r="C402" s="40"/>
    </row>
    <row r="403" customFormat="false" ht="12.75" hidden="false" customHeight="false" outlineLevel="0" collapsed="false">
      <c r="C403" s="40"/>
    </row>
    <row r="404" customFormat="false" ht="12.75" hidden="false" customHeight="false" outlineLevel="0" collapsed="false">
      <c r="C404" s="40"/>
    </row>
    <row r="405" customFormat="false" ht="12.75" hidden="false" customHeight="false" outlineLevel="0" collapsed="false">
      <c r="C405" s="40"/>
    </row>
    <row r="406" customFormat="false" ht="12.75" hidden="false" customHeight="false" outlineLevel="0" collapsed="false">
      <c r="C406" s="40"/>
    </row>
    <row r="407" customFormat="false" ht="12.75" hidden="false" customHeight="false" outlineLevel="0" collapsed="false">
      <c r="C407" s="40"/>
    </row>
    <row r="408" customFormat="false" ht="12.75" hidden="false" customHeight="false" outlineLevel="0" collapsed="false">
      <c r="C408" s="40"/>
    </row>
    <row r="409" customFormat="false" ht="12.75" hidden="false" customHeight="false" outlineLevel="0" collapsed="false">
      <c r="C409" s="40"/>
    </row>
    <row r="410" customFormat="false" ht="12.75" hidden="false" customHeight="false" outlineLevel="0" collapsed="false">
      <c r="C410" s="40"/>
    </row>
    <row r="411" customFormat="false" ht="12.75" hidden="false" customHeight="false" outlineLevel="0" collapsed="false">
      <c r="C411" s="40"/>
    </row>
    <row r="412" customFormat="false" ht="12.75" hidden="false" customHeight="false" outlineLevel="0" collapsed="false">
      <c r="C412" s="40"/>
    </row>
    <row r="413" customFormat="false" ht="12.75" hidden="false" customHeight="false" outlineLevel="0" collapsed="false">
      <c r="C413" s="40"/>
    </row>
    <row r="414" customFormat="false" ht="12.75" hidden="false" customHeight="false" outlineLevel="0" collapsed="false">
      <c r="C414" s="40"/>
    </row>
    <row r="415" customFormat="false" ht="12.75" hidden="false" customHeight="false" outlineLevel="0" collapsed="false">
      <c r="C415" s="40"/>
    </row>
    <row r="416" customFormat="false" ht="12.75" hidden="false" customHeight="false" outlineLevel="0" collapsed="false">
      <c r="C416" s="40"/>
    </row>
    <row r="417" customFormat="false" ht="12.75" hidden="false" customHeight="false" outlineLevel="0" collapsed="false">
      <c r="C417" s="40"/>
    </row>
    <row r="418" customFormat="false" ht="12.75" hidden="false" customHeight="false" outlineLevel="0" collapsed="false">
      <c r="C418" s="40"/>
    </row>
    <row r="419" customFormat="false" ht="12.75" hidden="false" customHeight="false" outlineLevel="0" collapsed="false">
      <c r="C419" s="40"/>
    </row>
    <row r="420" customFormat="false" ht="12.75" hidden="false" customHeight="false" outlineLevel="0" collapsed="false">
      <c r="C420" s="40"/>
    </row>
    <row r="421" customFormat="false" ht="12.75" hidden="false" customHeight="false" outlineLevel="0" collapsed="false">
      <c r="C421" s="40"/>
    </row>
    <row r="422" customFormat="false" ht="12.75" hidden="false" customHeight="false" outlineLevel="0" collapsed="false">
      <c r="C422" s="40"/>
    </row>
    <row r="423" customFormat="false" ht="12.75" hidden="false" customHeight="false" outlineLevel="0" collapsed="false">
      <c r="C423" s="40"/>
    </row>
    <row r="424" customFormat="false" ht="12.75" hidden="false" customHeight="false" outlineLevel="0" collapsed="false">
      <c r="C424" s="40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2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5" t="s">
        <v>69</v>
      </c>
      <c r="B1" s="35"/>
      <c r="E1" s="0" t="s">
        <v>70</v>
      </c>
      <c r="F1" s="54" t="n">
        <f aca="false">'Credit Analysis'!B3</f>
        <v>36859</v>
      </c>
      <c r="J1" s="0" t="s">
        <v>71</v>
      </c>
      <c r="K1" s="15" t="n">
        <f aca="false">VLOOKUP(F1,Note_Receivable,6)</f>
        <v>10501000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C2" s="56" t="n">
        <f aca="false">B2-C8</f>
        <v>10501000</v>
      </c>
      <c r="E2" s="0" t="s">
        <v>73</v>
      </c>
      <c r="F2" s="54" t="n">
        <f aca="false">VLOOKUP(F1,Note_Receivable,1)</f>
        <v>36791</v>
      </c>
      <c r="J2" s="0" t="s">
        <v>74</v>
      </c>
      <c r="K2" s="15" t="n">
        <f aca="false">F4*F3/(6*30)</f>
        <v>138846.555555556</v>
      </c>
    </row>
    <row r="3" customFormat="false" ht="13.5" hidden="false" customHeight="false" outlineLevel="0" collapsed="false">
      <c r="A3" s="0" t="s">
        <v>75</v>
      </c>
      <c r="B3" s="57" t="n">
        <f aca="false">'Credit Analysis'!B5</f>
        <v>0.07</v>
      </c>
      <c r="C3" s="58" t="n">
        <f aca="false">B3</f>
        <v>0.07</v>
      </c>
      <c r="E3" s="0" t="s">
        <v>76</v>
      </c>
      <c r="F3" s="40" t="n">
        <f aca="false">F1-F2</f>
        <v>68</v>
      </c>
      <c r="K3" s="59" t="n">
        <f aca="false">K1+K2</f>
        <v>10639846.5555556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C4" s="0" t="n">
        <f aca="false">B4</f>
        <v>10</v>
      </c>
      <c r="E4" s="0" t="s">
        <v>78</v>
      </c>
      <c r="F4" s="15" t="n">
        <f aca="false">VLOOKUP(F1+(6*30),Note_Receivable,4)</f>
        <v>367535</v>
      </c>
      <c r="J4" s="0" t="s">
        <v>79</v>
      </c>
      <c r="K4" s="15" t="n">
        <f aca="false">VLOOKUP(F1,Note_Receivable,9)+K2</f>
        <v>138846.555555556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6012068.39336956</v>
      </c>
      <c r="C5" s="61" t="n">
        <f aca="false">PMT(C3/2,C4,-C2)</f>
        <v>1262654.60397548</v>
      </c>
    </row>
    <row r="7" customFormat="false" ht="25.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3" t="s">
        <v>83</v>
      </c>
      <c r="I7" s="62" t="s">
        <v>84</v>
      </c>
      <c r="J7" s="62"/>
      <c r="K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 t="n">
        <f aca="false">'Notional Analysis'!C16-'Notional Analysis'!C37</f>
        <v>39499000</v>
      </c>
      <c r="D8" s="56"/>
      <c r="E8" s="56" t="n">
        <f aca="false">C8</f>
        <v>39499000</v>
      </c>
      <c r="F8" s="56" t="n">
        <f aca="false">B8-E8</f>
        <v>10501000</v>
      </c>
      <c r="G8" s="0" t="n">
        <v>60</v>
      </c>
      <c r="H8" s="56" t="n">
        <f aca="false">C8</f>
        <v>39499000</v>
      </c>
      <c r="I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10501000</v>
      </c>
      <c r="C9" s="56" t="n">
        <f aca="false">C5</f>
        <v>1262654.60397548</v>
      </c>
      <c r="D9" s="56" t="n">
        <f aca="false">B9*$B$3/2</f>
        <v>367535</v>
      </c>
      <c r="E9" s="56" t="n">
        <f aca="false">C9-D9</f>
        <v>895119.603975476</v>
      </c>
      <c r="F9" s="56" t="n">
        <f aca="false">B9-E9</f>
        <v>9605880.39602453</v>
      </c>
      <c r="G9" s="0" t="n">
        <v>59</v>
      </c>
      <c r="H9" s="56" t="n">
        <f aca="false">H8+C9</f>
        <v>40761654.6039755</v>
      </c>
      <c r="I9" s="56" t="n">
        <f aca="false">I8+D9</f>
        <v>367535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9605880.39602453</v>
      </c>
      <c r="C10" s="64" t="n">
        <f aca="false">C9</f>
        <v>1262654.60397548</v>
      </c>
      <c r="D10" s="56" t="n">
        <f aca="false">B10*$B$3/2</f>
        <v>336205.813860858</v>
      </c>
      <c r="E10" s="56" t="n">
        <f aca="false">C10-D10</f>
        <v>926448.790114617</v>
      </c>
      <c r="F10" s="56" t="n">
        <f aca="false">B10-E10</f>
        <v>8679431.60590991</v>
      </c>
      <c r="G10" s="0" t="n">
        <v>58</v>
      </c>
      <c r="H10" s="56" t="n">
        <f aca="false">H9+C10</f>
        <v>42024309.207951</v>
      </c>
      <c r="I10" s="56" t="n">
        <f aca="false">I9+D10</f>
        <v>703740.813860859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8679431.60590991</v>
      </c>
      <c r="C11" s="56" t="n">
        <f aca="false">C10</f>
        <v>1262654.60397548</v>
      </c>
      <c r="D11" s="56" t="n">
        <f aca="false">B11*$B$3/2</f>
        <v>303780.106206847</v>
      </c>
      <c r="E11" s="56" t="n">
        <f aca="false">C11-D11</f>
        <v>958874.497768629</v>
      </c>
      <c r="F11" s="56" t="n">
        <f aca="false">B11-E11</f>
        <v>7720557.10814128</v>
      </c>
      <c r="G11" s="0" t="n">
        <v>57</v>
      </c>
      <c r="H11" s="56" t="n">
        <f aca="false">H10+C11</f>
        <v>43286963.8119264</v>
      </c>
      <c r="I11" s="56" t="n">
        <f aca="false">I10+D11</f>
        <v>1007520.92006771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7720557.10814128</v>
      </c>
      <c r="C12" s="56" t="n">
        <f aca="false">C11</f>
        <v>1262654.60397548</v>
      </c>
      <c r="D12" s="56" t="n">
        <f aca="false">B12*$B$3/2</f>
        <v>270219.498784945</v>
      </c>
      <c r="E12" s="56" t="n">
        <f aca="false">C12-D12</f>
        <v>992435.105190531</v>
      </c>
      <c r="F12" s="56" t="n">
        <f aca="false">B12-E12</f>
        <v>6728122.00295075</v>
      </c>
      <c r="G12" s="0" t="n">
        <v>56</v>
      </c>
      <c r="H12" s="56" t="n">
        <f aca="false">H11+C12</f>
        <v>44549618.4159019</v>
      </c>
      <c r="I12" s="56" t="n">
        <f aca="false">I11+D12</f>
        <v>1277740.41885265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6728122.00295075</v>
      </c>
      <c r="C13" s="56" t="n">
        <f aca="false">C12</f>
        <v>1262654.60397548</v>
      </c>
      <c r="D13" s="56" t="n">
        <f aca="false">B13*$B$3/2</f>
        <v>235484.270103276</v>
      </c>
      <c r="E13" s="56" t="n">
        <f aca="false">C13-D13</f>
        <v>1027170.3338722</v>
      </c>
      <c r="F13" s="56" t="n">
        <f aca="false">B13-E13</f>
        <v>5700951.66907855</v>
      </c>
      <c r="G13" s="0" t="n">
        <v>55</v>
      </c>
      <c r="H13" s="56" t="n">
        <f aca="false">H12+C13</f>
        <v>45812273.0198774</v>
      </c>
      <c r="I13" s="56" t="n">
        <f aca="false">I12+D13</f>
        <v>1513224.68895593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5700951.66907855</v>
      </c>
      <c r="C14" s="56" t="n">
        <f aca="false">C13</f>
        <v>1262654.60397548</v>
      </c>
      <c r="D14" s="56" t="n">
        <f aca="false">B14*$B$3/2</f>
        <v>199533.308417749</v>
      </c>
      <c r="E14" s="56" t="n">
        <f aca="false">C14-D14</f>
        <v>1063121.29555773</v>
      </c>
      <c r="F14" s="56" t="n">
        <f aca="false">B14-E14</f>
        <v>4637830.37352082</v>
      </c>
      <c r="G14" s="0" t="n">
        <v>54</v>
      </c>
      <c r="H14" s="56" t="n">
        <f aca="false">H13+C14</f>
        <v>47074927.6238529</v>
      </c>
      <c r="I14" s="56" t="n">
        <f aca="false">I13+D14</f>
        <v>1712757.99737368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4637830.37352082</v>
      </c>
      <c r="C15" s="56" t="n">
        <f aca="false">C14</f>
        <v>1262654.60397548</v>
      </c>
      <c r="D15" s="56" t="n">
        <f aca="false">B15*$B$3/2</f>
        <v>162324.063073229</v>
      </c>
      <c r="E15" s="56" t="n">
        <f aca="false">C15-D15</f>
        <v>1100330.54090225</v>
      </c>
      <c r="F15" s="56" t="n">
        <f aca="false">B15-E15</f>
        <v>3537499.83261857</v>
      </c>
      <c r="G15" s="0" t="n">
        <v>53</v>
      </c>
      <c r="H15" s="56" t="n">
        <f aca="false">H14+C15</f>
        <v>48337582.2278283</v>
      </c>
      <c r="I15" s="56" t="n">
        <f aca="false">I14+D15</f>
        <v>1875082.0604469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3537499.83261857</v>
      </c>
      <c r="C16" s="56" t="n">
        <f aca="false">C15</f>
        <v>1262654.60397548</v>
      </c>
      <c r="D16" s="56" t="n">
        <f aca="false">B16*$B$3/2</f>
        <v>123812.49414165</v>
      </c>
      <c r="E16" s="56" t="n">
        <f aca="false">C16-D16</f>
        <v>1138842.10983383</v>
      </c>
      <c r="F16" s="56" t="n">
        <f aca="false">B16-E16</f>
        <v>2398657.72278475</v>
      </c>
      <c r="G16" s="0" t="n">
        <v>52</v>
      </c>
      <c r="H16" s="56" t="n">
        <f aca="false">H15+C16</f>
        <v>49600236.8318038</v>
      </c>
      <c r="I16" s="56" t="n">
        <f aca="false">I15+D16</f>
        <v>1998894.55458855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2398657.72278475</v>
      </c>
      <c r="C17" s="56" t="n">
        <f aca="false">C16</f>
        <v>1262654.60397548</v>
      </c>
      <c r="D17" s="56" t="n">
        <f aca="false">B17*$B$3/2</f>
        <v>83953.0202974662</v>
      </c>
      <c r="E17" s="56" t="n">
        <f aca="false">C17-D17</f>
        <v>1178701.58367801</v>
      </c>
      <c r="F17" s="56" t="n">
        <f aca="false">B17-E17</f>
        <v>1219956.13910674</v>
      </c>
      <c r="G17" s="0" t="n">
        <v>51</v>
      </c>
      <c r="H17" s="56" t="n">
        <f aca="false">H16+C17</f>
        <v>50862891.4357793</v>
      </c>
      <c r="I17" s="56" t="n">
        <f aca="false">I16+D17</f>
        <v>2082847.57488602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1219956.13910674</v>
      </c>
      <c r="C18" s="56" t="n">
        <f aca="false">C17</f>
        <v>1262654.60397548</v>
      </c>
      <c r="D18" s="56" t="n">
        <f aca="false">B18*$B$3/2</f>
        <v>42698.4648687359</v>
      </c>
      <c r="E18" s="56" t="n">
        <f aca="false">C18-D18</f>
        <v>1219956.13910674</v>
      </c>
      <c r="F18" s="56" t="n">
        <f aca="false">B18-E18</f>
        <v>0</v>
      </c>
      <c r="G18" s="0" t="n">
        <v>50</v>
      </c>
      <c r="H18" s="56" t="n">
        <f aca="false">H17+C18</f>
        <v>52125546.0397548</v>
      </c>
      <c r="I18" s="56" t="n">
        <f aca="false">I17+D18</f>
        <v>2125546.03975476</v>
      </c>
    </row>
    <row r="19" customFormat="false" ht="205.5" hidden="false" customHeight="true" outlineLevel="0" collapsed="false"/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true" hidden="true" outlineLevel="0" max="7" min="7" style="0" width="9.14"/>
    <col collapsed="false" customWidth="true" hidden="true" outlineLevel="0" max="8" min="8" style="0" width="13.28"/>
    <col collapsed="false" customWidth="true" hidden="false" outlineLevel="0" max="9" min="9" style="0" width="14.7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A1" s="35" t="s">
        <v>85</v>
      </c>
      <c r="B1" s="35"/>
      <c r="E1" s="0" t="s">
        <v>70</v>
      </c>
      <c r="F1" s="54" t="n">
        <f aca="false">'Credit Analysis'!B3</f>
        <v>36859</v>
      </c>
      <c r="I1" s="0" t="s">
        <v>71</v>
      </c>
      <c r="J1" s="15" t="n">
        <f aca="false">VLOOKUP(F1,Lg_Payable,6)</f>
        <v>0</v>
      </c>
    </row>
    <row r="2" customFormat="false" ht="12.75" hidden="false" customHeight="false" outlineLevel="0" collapsed="false">
      <c r="A2" s="0" t="s">
        <v>72</v>
      </c>
      <c r="B2" s="55" t="n">
        <f aca="false">'Notional Analysis'!F35</f>
        <v>0</v>
      </c>
      <c r="E2" s="0" t="s">
        <v>73</v>
      </c>
      <c r="F2" s="54" t="n">
        <f aca="false">VLOOKUP(F1,Lg_Payable,1)</f>
        <v>36791</v>
      </c>
      <c r="I2" s="0" t="s">
        <v>74</v>
      </c>
      <c r="J2" s="15" t="n">
        <f aca="false">F4*F3/(6*30)</f>
        <v>0</v>
      </c>
    </row>
    <row r="3" customFormat="false" ht="13.5" hidden="false" customHeight="false" outlineLevel="0" collapsed="false">
      <c r="A3" s="0" t="s">
        <v>75</v>
      </c>
      <c r="B3" s="57" t="n">
        <f aca="false">'Credit Analysis'!B7</f>
        <v>0.0725</v>
      </c>
      <c r="E3" s="0" t="s">
        <v>76</v>
      </c>
      <c r="F3" s="40" t="n">
        <f aca="false">F1-F2</f>
        <v>68</v>
      </c>
      <c r="J3" s="59" t="n">
        <f aca="false">J1+J2</f>
        <v>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VLOOKUP(F1+(6*30),Lg_Payable,4)</f>
        <v>0</v>
      </c>
      <c r="I4" s="0" t="s">
        <v>86</v>
      </c>
      <c r="J4" s="15" t="n">
        <f aca="false">VLOOKUP(F1,Lg_Payable,8)+J2</f>
        <v>0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-0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0</v>
      </c>
      <c r="C8" s="56"/>
      <c r="D8" s="56"/>
      <c r="E8" s="56"/>
      <c r="F8" s="56" t="n">
        <f aca="false">B8-E8</f>
        <v>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0</v>
      </c>
      <c r="C9" s="56"/>
      <c r="D9" s="56" t="n">
        <f aca="false">B9*$B$3/2</f>
        <v>0</v>
      </c>
      <c r="E9" s="56" t="n">
        <f aca="false">C9-D9</f>
        <v>0</v>
      </c>
      <c r="F9" s="56" t="n">
        <f aca="false">B9-E9</f>
        <v>0</v>
      </c>
      <c r="G9" s="0" t="n">
        <v>59</v>
      </c>
      <c r="H9" s="56" t="n">
        <f aca="false">H8+D9</f>
        <v>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0</v>
      </c>
      <c r="C10" s="64"/>
      <c r="D10" s="56" t="n">
        <f aca="false">B10*$B$3/2</f>
        <v>0</v>
      </c>
      <c r="E10" s="56" t="n">
        <f aca="false">C10-D10</f>
        <v>0</v>
      </c>
      <c r="F10" s="56" t="n">
        <f aca="false">B10-E10</f>
        <v>0</v>
      </c>
      <c r="G10" s="0" t="n">
        <v>58</v>
      </c>
      <c r="H10" s="56" t="n">
        <f aca="false">H9+D10</f>
        <v>0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0</v>
      </c>
      <c r="C11" s="56"/>
      <c r="D11" s="56" t="n">
        <f aca="false">B11*$B$3/2</f>
        <v>0</v>
      </c>
      <c r="E11" s="56" t="n">
        <f aca="false">C11-D11</f>
        <v>0</v>
      </c>
      <c r="F11" s="56" t="n">
        <f aca="false">B11-E11</f>
        <v>0</v>
      </c>
      <c r="G11" s="0" t="n">
        <v>57</v>
      </c>
      <c r="H11" s="56" t="n">
        <f aca="false">H10+D11</f>
        <v>0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0</v>
      </c>
      <c r="C12" s="56"/>
      <c r="D12" s="56" t="n">
        <f aca="false">B12*$B$3/2</f>
        <v>0</v>
      </c>
      <c r="E12" s="56" t="n">
        <f aca="false">C12-D12</f>
        <v>0</v>
      </c>
      <c r="F12" s="56" t="n">
        <f aca="false">B12-E12</f>
        <v>0</v>
      </c>
      <c r="G12" s="0" t="n">
        <v>56</v>
      </c>
      <c r="H12" s="56" t="n">
        <f aca="false">H11+D12</f>
        <v>0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0</v>
      </c>
      <c r="C13" s="56"/>
      <c r="D13" s="56" t="n">
        <f aca="false">B13*$B$3/2</f>
        <v>0</v>
      </c>
      <c r="E13" s="56" t="n">
        <f aca="false">C13-D13</f>
        <v>0</v>
      </c>
      <c r="F13" s="56" t="n">
        <f aca="false">B13-E13</f>
        <v>0</v>
      </c>
      <c r="G13" s="0" t="n">
        <v>55</v>
      </c>
      <c r="H13" s="56" t="n">
        <f aca="false">H12+D13</f>
        <v>0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0</v>
      </c>
      <c r="C14" s="56"/>
      <c r="D14" s="56" t="n">
        <f aca="false">B14*$B$3/2</f>
        <v>0</v>
      </c>
      <c r="E14" s="56" t="n">
        <f aca="false">C14-D14</f>
        <v>0</v>
      </c>
      <c r="F14" s="56" t="n">
        <f aca="false">B14-E14</f>
        <v>0</v>
      </c>
      <c r="G14" s="0" t="n">
        <v>54</v>
      </c>
      <c r="H14" s="56" t="n">
        <f aca="false">H13+D14</f>
        <v>0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0</v>
      </c>
      <c r="C15" s="56"/>
      <c r="D15" s="56" t="n">
        <f aca="false">B15*$B$3/2</f>
        <v>0</v>
      </c>
      <c r="E15" s="56" t="n">
        <f aca="false">C15-D15</f>
        <v>0</v>
      </c>
      <c r="F15" s="56" t="n">
        <f aca="false">B15-E15</f>
        <v>0</v>
      </c>
      <c r="G15" s="0" t="n">
        <v>53</v>
      </c>
      <c r="H15" s="56" t="n">
        <f aca="false">H14+D15</f>
        <v>0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0</v>
      </c>
      <c r="C16" s="56"/>
      <c r="D16" s="56" t="n">
        <f aca="false">B16*$B$3/2</f>
        <v>0</v>
      </c>
      <c r="E16" s="56" t="n">
        <f aca="false">C16-D16</f>
        <v>0</v>
      </c>
      <c r="F16" s="56" t="n">
        <f aca="false">B16-E16</f>
        <v>0</v>
      </c>
      <c r="G16" s="0" t="n">
        <v>52</v>
      </c>
      <c r="H16" s="56" t="n">
        <f aca="false">H15+D16</f>
        <v>0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0</v>
      </c>
      <c r="C17" s="56"/>
      <c r="D17" s="56" t="n">
        <f aca="false">B17*$B$3/2</f>
        <v>0</v>
      </c>
      <c r="E17" s="56" t="n">
        <f aca="false">C17-D17</f>
        <v>0</v>
      </c>
      <c r="F17" s="56" t="n">
        <f aca="false">B17-E17</f>
        <v>0</v>
      </c>
      <c r="G17" s="0" t="n">
        <v>51</v>
      </c>
      <c r="H17" s="56" t="n">
        <f aca="false">H16+D17</f>
        <v>0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0</v>
      </c>
      <c r="C18" s="56" t="n">
        <f aca="false">B18+D18</f>
        <v>0</v>
      </c>
      <c r="D18" s="56" t="n">
        <f aca="false">B18*$B$3/2</f>
        <v>0</v>
      </c>
      <c r="E18" s="56" t="n">
        <f aca="false">C18-D18</f>
        <v>0</v>
      </c>
      <c r="F18" s="56" t="n">
        <f aca="false">B18-E18</f>
        <v>0</v>
      </c>
      <c r="G18" s="0" t="n">
        <v>50</v>
      </c>
      <c r="H18" s="56" t="n">
        <f aca="false">H17+D18</f>
        <v>0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0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0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0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0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0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0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0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0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0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0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0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0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0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0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0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0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0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0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0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0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0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0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0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0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0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0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0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0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0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0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0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0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0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0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0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0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0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0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0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0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0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0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0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0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0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0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0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0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0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0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5" t="s">
        <v>88</v>
      </c>
      <c r="B1" s="35"/>
      <c r="E1" s="0" t="s">
        <v>70</v>
      </c>
      <c r="F1" s="54" t="n">
        <f aca="false">'Credit Analysis'!B3</f>
        <v>36859</v>
      </c>
      <c r="I1" s="0" t="s">
        <v>71</v>
      </c>
      <c r="J1" s="15" t="n">
        <f aca="false">VLOOKUP(F1,Small_Payable,6)</f>
        <v>50000000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E2" s="0" t="s">
        <v>73</v>
      </c>
      <c r="F2" s="54" t="n">
        <f aca="false">VLOOKUP(F1,Small_Payable,1)</f>
        <v>36791</v>
      </c>
      <c r="I2" s="0" t="s">
        <v>74</v>
      </c>
      <c r="J2" s="15" t="n">
        <f aca="false">F4*F3/(6*30)</f>
        <v>708333.333333333</v>
      </c>
    </row>
    <row r="3" customFormat="false" ht="13.5" hidden="false" customHeight="false" outlineLevel="0" collapsed="false">
      <c r="A3" s="0" t="s">
        <v>75</v>
      </c>
      <c r="B3" s="57" t="n">
        <f aca="false">'Credit Analysis'!B6</f>
        <v>0.075</v>
      </c>
      <c r="E3" s="0" t="s">
        <v>76</v>
      </c>
      <c r="F3" s="40" t="n">
        <f aca="false">F1-F2</f>
        <v>68</v>
      </c>
      <c r="J3" s="59" t="n">
        <f aca="false">J1+J2</f>
        <v>50708333.3333333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VLOOKUP(F1+(6*30),Small_Payable,4)</f>
        <v>1875000</v>
      </c>
      <c r="I4" s="0" t="s">
        <v>86</v>
      </c>
      <c r="J4" s="15" t="n">
        <f aca="false">VLOOKUP(F1,Small_Payable,8)+J2</f>
        <v>708333.333333333</v>
      </c>
    </row>
    <row r="5" customFormat="false" ht="12.75" hidden="false" customHeight="false" outlineLevel="0" collapsed="false">
      <c r="A5" s="0" t="s">
        <v>80</v>
      </c>
      <c r="B5" s="65" t="n">
        <f aca="false">PMT(B3/2,B4,-B2)</f>
        <v>6088067.11628544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/>
      <c r="D8" s="56"/>
      <c r="E8" s="56"/>
      <c r="F8" s="56" t="n">
        <f aca="false">B8-E8</f>
        <v>50000000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50000000</v>
      </c>
      <c r="C9" s="56"/>
      <c r="D9" s="56" t="n">
        <f aca="false">B9*$B$3/2</f>
        <v>1875000</v>
      </c>
      <c r="E9" s="56" t="n">
        <f aca="false">C9-D9</f>
        <v>-1875000</v>
      </c>
      <c r="F9" s="56" t="n">
        <f aca="false">B9-E9</f>
        <v>51875000</v>
      </c>
      <c r="G9" s="0" t="n">
        <v>59</v>
      </c>
      <c r="H9" s="56" t="n">
        <f aca="false">H8+D9</f>
        <v>1875000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51875000</v>
      </c>
      <c r="C10" s="64"/>
      <c r="D10" s="56" t="n">
        <f aca="false">B10*$B$3/2</f>
        <v>1945312.5</v>
      </c>
      <c r="E10" s="56" t="n">
        <f aca="false">C10-D10</f>
        <v>-1945312.5</v>
      </c>
      <c r="F10" s="56" t="n">
        <f aca="false">B10-E10</f>
        <v>53820312.5</v>
      </c>
      <c r="G10" s="0" t="n">
        <v>58</v>
      </c>
      <c r="H10" s="56" t="n">
        <f aca="false">H9+D10</f>
        <v>3820312.5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53820312.5</v>
      </c>
      <c r="C11" s="56"/>
      <c r="D11" s="56" t="n">
        <f aca="false">B11*$B$3/2</f>
        <v>2018261.71875</v>
      </c>
      <c r="E11" s="56" t="n">
        <f aca="false">C11-D11</f>
        <v>-2018261.71875</v>
      </c>
      <c r="F11" s="56" t="n">
        <f aca="false">B11-E11</f>
        <v>55838574.21875</v>
      </c>
      <c r="G11" s="0" t="n">
        <v>57</v>
      </c>
      <c r="H11" s="56" t="n">
        <f aca="false">H10+D11</f>
        <v>5838574.21875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55838574.21875</v>
      </c>
      <c r="C12" s="56"/>
      <c r="D12" s="56" t="n">
        <f aca="false">B12*$B$3/2</f>
        <v>2093946.53320313</v>
      </c>
      <c r="E12" s="56" t="n">
        <f aca="false">C12-D12</f>
        <v>-2093946.53320313</v>
      </c>
      <c r="F12" s="56" t="n">
        <f aca="false">B12-E12</f>
        <v>57932520.7519531</v>
      </c>
      <c r="G12" s="0" t="n">
        <v>56</v>
      </c>
      <c r="H12" s="56" t="n">
        <f aca="false">H11+D12</f>
        <v>7932520.75195313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57932520.7519531</v>
      </c>
      <c r="C13" s="56"/>
      <c r="D13" s="56" t="n">
        <f aca="false">B13*$B$3/2</f>
        <v>2172469.52819824</v>
      </c>
      <c r="E13" s="56" t="n">
        <f aca="false">C13-D13</f>
        <v>-2172469.52819824</v>
      </c>
      <c r="F13" s="56" t="n">
        <f aca="false">B13-E13</f>
        <v>60104990.2801514</v>
      </c>
      <c r="G13" s="0" t="n">
        <v>55</v>
      </c>
      <c r="H13" s="56" t="n">
        <f aca="false">H12+D13</f>
        <v>10104990.2801514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60104990.2801514</v>
      </c>
      <c r="C14" s="56"/>
      <c r="D14" s="56" t="n">
        <f aca="false">B14*$B$3/2</f>
        <v>2253937.13550568</v>
      </c>
      <c r="E14" s="56" t="n">
        <f aca="false">C14-D14</f>
        <v>-2253937.13550568</v>
      </c>
      <c r="F14" s="56" t="n">
        <f aca="false">B14-E14</f>
        <v>62358927.415657</v>
      </c>
      <c r="G14" s="0" t="n">
        <v>54</v>
      </c>
      <c r="H14" s="56" t="n">
        <f aca="false">H13+D14</f>
        <v>12358927.415657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62358927.415657</v>
      </c>
      <c r="C15" s="56"/>
      <c r="D15" s="56" t="n">
        <f aca="false">B15*$B$3/2</f>
        <v>2338459.77808714</v>
      </c>
      <c r="E15" s="56" t="n">
        <f aca="false">C15-D15</f>
        <v>-2338459.77808714</v>
      </c>
      <c r="F15" s="56" t="n">
        <f aca="false">B15-E15</f>
        <v>64697387.1937442</v>
      </c>
      <c r="G15" s="0" t="n">
        <v>53</v>
      </c>
      <c r="H15" s="56" t="n">
        <f aca="false">H14+D15</f>
        <v>14697387.1937442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64697387.1937442</v>
      </c>
      <c r="C16" s="56"/>
      <c r="D16" s="56" t="n">
        <f aca="false">B16*$B$3/2</f>
        <v>2426152.01976541</v>
      </c>
      <c r="E16" s="56" t="n">
        <f aca="false">C16-D16</f>
        <v>-2426152.01976541</v>
      </c>
      <c r="F16" s="56" t="n">
        <f aca="false">B16-E16</f>
        <v>67123539.2135096</v>
      </c>
      <c r="G16" s="0" t="n">
        <v>52</v>
      </c>
      <c r="H16" s="56" t="n">
        <f aca="false">H15+D16</f>
        <v>17123539.2135096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67123539.2135096</v>
      </c>
      <c r="C17" s="56"/>
      <c r="D17" s="56" t="n">
        <f aca="false">B17*$B$3/2</f>
        <v>2517132.72050661</v>
      </c>
      <c r="E17" s="56" t="n">
        <f aca="false">C17-D17</f>
        <v>-2517132.72050661</v>
      </c>
      <c r="F17" s="56" t="n">
        <f aca="false">B17-E17</f>
        <v>69640671.9340162</v>
      </c>
      <c r="G17" s="0" t="n">
        <v>51</v>
      </c>
      <c r="H17" s="56" t="n">
        <f aca="false">H16+D17</f>
        <v>19640671.9340162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69640671.9340162</v>
      </c>
      <c r="C18" s="56" t="n">
        <f aca="false">B18+D18</f>
        <v>72252197.1315418</v>
      </c>
      <c r="D18" s="56" t="n">
        <f aca="false">B18*$B$3/2</f>
        <v>2611525.19752561</v>
      </c>
      <c r="E18" s="56" t="n">
        <f aca="false">C18-D18</f>
        <v>69640671.9340162</v>
      </c>
      <c r="F18" s="56" t="n">
        <f aca="false">B18-E18</f>
        <v>0</v>
      </c>
      <c r="G18" s="0" t="n">
        <v>50</v>
      </c>
      <c r="H18" s="56" t="n">
        <f aca="false">H17+D18</f>
        <v>22252197.1315418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22252197.1315418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22252197.1315418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22252197.1315418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22252197.1315418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22252197.1315418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22252197.1315418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22252197.1315418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22252197.1315418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22252197.1315418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22252197.1315418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22252197.1315418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22252197.1315418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22252197.1315418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22252197.1315418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22252197.1315418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22252197.1315418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22252197.1315418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22252197.1315418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22252197.1315418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22252197.1315418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22252197.1315418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22252197.1315418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22252197.1315418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22252197.1315418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22252197.1315418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22252197.1315418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22252197.1315418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22252197.1315418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22252197.1315418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22252197.1315418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22252197.1315418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22252197.1315418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22252197.1315418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22252197.1315418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22252197.1315418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22252197.1315418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22252197.1315418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22252197.1315418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22252197.1315418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22252197.1315418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22252197.1315418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22252197.1315418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22252197.1315418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22252197.1315418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22252197.1315418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22252197.1315418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22252197.1315418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22252197.1315418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22252197.1315418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22252197.1315418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89</v>
      </c>
    </row>
    <row r="2" customFormat="false" ht="12.75" hidden="false" customHeight="false" outlineLevel="0" collapsed="false">
      <c r="A2" s="0" t="s">
        <v>70</v>
      </c>
      <c r="B2" s="54" t="n">
        <f aca="false">'Credit Analysis'!B3</f>
        <v>36859</v>
      </c>
    </row>
    <row r="4" customFormat="false" ht="26.25" hidden="false" customHeight="false" outlineLevel="0" collapsed="false">
      <c r="A4" s="66" t="s">
        <v>90</v>
      </c>
      <c r="B4" s="66" t="s">
        <v>16</v>
      </c>
      <c r="C4" s="66" t="s">
        <v>91</v>
      </c>
      <c r="D4" s="66" t="s">
        <v>92</v>
      </c>
      <c r="E4" s="66" t="s">
        <v>93</v>
      </c>
      <c r="F4" s="66" t="s">
        <v>94</v>
      </c>
      <c r="G4" s="66" t="s">
        <v>95</v>
      </c>
      <c r="H4" s="66" t="s">
        <v>96</v>
      </c>
      <c r="I4" s="66" t="s">
        <v>97</v>
      </c>
      <c r="J4" s="66" t="s">
        <v>98</v>
      </c>
      <c r="K4" s="66" t="s">
        <v>99</v>
      </c>
      <c r="L4" s="67"/>
    </row>
    <row r="5" customFormat="false" ht="12.75" hidden="false" customHeight="false" outlineLevel="0" collapsed="false">
      <c r="A5" s="0" t="s">
        <v>100</v>
      </c>
      <c r="B5" s="54" t="n">
        <v>36616</v>
      </c>
      <c r="C5" s="40" t="n">
        <v>33832</v>
      </c>
      <c r="D5" s="68" t="n">
        <v>591</v>
      </c>
      <c r="E5" s="56" t="n">
        <f aca="false">C5*D5</f>
        <v>19994712</v>
      </c>
      <c r="F5" s="15" t="n">
        <v>18023750</v>
      </c>
      <c r="G5" s="15" t="n">
        <f aca="false">'A Amort'!E5</f>
        <v>18137725.1857639</v>
      </c>
      <c r="H5" s="15" t="n">
        <v>1976250</v>
      </c>
      <c r="I5" s="28" t="n">
        <v>0.15</v>
      </c>
      <c r="J5" s="40" t="n">
        <f aca="false">B2-B5</f>
        <v>243</v>
      </c>
      <c r="K5" s="0" t="n">
        <f aca="false">'A Amort'!N5</f>
        <v>2000129.6875</v>
      </c>
    </row>
    <row r="6" customFormat="false" ht="12.75" hidden="false" customHeight="false" outlineLevel="0" collapsed="false">
      <c r="A6" s="0" t="s">
        <v>101</v>
      </c>
      <c r="B6" s="54" t="n">
        <v>36798</v>
      </c>
      <c r="C6" s="40" t="n">
        <v>42291</v>
      </c>
      <c r="D6" s="68" t="n">
        <f aca="false">(F6+H6)/C6</f>
        <v>2150</v>
      </c>
      <c r="E6" s="56" t="n">
        <f aca="false">C6*D6</f>
        <v>90925650</v>
      </c>
      <c r="F6" s="15" t="n">
        <v>86971504</v>
      </c>
      <c r="G6" s="15" t="n">
        <f aca="false">'B_D Amort'!E5</f>
        <v>86971504</v>
      </c>
      <c r="H6" s="15" t="n">
        <v>3954146</v>
      </c>
      <c r="I6" s="28" t="n">
        <v>0.15</v>
      </c>
      <c r="J6" s="40" t="n">
        <f aca="false">B2-B6</f>
        <v>61</v>
      </c>
      <c r="K6" s="65" t="n">
        <f aca="false">'B_D Amort'!N5</f>
        <v>3954146</v>
      </c>
    </row>
    <row r="7" customFormat="false" ht="12.75" hidden="false" customHeight="false" outlineLevel="0" collapsed="false">
      <c r="A7" s="0" t="s">
        <v>102</v>
      </c>
      <c r="B7" s="54" t="n">
        <v>36766</v>
      </c>
      <c r="C7" s="40" t="n">
        <v>13955</v>
      </c>
      <c r="D7" s="68" t="n">
        <f aca="false">(F7+H7)/C7</f>
        <v>2150.61626657112</v>
      </c>
      <c r="E7" s="56" t="n">
        <f aca="false">C7*D7</f>
        <v>30011850</v>
      </c>
      <c r="F7" s="15" t="n">
        <v>29111495</v>
      </c>
      <c r="G7" s="15" t="n">
        <f aca="false">'C Amort'!E5</f>
        <v>29117851.0097417</v>
      </c>
      <c r="H7" s="15" t="n">
        <v>900355</v>
      </c>
      <c r="I7" s="28" t="n">
        <v>0.15</v>
      </c>
      <c r="J7" s="40" t="n">
        <f aca="false">B2-B7</f>
        <v>93</v>
      </c>
      <c r="K7" s="65" t="n">
        <f aca="false">'C Amort'!N5</f>
        <v>900730.147916667</v>
      </c>
    </row>
    <row r="8" customFormat="false" ht="13.5" hidden="false" customHeight="false" outlineLevel="0" collapsed="false">
      <c r="C8" s="42" t="n">
        <f aca="false">SUM(C5:C7)</f>
        <v>90078</v>
      </c>
      <c r="E8" s="69" t="n">
        <f aca="false">SUM(E5:E7)</f>
        <v>140932212</v>
      </c>
      <c r="F8" s="42" t="n">
        <f aca="false">SUM(F5:F7)</f>
        <v>134106749</v>
      </c>
      <c r="G8" s="42" t="n">
        <f aca="false">SUM(G5:G7)</f>
        <v>134227080.195506</v>
      </c>
      <c r="H8" s="42" t="n">
        <f aca="false">SUM(H5:H7)</f>
        <v>6830751</v>
      </c>
      <c r="K8" s="42" t="n">
        <f aca="false">SUM(K5:K7)</f>
        <v>6855005.83541667</v>
      </c>
    </row>
    <row r="9" customFormat="false" ht="13.5" hidden="false" customHeight="false" outlineLevel="0" collapsed="false">
      <c r="C9" s="46"/>
    </row>
    <row r="10" customFormat="false" ht="12.75" hidden="false" customHeight="false" outlineLevel="0" collapsed="false">
      <c r="A10" s="0" t="s">
        <v>103</v>
      </c>
      <c r="B10" s="70" t="n">
        <f aca="false">'Notional Analysis'!D7</f>
        <v>21</v>
      </c>
    </row>
    <row r="11" customFormat="false" ht="12.75" hidden="false" customHeight="false" outlineLevel="0" collapsed="false">
      <c r="A11" s="0" t="s">
        <v>104</v>
      </c>
      <c r="B11" s="70" t="n">
        <f aca="false">'Credit Analysis'!B8</f>
        <v>6.5</v>
      </c>
    </row>
    <row r="13" customFormat="false" ht="12.75" hidden="false" customHeight="false" outlineLevel="0" collapsed="false">
      <c r="A13" s="35" t="s">
        <v>105</v>
      </c>
      <c r="B13" s="35"/>
      <c r="C13" s="35"/>
      <c r="D13" s="35"/>
    </row>
    <row r="14" customFormat="false" ht="13.5" hidden="false" customHeight="false" outlineLevel="0" collapsed="false">
      <c r="A14" s="20"/>
      <c r="B14" s="38" t="s">
        <v>106</v>
      </c>
      <c r="C14" s="38" t="s">
        <v>107</v>
      </c>
      <c r="D14" s="20"/>
    </row>
    <row r="15" customFormat="false" ht="12.75" hidden="false" customHeight="false" outlineLevel="0" collapsed="false">
      <c r="A15" s="0" t="s">
        <v>100</v>
      </c>
      <c r="B15" s="15" t="n">
        <f aca="false">'A TRS'!B19</f>
        <v>0</v>
      </c>
      <c r="C15" s="15" t="n">
        <f aca="false">'A TRS'!B20</f>
        <v>98112800</v>
      </c>
    </row>
    <row r="16" customFormat="false" ht="12.75" hidden="false" customHeight="false" outlineLevel="0" collapsed="false">
      <c r="A16" s="0" t="s">
        <v>101</v>
      </c>
      <c r="B16" s="15" t="n">
        <f aca="false">'B_D TRS'!B19</f>
        <v>0</v>
      </c>
      <c r="C16" s="15" t="n">
        <f aca="false">'B_D TRS'!B20</f>
        <v>118689754</v>
      </c>
    </row>
    <row r="17" customFormat="false" ht="12.75" hidden="false" customHeight="false" outlineLevel="0" collapsed="false">
      <c r="A17" s="0" t="s">
        <v>102</v>
      </c>
      <c r="B17" s="15" t="n">
        <f aca="false">'C TRS'!B19</f>
        <v>0</v>
      </c>
      <c r="C17" s="15" t="n">
        <f aca="false">'C TRS'!B20</f>
        <v>39569145</v>
      </c>
    </row>
    <row r="18" customFormat="false" ht="13.5" hidden="false" customHeight="false" outlineLevel="0" collapsed="false">
      <c r="A18" s="22" t="s">
        <v>108</v>
      </c>
      <c r="B18" s="69" t="n">
        <f aca="false">SUM(B15:B17)</f>
        <v>0</v>
      </c>
      <c r="C18" s="69" t="n">
        <f aca="false">SUM(C15:C17)</f>
        <v>256371699</v>
      </c>
    </row>
    <row r="19" customFormat="false" ht="13.5" hidden="false" customHeight="false" outlineLevel="0" collapsed="false"/>
  </sheetData>
  <sheetProtection sheet="true" objects="true" scenarios="true"/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8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65" width="12.28"/>
    <col collapsed="false" customWidth="true" hidden="false" outlineLevel="0" max="7" min="7" style="65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2" t="s">
        <v>109</v>
      </c>
      <c r="F1" s="0"/>
      <c r="G1" s="65" t="s">
        <v>110</v>
      </c>
      <c r="H1" s="54" t="n">
        <f aca="false">'Credit Analysis'!B3</f>
        <v>36859</v>
      </c>
      <c r="K1" s="22" t="s">
        <v>111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29</v>
      </c>
      <c r="F2" s="0"/>
      <c r="G2" s="65" t="s">
        <v>112</v>
      </c>
      <c r="H2" s="54" t="n">
        <f aca="false">VLOOKUP(H1,A_Debt,1)</f>
        <v>36830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Summary'!F5</f>
        <v>18023750</v>
      </c>
      <c r="D3" s="0" t="s">
        <v>71</v>
      </c>
      <c r="E3" s="15" t="n">
        <f aca="false">VLOOKUP($H$1,A_Debt,8)</f>
        <v>18023750</v>
      </c>
      <c r="H3" s="54"/>
      <c r="J3" s="22" t="s">
        <v>72</v>
      </c>
      <c r="K3" s="15" t="n">
        <f aca="false">'Hawaii Summary'!H5</f>
        <v>1976250</v>
      </c>
      <c r="M3" s="0" t="s">
        <v>71</v>
      </c>
      <c r="N3" s="15" t="n">
        <f aca="false">VLOOKUP($H$1,A_Equity,6)</f>
        <v>1976250</v>
      </c>
    </row>
    <row r="4" customFormat="false" ht="12.75" hidden="false" customHeight="false" outlineLevel="0" collapsed="false">
      <c r="A4" s="0" t="s">
        <v>16</v>
      </c>
      <c r="B4" s="54" t="n">
        <f aca="false">'Hawaii Summary'!B5</f>
        <v>36616</v>
      </c>
      <c r="D4" s="0" t="s">
        <v>113</v>
      </c>
      <c r="E4" s="15" t="n">
        <f aca="false">F4*$E$2/30</f>
        <v>113975.185763889</v>
      </c>
      <c r="F4" s="65" t="n">
        <f aca="false">VLOOKUP($H$1+30,A_Debt,5)</f>
        <v>117905.364583333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23879.6875</v>
      </c>
      <c r="O4" s="65" t="n">
        <f aca="false">VLOOKUP($H$1+30,A_Equity,3)</f>
        <v>24703.125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115</v>
      </c>
      <c r="E5" s="69" t="n">
        <f aca="false">E3+E4</f>
        <v>18137725.1857639</v>
      </c>
      <c r="H5" s="40"/>
      <c r="J5" s="22" t="s">
        <v>77</v>
      </c>
      <c r="K5" s="40" t="n">
        <f aca="false">COUNT(J8:J53)-1</f>
        <v>45</v>
      </c>
      <c r="M5" s="0" t="s">
        <v>116</v>
      </c>
      <c r="N5" s="59" t="n">
        <f aca="false">SUM(N3:N4)</f>
        <v>2000129.6875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57686.9722112159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36616</v>
      </c>
      <c r="B8" s="56" t="n">
        <f aca="false">B3</f>
        <v>18023750</v>
      </c>
      <c r="H8" s="56" t="n">
        <f aca="false">B8-G8</f>
        <v>18023750</v>
      </c>
      <c r="J8" s="54" t="n">
        <f aca="false">A8</f>
        <v>36616</v>
      </c>
      <c r="K8" s="15" t="n">
        <f aca="false">K3</f>
        <v>1976250</v>
      </c>
      <c r="N8" s="65" t="n">
        <f aca="false">M8-L8</f>
        <v>0</v>
      </c>
      <c r="O8" s="56" t="n">
        <f aca="false">K8-N8</f>
        <v>1976250</v>
      </c>
    </row>
    <row r="9" customFormat="false" ht="12.75" hidden="false" customHeight="false" outlineLevel="0" collapsed="false">
      <c r="A9" s="73" t="n">
        <v>36646</v>
      </c>
      <c r="B9" s="56" t="n">
        <f aca="false">H8</f>
        <v>18023750</v>
      </c>
      <c r="C9" s="28" t="n">
        <v>0.0645</v>
      </c>
      <c r="D9" s="58" t="n">
        <f aca="false">C9+0.005+0.0055</f>
        <v>0.075</v>
      </c>
      <c r="E9" s="15" t="n">
        <f aca="false">B9*D9/12</f>
        <v>112648.4375</v>
      </c>
      <c r="F9" s="56" t="n">
        <f aca="false">E9</f>
        <v>112648.4375</v>
      </c>
      <c r="G9" s="65" t="n">
        <f aca="false">F9-E9</f>
        <v>0</v>
      </c>
      <c r="H9" s="56" t="n">
        <f aca="false">B9-G9</f>
        <v>18023750</v>
      </c>
      <c r="J9" s="73" t="n">
        <f aca="false">A9</f>
        <v>36646</v>
      </c>
      <c r="K9" s="56" t="n">
        <f aca="false">O8</f>
        <v>1976250</v>
      </c>
      <c r="L9" s="46" t="n">
        <f aca="false">K9*$K$4/12</f>
        <v>24703.125</v>
      </c>
      <c r="M9" s="46" t="n">
        <f aca="false">L9</f>
        <v>24703.125</v>
      </c>
      <c r="N9" s="65" t="n">
        <f aca="false">M9-L9</f>
        <v>0</v>
      </c>
      <c r="O9" s="56" t="n">
        <f aca="false">K9-N9</f>
        <v>1976250</v>
      </c>
    </row>
    <row r="10" customFormat="false" ht="12.75" hidden="false" customHeight="false" outlineLevel="0" collapsed="false">
      <c r="A10" s="54" t="n">
        <v>36677</v>
      </c>
      <c r="B10" s="56" t="n">
        <f aca="false">H9</f>
        <v>18023750</v>
      </c>
      <c r="C10" s="28" t="n">
        <f aca="false">C9+0.00045</f>
        <v>0.06495</v>
      </c>
      <c r="D10" s="58" t="n">
        <f aca="false">C10+0.005+0.0055</f>
        <v>0.07545</v>
      </c>
      <c r="E10" s="15" t="n">
        <f aca="false">B10*D10/12</f>
        <v>113324.328125</v>
      </c>
      <c r="F10" s="56" t="n">
        <f aca="false">E10</f>
        <v>113324.328125</v>
      </c>
      <c r="G10" s="65" t="n">
        <f aca="false">F10-E10</f>
        <v>0</v>
      </c>
      <c r="H10" s="56" t="n">
        <f aca="false">B10-G10</f>
        <v>18023750</v>
      </c>
      <c r="J10" s="54" t="n">
        <f aca="false">A10</f>
        <v>36677</v>
      </c>
      <c r="K10" s="56" t="n">
        <f aca="false">O9</f>
        <v>1976250</v>
      </c>
      <c r="L10" s="46" t="n">
        <f aca="false">K10*$K$4/12</f>
        <v>24703.125</v>
      </c>
      <c r="M10" s="65" t="n">
        <f aca="false">M9</f>
        <v>24703.125</v>
      </c>
      <c r="N10" s="65" t="n">
        <f aca="false">M10-L10</f>
        <v>0</v>
      </c>
      <c r="O10" s="56" t="n">
        <f aca="false">K10-N10</f>
        <v>1976250</v>
      </c>
    </row>
    <row r="11" customFormat="false" ht="12.75" hidden="false" customHeight="false" outlineLevel="0" collapsed="false">
      <c r="A11" s="54" t="n">
        <v>36707</v>
      </c>
      <c r="B11" s="56" t="n">
        <f aca="false">H10</f>
        <v>18023750</v>
      </c>
      <c r="C11" s="28" t="n">
        <f aca="false">C10+0.00045</f>
        <v>0.0654</v>
      </c>
      <c r="D11" s="58" t="n">
        <f aca="false">C11+0.005+0.0055</f>
        <v>0.0759</v>
      </c>
      <c r="E11" s="15" t="n">
        <f aca="false">B11*D11/12</f>
        <v>114000.21875</v>
      </c>
      <c r="F11" s="56" t="n">
        <f aca="false">E11</f>
        <v>114000.21875</v>
      </c>
      <c r="G11" s="65" t="n">
        <f aca="false">F11-E11</f>
        <v>0</v>
      </c>
      <c r="H11" s="56" t="n">
        <f aca="false">B11-G11</f>
        <v>18023750</v>
      </c>
      <c r="J11" s="54" t="n">
        <f aca="false">A11</f>
        <v>36707</v>
      </c>
      <c r="K11" s="56" t="n">
        <f aca="false">O10</f>
        <v>1976250</v>
      </c>
      <c r="L11" s="46" t="n">
        <f aca="false">K11*$K$4/12</f>
        <v>24703.125</v>
      </c>
      <c r="M11" s="65" t="n">
        <f aca="false">M10</f>
        <v>24703.125</v>
      </c>
      <c r="N11" s="65" t="n">
        <f aca="false">M11-L11</f>
        <v>0</v>
      </c>
      <c r="O11" s="56" t="n">
        <f aca="false">K11-N11</f>
        <v>1976250</v>
      </c>
    </row>
    <row r="12" customFormat="false" ht="12.75" hidden="false" customHeight="false" outlineLevel="0" collapsed="false">
      <c r="A12" s="73" t="n">
        <v>36738</v>
      </c>
      <c r="B12" s="56" t="n">
        <f aca="false">H11</f>
        <v>18023750</v>
      </c>
      <c r="C12" s="28" t="n">
        <f aca="false">C11+0.00045</f>
        <v>0.06585</v>
      </c>
      <c r="D12" s="58" t="n">
        <f aca="false">C12+0.005+0.0055</f>
        <v>0.07635</v>
      </c>
      <c r="E12" s="15" t="n">
        <f aca="false">B12*D12/12</f>
        <v>114676.109375</v>
      </c>
      <c r="F12" s="56" t="n">
        <f aca="false">E12</f>
        <v>114676.109375</v>
      </c>
      <c r="G12" s="65" t="n">
        <f aca="false">F12-E12</f>
        <v>0</v>
      </c>
      <c r="H12" s="56" t="n">
        <f aca="false">B12-G12</f>
        <v>18023750</v>
      </c>
      <c r="J12" s="54" t="n">
        <f aca="false">A12</f>
        <v>36738</v>
      </c>
      <c r="K12" s="56" t="n">
        <f aca="false">O11</f>
        <v>1976250</v>
      </c>
      <c r="L12" s="46" t="n">
        <f aca="false">K12*$K$4/12</f>
        <v>24703.125</v>
      </c>
      <c r="M12" s="65" t="n">
        <f aca="false">M11</f>
        <v>24703.125</v>
      </c>
      <c r="N12" s="65" t="n">
        <f aca="false">M12-L12</f>
        <v>0</v>
      </c>
      <c r="O12" s="56" t="n">
        <f aca="false">K12-N12</f>
        <v>1976250</v>
      </c>
    </row>
    <row r="13" customFormat="false" ht="12.75" hidden="false" customHeight="false" outlineLevel="0" collapsed="false">
      <c r="A13" s="54" t="n">
        <v>36769</v>
      </c>
      <c r="B13" s="56" t="n">
        <f aca="false">H12</f>
        <v>18023750</v>
      </c>
      <c r="C13" s="28" t="n">
        <f aca="false">C12+0.00045</f>
        <v>0.0663</v>
      </c>
      <c r="D13" s="58" t="n">
        <f aca="false">C13+0.005+0.0055</f>
        <v>0.0768</v>
      </c>
      <c r="E13" s="15" t="n">
        <f aca="false">B13*D13/12</f>
        <v>115352</v>
      </c>
      <c r="F13" s="56" t="n">
        <f aca="false">E13</f>
        <v>115352</v>
      </c>
      <c r="G13" s="65" t="n">
        <f aca="false">F13-E13</f>
        <v>0</v>
      </c>
      <c r="H13" s="56" t="n">
        <f aca="false">B13-G13</f>
        <v>18023750</v>
      </c>
      <c r="J13" s="54" t="n">
        <f aca="false">A13</f>
        <v>36769</v>
      </c>
      <c r="K13" s="56" t="n">
        <f aca="false">O12</f>
        <v>1976250</v>
      </c>
      <c r="L13" s="46" t="n">
        <f aca="false">K13*$K$4/12</f>
        <v>24703.125</v>
      </c>
      <c r="M13" s="65" t="n">
        <f aca="false">M12</f>
        <v>24703.125</v>
      </c>
      <c r="N13" s="65" t="n">
        <f aca="false">M13-L13</f>
        <v>0</v>
      </c>
      <c r="O13" s="56" t="n">
        <f aca="false">K13-N13</f>
        <v>1976250</v>
      </c>
    </row>
    <row r="14" customFormat="false" ht="12.75" hidden="false" customHeight="false" outlineLevel="0" collapsed="false">
      <c r="A14" s="54" t="n">
        <v>36799</v>
      </c>
      <c r="B14" s="56" t="n">
        <f aca="false">H13</f>
        <v>18023750</v>
      </c>
      <c r="C14" s="28" t="n">
        <f aca="false">C13+0.00045</f>
        <v>0.06675</v>
      </c>
      <c r="D14" s="58" t="n">
        <f aca="false">C14+0.005+0.0055</f>
        <v>0.07725</v>
      </c>
      <c r="E14" s="15" t="n">
        <f aca="false">B14*D14/12</f>
        <v>116027.890625</v>
      </c>
      <c r="F14" s="56" t="n">
        <f aca="false">E14</f>
        <v>116027.890625</v>
      </c>
      <c r="G14" s="65" t="n">
        <f aca="false">F14-E14</f>
        <v>0</v>
      </c>
      <c r="H14" s="56" t="n">
        <f aca="false">B14-G14</f>
        <v>18023750</v>
      </c>
      <c r="J14" s="54" t="n">
        <f aca="false">A14</f>
        <v>36799</v>
      </c>
      <c r="K14" s="56" t="n">
        <f aca="false">O13</f>
        <v>1976250</v>
      </c>
      <c r="L14" s="46" t="n">
        <f aca="false">K14*$K$4/12</f>
        <v>24703.125</v>
      </c>
      <c r="M14" s="65" t="n">
        <f aca="false">M13</f>
        <v>24703.125</v>
      </c>
      <c r="N14" s="65" t="n">
        <f aca="false">M14-L14</f>
        <v>0</v>
      </c>
      <c r="O14" s="56" t="n">
        <f aca="false">K14-N14</f>
        <v>1976250</v>
      </c>
    </row>
    <row r="15" customFormat="false" ht="12.75" hidden="false" customHeight="false" outlineLevel="0" collapsed="false">
      <c r="A15" s="73" t="n">
        <v>36830</v>
      </c>
      <c r="B15" s="56" t="n">
        <f aca="false">H14</f>
        <v>18023750</v>
      </c>
      <c r="C15" s="28" t="n">
        <v>0.0672</v>
      </c>
      <c r="D15" s="58" t="n">
        <f aca="false">C15+0.005+0.0055</f>
        <v>0.0777</v>
      </c>
      <c r="E15" s="15" t="n">
        <f aca="false">B15*D15/12</f>
        <v>116703.78125</v>
      </c>
      <c r="F15" s="56" t="n">
        <f aca="false">E15</f>
        <v>116703.78125</v>
      </c>
      <c r="G15" s="65" t="n">
        <f aca="false">F15-E15</f>
        <v>0</v>
      </c>
      <c r="H15" s="56" t="n">
        <f aca="false">B15-G15</f>
        <v>18023750</v>
      </c>
      <c r="J15" s="54" t="n">
        <f aca="false">A15</f>
        <v>36830</v>
      </c>
      <c r="K15" s="56" t="n">
        <f aca="false">O14</f>
        <v>1976250</v>
      </c>
      <c r="L15" s="46" t="n">
        <f aca="false">K15*$K$4/12</f>
        <v>24703.125</v>
      </c>
      <c r="M15" s="65" t="n">
        <f aca="false">M14</f>
        <v>24703.125</v>
      </c>
      <c r="N15" s="65" t="n">
        <f aca="false">M15-L15</f>
        <v>0</v>
      </c>
      <c r="O15" s="56" t="n">
        <f aca="false">K15-N15</f>
        <v>1976250</v>
      </c>
    </row>
    <row r="16" customFormat="false" ht="12.75" hidden="false" customHeight="false" outlineLevel="0" collapsed="false">
      <c r="A16" s="54" t="n">
        <v>36860</v>
      </c>
      <c r="B16" s="56" t="n">
        <f aca="false">H15</f>
        <v>18023750</v>
      </c>
      <c r="C16" s="28" t="n">
        <v>0.068</v>
      </c>
      <c r="D16" s="58" t="n">
        <f aca="false">C16+0.005+0.0055</f>
        <v>0.0785</v>
      </c>
      <c r="E16" s="15" t="n">
        <f aca="false">B16*D16/12</f>
        <v>117905.364583333</v>
      </c>
      <c r="F16" s="56" t="n">
        <f aca="false">E16</f>
        <v>117905.364583333</v>
      </c>
      <c r="G16" s="65" t="n">
        <f aca="false">F16-E16</f>
        <v>0</v>
      </c>
      <c r="H16" s="56" t="n">
        <f aca="false">B16-G16</f>
        <v>18023750</v>
      </c>
      <c r="J16" s="54" t="n">
        <f aca="false">A16</f>
        <v>36860</v>
      </c>
      <c r="K16" s="56" t="n">
        <f aca="false">O15</f>
        <v>1976250</v>
      </c>
      <c r="L16" s="46" t="n">
        <f aca="false">K16*$K$4/12</f>
        <v>24703.125</v>
      </c>
      <c r="M16" s="65" t="n">
        <f aca="false">M15</f>
        <v>24703.125</v>
      </c>
      <c r="N16" s="65" t="n">
        <f aca="false">M16-L16</f>
        <v>0</v>
      </c>
      <c r="O16" s="56" t="n">
        <f aca="false">K16-N16</f>
        <v>1976250</v>
      </c>
    </row>
    <row r="17" customFormat="false" ht="12.75" hidden="false" customHeight="false" outlineLevel="0" collapsed="false">
      <c r="A17" s="54" t="n">
        <v>36891</v>
      </c>
      <c r="B17" s="56" t="n">
        <f aca="false">H16</f>
        <v>18023750</v>
      </c>
      <c r="C17" s="28" t="n">
        <v>0.0681</v>
      </c>
      <c r="D17" s="58" t="n">
        <f aca="false">C17+0.005+0.0055</f>
        <v>0.0786</v>
      </c>
      <c r="E17" s="15" t="n">
        <f aca="false">B17*D17/12</f>
        <v>118055.5625</v>
      </c>
      <c r="F17" s="56" t="n">
        <f aca="false">E17</f>
        <v>118055.5625</v>
      </c>
      <c r="G17" s="65" t="n">
        <f aca="false">F17-E17</f>
        <v>0</v>
      </c>
      <c r="H17" s="56" t="n">
        <f aca="false">B17-G17</f>
        <v>18023750</v>
      </c>
      <c r="J17" s="54" t="n">
        <f aca="false">A17</f>
        <v>36891</v>
      </c>
      <c r="K17" s="56" t="n">
        <f aca="false">O16</f>
        <v>1976250</v>
      </c>
      <c r="L17" s="46" t="n">
        <f aca="false">K17*$K$4/12</f>
        <v>24703.125</v>
      </c>
      <c r="M17" s="65" t="n">
        <f aca="false">M16</f>
        <v>24703.125</v>
      </c>
      <c r="N17" s="65" t="n">
        <f aca="false">M17-L17</f>
        <v>0</v>
      </c>
      <c r="O17" s="56" t="n">
        <f aca="false">K17-N17</f>
        <v>1976250</v>
      </c>
    </row>
    <row r="18" customFormat="false" ht="12.75" hidden="false" customHeight="false" outlineLevel="0" collapsed="false">
      <c r="A18" s="73" t="n">
        <v>36922</v>
      </c>
      <c r="B18" s="56" t="n">
        <f aca="false">H17</f>
        <v>18023750</v>
      </c>
      <c r="C18" s="28" t="n">
        <v>0.0683</v>
      </c>
      <c r="D18" s="58" t="n">
        <f aca="false">C18+0.005+0.0055</f>
        <v>0.0788</v>
      </c>
      <c r="E18" s="15" t="n">
        <f aca="false">B18*D18/12</f>
        <v>118355.958333333</v>
      </c>
      <c r="F18" s="56" t="n">
        <f aca="false">E18</f>
        <v>118355.958333333</v>
      </c>
      <c r="G18" s="65" t="n">
        <f aca="false">F18-E18</f>
        <v>0</v>
      </c>
      <c r="H18" s="56" t="n">
        <f aca="false">B18-G18</f>
        <v>18023750</v>
      </c>
      <c r="J18" s="54" t="n">
        <f aca="false">A18</f>
        <v>36922</v>
      </c>
      <c r="K18" s="56" t="n">
        <f aca="false">O17</f>
        <v>1976250</v>
      </c>
      <c r="L18" s="46" t="n">
        <f aca="false">K18*$K$4/12</f>
        <v>24703.125</v>
      </c>
      <c r="M18" s="65" t="n">
        <f aca="false">M17</f>
        <v>24703.125</v>
      </c>
      <c r="N18" s="65" t="n">
        <f aca="false">M18-L18</f>
        <v>0</v>
      </c>
      <c r="O18" s="56" t="n">
        <f aca="false">K18-N18</f>
        <v>1976250</v>
      </c>
    </row>
    <row r="19" customFormat="false" ht="12.75" hidden="false" customHeight="false" outlineLevel="0" collapsed="false">
      <c r="A19" s="54" t="n">
        <v>36950</v>
      </c>
      <c r="B19" s="56" t="n">
        <f aca="false">H18</f>
        <v>18023750</v>
      </c>
      <c r="C19" s="28" t="n">
        <v>0.0683</v>
      </c>
      <c r="D19" s="58" t="n">
        <f aca="false">C19+0.005+0.0055</f>
        <v>0.0788</v>
      </c>
      <c r="E19" s="15" t="n">
        <f aca="false">B19*D19/12</f>
        <v>118355.958333333</v>
      </c>
      <c r="F19" s="56" t="n">
        <f aca="false">E19</f>
        <v>118355.958333333</v>
      </c>
      <c r="G19" s="65" t="n">
        <f aca="false">F19-E19</f>
        <v>0</v>
      </c>
      <c r="H19" s="56" t="n">
        <f aca="false">B19-G19</f>
        <v>18023750</v>
      </c>
      <c r="J19" s="54" t="n">
        <f aca="false">A19</f>
        <v>36950</v>
      </c>
      <c r="K19" s="56" t="n">
        <f aca="false">O18</f>
        <v>1976250</v>
      </c>
      <c r="L19" s="46" t="n">
        <f aca="false">K19*$K$4/12</f>
        <v>24703.125</v>
      </c>
      <c r="M19" s="65" t="n">
        <f aca="false">M18</f>
        <v>24703.125</v>
      </c>
      <c r="N19" s="65" t="n">
        <f aca="false">M19-L19</f>
        <v>0</v>
      </c>
      <c r="O19" s="56" t="n">
        <f aca="false">K19-N19</f>
        <v>1976250</v>
      </c>
    </row>
    <row r="20" customFormat="false" ht="12.75" hidden="false" customHeight="false" outlineLevel="0" collapsed="false">
      <c r="A20" s="54" t="n">
        <v>36981</v>
      </c>
      <c r="B20" s="56" t="n">
        <f aca="false">H19</f>
        <v>18023750</v>
      </c>
      <c r="C20" s="28" t="n">
        <v>0.0683</v>
      </c>
      <c r="D20" s="58" t="n">
        <f aca="false">C20+0.005+0.0055</f>
        <v>0.0788</v>
      </c>
      <c r="E20" s="15" t="n">
        <f aca="false">B20*D20/12</f>
        <v>118355.958333333</v>
      </c>
      <c r="F20" s="56" t="n">
        <f aca="false">E20</f>
        <v>118355.958333333</v>
      </c>
      <c r="G20" s="65" t="n">
        <f aca="false">F20-E20</f>
        <v>0</v>
      </c>
      <c r="H20" s="56" t="n">
        <f aca="false">B20-G20</f>
        <v>18023750</v>
      </c>
      <c r="J20" s="54" t="n">
        <f aca="false">A20</f>
        <v>36981</v>
      </c>
      <c r="K20" s="56" t="n">
        <f aca="false">O19</f>
        <v>1976250</v>
      </c>
      <c r="L20" s="46" t="n">
        <f aca="false">K20*$K$4/12</f>
        <v>24703.125</v>
      </c>
      <c r="M20" s="65" t="n">
        <f aca="false">M19</f>
        <v>24703.125</v>
      </c>
      <c r="N20" s="65" t="n">
        <f aca="false">M20-L20</f>
        <v>0</v>
      </c>
      <c r="O20" s="56" t="n">
        <f aca="false">K20-N20</f>
        <v>1976250</v>
      </c>
    </row>
    <row r="21" customFormat="false" ht="12.75" hidden="false" customHeight="false" outlineLevel="0" collapsed="false">
      <c r="A21" s="73" t="n">
        <v>37011</v>
      </c>
      <c r="B21" s="56" t="n">
        <f aca="false">H20</f>
        <v>18023750</v>
      </c>
      <c r="C21" s="28" t="n">
        <v>0.0685</v>
      </c>
      <c r="D21" s="58" t="n">
        <f aca="false">C21+0.005+0.0055</f>
        <v>0.079</v>
      </c>
      <c r="E21" s="15" t="n">
        <f aca="false">B21*D21/12</f>
        <v>118656.354166667</v>
      </c>
      <c r="F21" s="56" t="n">
        <f aca="false">E21</f>
        <v>118656.354166667</v>
      </c>
      <c r="G21" s="65" t="n">
        <f aca="false">F21-E21</f>
        <v>0</v>
      </c>
      <c r="H21" s="56" t="n">
        <f aca="false">B21-G21</f>
        <v>18023750</v>
      </c>
      <c r="J21" s="54" t="n">
        <f aca="false">A21</f>
        <v>37011</v>
      </c>
      <c r="K21" s="56" t="n">
        <f aca="false">O20</f>
        <v>1976250</v>
      </c>
      <c r="L21" s="46" t="n">
        <f aca="false">K21*$K$4/12</f>
        <v>24703.125</v>
      </c>
      <c r="M21" s="65" t="n">
        <f aca="false">M20</f>
        <v>24703.125</v>
      </c>
      <c r="N21" s="65" t="n">
        <f aca="false">M21-L21</f>
        <v>0</v>
      </c>
      <c r="O21" s="56" t="n">
        <f aca="false">K21-N21</f>
        <v>1976250</v>
      </c>
    </row>
    <row r="22" customFormat="false" ht="12.75" hidden="false" customHeight="false" outlineLevel="0" collapsed="false">
      <c r="A22" s="54" t="n">
        <v>37042</v>
      </c>
      <c r="B22" s="56" t="n">
        <f aca="false">H21</f>
        <v>18023750</v>
      </c>
      <c r="C22" s="28" t="n">
        <v>0.0687</v>
      </c>
      <c r="D22" s="58" t="n">
        <f aca="false">C22+0.005+0.0055</f>
        <v>0.0792</v>
      </c>
      <c r="E22" s="15" t="n">
        <f aca="false">B22*D22/12</f>
        <v>118956.75</v>
      </c>
      <c r="F22" s="56" t="n">
        <f aca="false">E22</f>
        <v>118956.75</v>
      </c>
      <c r="G22" s="65" t="n">
        <f aca="false">F22-E22</f>
        <v>0</v>
      </c>
      <c r="H22" s="56" t="n">
        <f aca="false">B22-G22</f>
        <v>18023750</v>
      </c>
      <c r="J22" s="54" t="n">
        <f aca="false">A22</f>
        <v>37042</v>
      </c>
      <c r="K22" s="56" t="n">
        <f aca="false">O21</f>
        <v>1976250</v>
      </c>
      <c r="L22" s="46" t="n">
        <f aca="false">K22*$K$4/12</f>
        <v>24703.125</v>
      </c>
      <c r="M22" s="65" t="n">
        <f aca="false">M21</f>
        <v>24703.125</v>
      </c>
      <c r="N22" s="65" t="n">
        <f aca="false">M22-L22</f>
        <v>0</v>
      </c>
      <c r="O22" s="56" t="n">
        <f aca="false">K22-N22</f>
        <v>1976250</v>
      </c>
    </row>
    <row r="23" customFormat="false" ht="12.75" hidden="false" customHeight="false" outlineLevel="0" collapsed="false">
      <c r="A23" s="54" t="n">
        <v>37072</v>
      </c>
      <c r="B23" s="56" t="n">
        <f aca="false">H22</f>
        <v>18023750</v>
      </c>
      <c r="C23" s="28" t="n">
        <v>0.0689</v>
      </c>
      <c r="D23" s="58" t="n">
        <f aca="false">C23+0.005+0.0055</f>
        <v>0.0794</v>
      </c>
      <c r="E23" s="15" t="n">
        <f aca="false">B23*D23/12</f>
        <v>119257.145833333</v>
      </c>
      <c r="F23" s="56" t="n">
        <f aca="false">E23</f>
        <v>119257.145833333</v>
      </c>
      <c r="G23" s="65" t="n">
        <f aca="false">F23-E23</f>
        <v>0</v>
      </c>
      <c r="H23" s="56" t="n">
        <f aca="false">B23-G23</f>
        <v>18023750</v>
      </c>
      <c r="J23" s="54" t="n">
        <f aca="false">A23</f>
        <v>37072</v>
      </c>
      <c r="K23" s="56" t="n">
        <f aca="false">O22</f>
        <v>1976250</v>
      </c>
      <c r="L23" s="46" t="n">
        <f aca="false">K23*$K$4/12</f>
        <v>24703.125</v>
      </c>
      <c r="M23" s="65" t="n">
        <f aca="false">M22</f>
        <v>24703.125</v>
      </c>
      <c r="N23" s="65" t="n">
        <f aca="false">M23-L23</f>
        <v>0</v>
      </c>
      <c r="O23" s="56" t="n">
        <f aca="false">K23-N23</f>
        <v>1976250</v>
      </c>
    </row>
    <row r="24" customFormat="false" ht="12.75" hidden="false" customHeight="false" outlineLevel="0" collapsed="false">
      <c r="A24" s="73" t="n">
        <v>37103</v>
      </c>
      <c r="B24" s="56" t="n">
        <f aca="false">H23</f>
        <v>18023750</v>
      </c>
      <c r="C24" s="28" t="n">
        <v>0.0689</v>
      </c>
      <c r="D24" s="58" t="n">
        <f aca="false">C24+0.005+0.0055</f>
        <v>0.0794</v>
      </c>
      <c r="E24" s="15" t="n">
        <f aca="false">B24*D24/12</f>
        <v>119257.145833333</v>
      </c>
      <c r="F24" s="56" t="n">
        <f aca="false">E24</f>
        <v>119257.145833333</v>
      </c>
      <c r="G24" s="65" t="n">
        <f aca="false">F24-E24</f>
        <v>0</v>
      </c>
      <c r="H24" s="56" t="n">
        <f aca="false">B24-G24</f>
        <v>18023750</v>
      </c>
      <c r="J24" s="54" t="n">
        <f aca="false">A24</f>
        <v>37103</v>
      </c>
      <c r="K24" s="56" t="n">
        <f aca="false">O23</f>
        <v>1976250</v>
      </c>
      <c r="L24" s="46" t="n">
        <f aca="false">K24*$K$4/12</f>
        <v>24703.125</v>
      </c>
      <c r="M24" s="65" t="n">
        <f aca="false">M23</f>
        <v>24703.125</v>
      </c>
      <c r="N24" s="65" t="n">
        <f aca="false">M24-L24</f>
        <v>0</v>
      </c>
      <c r="O24" s="56" t="n">
        <f aca="false">K24-N24</f>
        <v>1976250</v>
      </c>
    </row>
    <row r="25" customFormat="false" ht="12.75" hidden="false" customHeight="false" outlineLevel="0" collapsed="false">
      <c r="A25" s="54" t="n">
        <v>37134</v>
      </c>
      <c r="B25" s="56" t="n">
        <f aca="false">H24</f>
        <v>18023750</v>
      </c>
      <c r="C25" s="28" t="n">
        <v>0.0689</v>
      </c>
      <c r="D25" s="58" t="n">
        <f aca="false">C25+0.005+0.0055</f>
        <v>0.0794</v>
      </c>
      <c r="E25" s="15" t="n">
        <f aca="false">B25*D25/12</f>
        <v>119257.145833333</v>
      </c>
      <c r="F25" s="56" t="n">
        <f aca="false">E25</f>
        <v>119257.145833333</v>
      </c>
      <c r="G25" s="65" t="n">
        <f aca="false">F25-E25</f>
        <v>0</v>
      </c>
      <c r="H25" s="56" t="n">
        <f aca="false">B25-G25</f>
        <v>18023750</v>
      </c>
      <c r="J25" s="54" t="n">
        <f aca="false">A25</f>
        <v>37134</v>
      </c>
      <c r="K25" s="56" t="n">
        <f aca="false">O24</f>
        <v>1976250</v>
      </c>
      <c r="L25" s="46" t="n">
        <f aca="false">K25*$K$4/12</f>
        <v>24703.125</v>
      </c>
      <c r="M25" s="65" t="n">
        <f aca="false">M24</f>
        <v>24703.125</v>
      </c>
      <c r="N25" s="65" t="n">
        <f aca="false">M25-L25</f>
        <v>0</v>
      </c>
      <c r="O25" s="56" t="n">
        <f aca="false">K25-N25</f>
        <v>1976250</v>
      </c>
    </row>
    <row r="26" customFormat="false" ht="12.75" hidden="false" customHeight="false" outlineLevel="0" collapsed="false">
      <c r="A26" s="54" t="n">
        <v>37164</v>
      </c>
      <c r="B26" s="56" t="n">
        <f aca="false">H25</f>
        <v>18023750</v>
      </c>
      <c r="C26" s="28" t="n">
        <f aca="false">C25*(1+$C$5)</f>
        <v>0.06907225</v>
      </c>
      <c r="D26" s="58" t="n">
        <f aca="false">C26+0.005+0.0055</f>
        <v>0.07957225</v>
      </c>
      <c r="E26" s="15" t="n">
        <f aca="false">B26*D26/12</f>
        <v>119515.861744792</v>
      </c>
      <c r="F26" s="56" t="n">
        <f aca="false">E26</f>
        <v>119515.861744792</v>
      </c>
      <c r="G26" s="65" t="n">
        <f aca="false">F26-E26</f>
        <v>0</v>
      </c>
      <c r="H26" s="56" t="n">
        <f aca="false">B26-G26</f>
        <v>18023750</v>
      </c>
      <c r="J26" s="54" t="n">
        <f aca="false">A26</f>
        <v>37164</v>
      </c>
      <c r="K26" s="56" t="n">
        <f aca="false">O25</f>
        <v>1976250</v>
      </c>
      <c r="L26" s="46" t="n">
        <f aca="false">K26*$K$4/12</f>
        <v>24703.125</v>
      </c>
      <c r="M26" s="65" t="n">
        <f aca="false">M25</f>
        <v>24703.125</v>
      </c>
      <c r="N26" s="65" t="n">
        <f aca="false">M26-L26</f>
        <v>0</v>
      </c>
      <c r="O26" s="56" t="n">
        <f aca="false">K26-N26</f>
        <v>1976250</v>
      </c>
    </row>
    <row r="27" customFormat="false" ht="12.75" hidden="false" customHeight="false" outlineLevel="0" collapsed="false">
      <c r="A27" s="73" t="n">
        <v>37195</v>
      </c>
      <c r="B27" s="56" t="n">
        <f aca="false">H26</f>
        <v>18023750</v>
      </c>
      <c r="C27" s="28" t="n">
        <f aca="false">C26*(1+$C$5)</f>
        <v>0.069244930625</v>
      </c>
      <c r="D27" s="58" t="n">
        <f aca="false">C27+0.005+0.0055</f>
        <v>0.079744930625</v>
      </c>
      <c r="E27" s="15" t="n">
        <f aca="false">B27*D27/12</f>
        <v>119775.224446029</v>
      </c>
      <c r="F27" s="56" t="n">
        <f aca="false">E27</f>
        <v>119775.224446029</v>
      </c>
      <c r="G27" s="65" t="n">
        <f aca="false">F27-E27</f>
        <v>0</v>
      </c>
      <c r="H27" s="56" t="n">
        <f aca="false">B27-G27</f>
        <v>18023750</v>
      </c>
      <c r="J27" s="54" t="n">
        <f aca="false">A27</f>
        <v>37195</v>
      </c>
      <c r="K27" s="56" t="n">
        <f aca="false">O26</f>
        <v>1976250</v>
      </c>
      <c r="L27" s="46" t="n">
        <f aca="false">K27*$K$4/12</f>
        <v>24703.125</v>
      </c>
      <c r="M27" s="65" t="n">
        <f aca="false">M26</f>
        <v>24703.125</v>
      </c>
      <c r="N27" s="65" t="n">
        <f aca="false">M27-L27</f>
        <v>0</v>
      </c>
      <c r="O27" s="56" t="n">
        <f aca="false">K27-N27</f>
        <v>1976250</v>
      </c>
    </row>
    <row r="28" customFormat="false" ht="12.75" hidden="false" customHeight="false" outlineLevel="0" collapsed="false">
      <c r="A28" s="54" t="n">
        <v>37225</v>
      </c>
      <c r="B28" s="56" t="n">
        <f aca="false">H27</f>
        <v>18023750</v>
      </c>
      <c r="C28" s="28" t="n">
        <f aca="false">C27*(1+$C$5)</f>
        <v>0.0694180429515625</v>
      </c>
      <c r="D28" s="58" t="n">
        <f aca="false">C28+0.005+0.0055</f>
        <v>0.0799180429515625</v>
      </c>
      <c r="E28" s="15" t="n">
        <f aca="false">B28*D28/12</f>
        <v>120035.235554019</v>
      </c>
      <c r="F28" s="56" t="n">
        <f aca="false">E28</f>
        <v>120035.235554019</v>
      </c>
      <c r="G28" s="65" t="n">
        <f aca="false">F28-E28</f>
        <v>0</v>
      </c>
      <c r="H28" s="56" t="n">
        <f aca="false">B28-G28</f>
        <v>18023750</v>
      </c>
      <c r="J28" s="54" t="n">
        <f aca="false">A28</f>
        <v>37225</v>
      </c>
      <c r="K28" s="56" t="n">
        <f aca="false">O27</f>
        <v>1976250</v>
      </c>
      <c r="L28" s="46" t="n">
        <f aca="false">K28*$K$4/12</f>
        <v>24703.125</v>
      </c>
      <c r="M28" s="65" t="n">
        <f aca="false">M27</f>
        <v>24703.125</v>
      </c>
      <c r="N28" s="65" t="n">
        <f aca="false">M28-L28</f>
        <v>0</v>
      </c>
      <c r="O28" s="56" t="n">
        <f aca="false">K28-N28</f>
        <v>1976250</v>
      </c>
    </row>
    <row r="29" customFormat="false" ht="12.75" hidden="false" customHeight="false" outlineLevel="0" collapsed="false">
      <c r="A29" s="54" t="n">
        <v>37256</v>
      </c>
      <c r="B29" s="56" t="n">
        <f aca="false">H28</f>
        <v>18023750</v>
      </c>
      <c r="C29" s="28" t="n">
        <f aca="false">C28*(1+$C$5)</f>
        <v>0.0695915880589414</v>
      </c>
      <c r="D29" s="58" t="n">
        <f aca="false">C29+0.005+0.0055</f>
        <v>0.0800915880589414</v>
      </c>
      <c r="E29" s="15" t="n">
        <f aca="false">B29*D29/12</f>
        <v>120295.896689779</v>
      </c>
      <c r="F29" s="56" t="n">
        <f aca="false">E29</f>
        <v>120295.896689779</v>
      </c>
      <c r="G29" s="65" t="n">
        <f aca="false">F29-E29</f>
        <v>0</v>
      </c>
      <c r="H29" s="56" t="n">
        <f aca="false">B29-G29</f>
        <v>18023750</v>
      </c>
      <c r="J29" s="54" t="n">
        <f aca="false">A29</f>
        <v>37256</v>
      </c>
      <c r="K29" s="56" t="n">
        <f aca="false">O28</f>
        <v>1976250</v>
      </c>
      <c r="L29" s="46" t="n">
        <f aca="false">K29*$K$4/12</f>
        <v>24703.125</v>
      </c>
      <c r="M29" s="65" t="n">
        <f aca="false">M28</f>
        <v>24703.125</v>
      </c>
      <c r="N29" s="65" t="n">
        <f aca="false">M29-L29</f>
        <v>0</v>
      </c>
      <c r="O29" s="56" t="n">
        <f aca="false">K29-N29</f>
        <v>1976250</v>
      </c>
    </row>
    <row r="30" customFormat="false" ht="12.75" hidden="false" customHeight="false" outlineLevel="0" collapsed="false">
      <c r="A30" s="73" t="n">
        <v>37287</v>
      </c>
      <c r="B30" s="56" t="n">
        <f aca="false">H29</f>
        <v>18023750</v>
      </c>
      <c r="C30" s="28" t="n">
        <f aca="false">C29*(1+$C$5)</f>
        <v>0.0697655670290888</v>
      </c>
      <c r="D30" s="58" t="n">
        <f aca="false">C30+0.005+0.0055</f>
        <v>0.0802655670290888</v>
      </c>
      <c r="E30" s="15" t="n">
        <f aca="false">B30*D30/12</f>
        <v>120557.209478378</v>
      </c>
      <c r="F30" s="56" t="n">
        <f aca="false">E30</f>
        <v>120557.209478378</v>
      </c>
      <c r="G30" s="65" t="n">
        <f aca="false">F30-E30</f>
        <v>0</v>
      </c>
      <c r="H30" s="56" t="n">
        <f aca="false">B30-G30</f>
        <v>18023750</v>
      </c>
      <c r="J30" s="54" t="n">
        <f aca="false">A30</f>
        <v>37287</v>
      </c>
      <c r="K30" s="56" t="n">
        <f aca="false">O29</f>
        <v>1976250</v>
      </c>
      <c r="L30" s="46" t="n">
        <f aca="false">K30*$K$4/12</f>
        <v>24703.125</v>
      </c>
      <c r="M30" s="65" t="n">
        <f aca="false">M29</f>
        <v>24703.125</v>
      </c>
      <c r="N30" s="65" t="n">
        <f aca="false">M30-L30</f>
        <v>0</v>
      </c>
      <c r="O30" s="56" t="n">
        <f aca="false">K30-N30</f>
        <v>1976250</v>
      </c>
    </row>
    <row r="31" customFormat="false" ht="12.75" hidden="false" customHeight="false" outlineLevel="0" collapsed="false">
      <c r="A31" s="54" t="n">
        <v>37315</v>
      </c>
      <c r="B31" s="56" t="n">
        <f aca="false">H30</f>
        <v>18023750</v>
      </c>
      <c r="C31" s="28" t="n">
        <f aca="false">C30*(1+$C$5)</f>
        <v>0.0699399809466615</v>
      </c>
      <c r="D31" s="58" t="n">
        <f aca="false">C31+0.005+0.0055</f>
        <v>0.0804399809466615</v>
      </c>
      <c r="E31" s="15" t="n">
        <f aca="false">B31*D31/12</f>
        <v>120819.175548949</v>
      </c>
      <c r="F31" s="56" t="n">
        <f aca="false">E31</f>
        <v>120819.175548949</v>
      </c>
      <c r="G31" s="65" t="n">
        <f aca="false">F31-E31</f>
        <v>0</v>
      </c>
      <c r="H31" s="56" t="n">
        <f aca="false">B31-G31</f>
        <v>18023750</v>
      </c>
      <c r="J31" s="54" t="n">
        <f aca="false">A31</f>
        <v>37315</v>
      </c>
      <c r="K31" s="56" t="n">
        <f aca="false">O30</f>
        <v>1976250</v>
      </c>
      <c r="L31" s="46" t="n">
        <f aca="false">K31*$K$4/12</f>
        <v>24703.125</v>
      </c>
      <c r="M31" s="65" t="n">
        <f aca="false">M30</f>
        <v>24703.125</v>
      </c>
      <c r="N31" s="65" t="n">
        <f aca="false">M31-L31</f>
        <v>0</v>
      </c>
      <c r="O31" s="56" t="n">
        <f aca="false">K31-N31</f>
        <v>1976250</v>
      </c>
    </row>
    <row r="32" customFormat="false" ht="12.75" hidden="false" customHeight="false" outlineLevel="0" collapsed="false">
      <c r="A32" s="54" t="n">
        <v>37346</v>
      </c>
      <c r="B32" s="56" t="n">
        <f aca="false">H31</f>
        <v>18023750</v>
      </c>
      <c r="C32" s="28" t="n">
        <f aca="false">C31*(1+$C$5)</f>
        <v>0.0701148308990281</v>
      </c>
      <c r="D32" s="58" t="n">
        <f aca="false">C32+0.005+0.0055</f>
        <v>0.0806148308990281</v>
      </c>
      <c r="E32" s="15" t="n">
        <f aca="false">B32*D32/12</f>
        <v>121081.796534697</v>
      </c>
      <c r="F32" s="56" t="n">
        <f aca="false">E32</f>
        <v>121081.796534697</v>
      </c>
      <c r="G32" s="65" t="n">
        <f aca="false">F32-E32</f>
        <v>0</v>
      </c>
      <c r="H32" s="56" t="n">
        <f aca="false">B32-G32</f>
        <v>18023750</v>
      </c>
      <c r="J32" s="54" t="n">
        <f aca="false">A32</f>
        <v>37346</v>
      </c>
      <c r="K32" s="56" t="n">
        <f aca="false">O31</f>
        <v>1976250</v>
      </c>
      <c r="L32" s="46" t="n">
        <f aca="false">K32*$K$4/12</f>
        <v>24703.125</v>
      </c>
      <c r="M32" s="65" t="n">
        <f aca="false">M31</f>
        <v>24703.125</v>
      </c>
      <c r="N32" s="65" t="n">
        <f aca="false">M32-L32</f>
        <v>0</v>
      </c>
      <c r="O32" s="56" t="n">
        <f aca="false">K32-N32</f>
        <v>1976250</v>
      </c>
    </row>
    <row r="33" customFormat="false" ht="12.75" hidden="false" customHeight="false" outlineLevel="0" collapsed="false">
      <c r="A33" s="73" t="n">
        <v>37376</v>
      </c>
      <c r="B33" s="56" t="n">
        <f aca="false">H32</f>
        <v>18023750</v>
      </c>
      <c r="C33" s="28" t="n">
        <f aca="false">C32*(1+$C$5)</f>
        <v>0.0702901179762757</v>
      </c>
      <c r="D33" s="58" t="n">
        <f aca="false">C33+0.005+0.0055</f>
        <v>0.0807901179762757</v>
      </c>
      <c r="E33" s="15" t="n">
        <f aca="false">B33*D33/12</f>
        <v>121345.074072908</v>
      </c>
      <c r="F33" s="56" t="n">
        <f aca="false">E33</f>
        <v>121345.074072908</v>
      </c>
      <c r="G33" s="65" t="n">
        <f aca="false">F33-E33</f>
        <v>0</v>
      </c>
      <c r="H33" s="56" t="n">
        <f aca="false">B33-G33</f>
        <v>18023750</v>
      </c>
      <c r="J33" s="54" t="n">
        <f aca="false">A33</f>
        <v>37376</v>
      </c>
      <c r="K33" s="56" t="n">
        <f aca="false">O32</f>
        <v>1976250</v>
      </c>
      <c r="L33" s="46" t="n">
        <f aca="false">K33*$K$4/12</f>
        <v>24703.125</v>
      </c>
      <c r="M33" s="65" t="n">
        <f aca="false">M32</f>
        <v>24703.125</v>
      </c>
      <c r="N33" s="65" t="n">
        <f aca="false">M33-L33</f>
        <v>0</v>
      </c>
      <c r="O33" s="56" t="n">
        <f aca="false">K33-N33</f>
        <v>1976250</v>
      </c>
    </row>
    <row r="34" customFormat="false" ht="12.75" hidden="false" customHeight="false" outlineLevel="0" collapsed="false">
      <c r="A34" s="54" t="n">
        <v>37407</v>
      </c>
      <c r="B34" s="56" t="n">
        <f aca="false">H33</f>
        <v>18023750</v>
      </c>
      <c r="C34" s="28" t="n">
        <f aca="false">C33*(1+$C$5)</f>
        <v>0.0704658432712164</v>
      </c>
      <c r="D34" s="58" t="n">
        <f aca="false">C34+0.005+0.0055</f>
        <v>0.0809658432712164</v>
      </c>
      <c r="E34" s="15" t="n">
        <f aca="false">B34*D34/12</f>
        <v>121609.009804966</v>
      </c>
      <c r="F34" s="56" t="n">
        <f aca="false">E34</f>
        <v>121609.009804966</v>
      </c>
      <c r="G34" s="65" t="n">
        <f aca="false">F34-E34</f>
        <v>0</v>
      </c>
      <c r="H34" s="56" t="n">
        <f aca="false">B34-G34</f>
        <v>18023750</v>
      </c>
      <c r="J34" s="54" t="n">
        <f aca="false">A34</f>
        <v>37407</v>
      </c>
      <c r="K34" s="56" t="n">
        <f aca="false">O33</f>
        <v>1976250</v>
      </c>
      <c r="L34" s="46" t="n">
        <f aca="false">K34*$K$4/12</f>
        <v>24703.125</v>
      </c>
      <c r="M34" s="65" t="n">
        <f aca="false">M33</f>
        <v>24703.125</v>
      </c>
      <c r="N34" s="65" t="n">
        <f aca="false">M34-L34</f>
        <v>0</v>
      </c>
      <c r="O34" s="56" t="n">
        <f aca="false">K34-N34</f>
        <v>1976250</v>
      </c>
    </row>
    <row r="35" customFormat="false" ht="12.75" hidden="false" customHeight="false" outlineLevel="0" collapsed="false">
      <c r="A35" s="54" t="n">
        <v>37437</v>
      </c>
      <c r="B35" s="56" t="n">
        <f aca="false">H34</f>
        <v>18023750</v>
      </c>
      <c r="C35" s="28" t="n">
        <f aca="false">C34*(1+$C$5)</f>
        <v>0.0706420078793944</v>
      </c>
      <c r="D35" s="58" t="n">
        <f aca="false">C35+0.005+0.0055</f>
        <v>0.0811420078793944</v>
      </c>
      <c r="E35" s="15" t="n">
        <f aca="false">B35*D35/12</f>
        <v>121873.605376353</v>
      </c>
      <c r="F35" s="56" t="n">
        <f aca="false">E35</f>
        <v>121873.605376353</v>
      </c>
      <c r="G35" s="65" t="n">
        <f aca="false">F35-E35</f>
        <v>0</v>
      </c>
      <c r="H35" s="56" t="n">
        <f aca="false">B35-G35</f>
        <v>18023750</v>
      </c>
      <c r="J35" s="54" t="n">
        <f aca="false">A35</f>
        <v>37437</v>
      </c>
      <c r="K35" s="56" t="n">
        <f aca="false">O34</f>
        <v>1976250</v>
      </c>
      <c r="L35" s="46" t="n">
        <f aca="false">K35*$K$4/12</f>
        <v>24703.125</v>
      </c>
      <c r="M35" s="65" t="n">
        <f aca="false">M34</f>
        <v>24703.125</v>
      </c>
      <c r="N35" s="65" t="n">
        <f aca="false">M35-L35</f>
        <v>0</v>
      </c>
      <c r="O35" s="56" t="n">
        <f aca="false">K35-N35</f>
        <v>1976250</v>
      </c>
    </row>
    <row r="36" customFormat="false" ht="12.75" hidden="false" customHeight="false" outlineLevel="0" collapsed="false">
      <c r="A36" s="73" t="n">
        <v>37468</v>
      </c>
      <c r="B36" s="56" t="n">
        <f aca="false">H35</f>
        <v>18023750</v>
      </c>
      <c r="C36" s="28" t="n">
        <f aca="false">C35*(1+$C$5)</f>
        <v>0.0708186128990929</v>
      </c>
      <c r="D36" s="58" t="n">
        <f aca="false">C36+0.005+0.0055</f>
        <v>0.0813186128990929</v>
      </c>
      <c r="E36" s="15" t="n">
        <f aca="false">B36*D36/12</f>
        <v>122138.862436669</v>
      </c>
      <c r="F36" s="56" t="n">
        <f aca="false">E36</f>
        <v>122138.862436669</v>
      </c>
      <c r="G36" s="65" t="n">
        <f aca="false">F36-E36</f>
        <v>0</v>
      </c>
      <c r="H36" s="56" t="n">
        <f aca="false">B36-G36</f>
        <v>18023750</v>
      </c>
      <c r="J36" s="54" t="n">
        <f aca="false">A36</f>
        <v>37468</v>
      </c>
      <c r="K36" s="56" t="n">
        <f aca="false">O35</f>
        <v>1976250</v>
      </c>
      <c r="L36" s="46" t="n">
        <f aca="false">K36*$K$4/12</f>
        <v>24703.125</v>
      </c>
      <c r="M36" s="65" t="n">
        <f aca="false">M35</f>
        <v>24703.125</v>
      </c>
      <c r="N36" s="65" t="n">
        <f aca="false">M36-L36</f>
        <v>0</v>
      </c>
      <c r="O36" s="56" t="n">
        <f aca="false">K36-N36</f>
        <v>1976250</v>
      </c>
    </row>
    <row r="37" customFormat="false" ht="12.75" hidden="false" customHeight="false" outlineLevel="0" collapsed="false">
      <c r="A37" s="54" t="n">
        <v>37499</v>
      </c>
      <c r="B37" s="56" t="n">
        <f aca="false">H36</f>
        <v>18023750</v>
      </c>
      <c r="C37" s="28" t="n">
        <f aca="false">C36*(1+$C$5)</f>
        <v>0.0709956594313407</v>
      </c>
      <c r="D37" s="58" t="n">
        <f aca="false">C37+0.005+0.0055</f>
        <v>0.0814956594313407</v>
      </c>
      <c r="E37" s="15" t="n">
        <f aca="false">B37*D37/12</f>
        <v>122404.782639636</v>
      </c>
      <c r="F37" s="56" t="n">
        <f aca="false">E37</f>
        <v>122404.782639636</v>
      </c>
      <c r="G37" s="65" t="n">
        <f aca="false">F37-E37</f>
        <v>0</v>
      </c>
      <c r="H37" s="56" t="n">
        <f aca="false">B37-G37</f>
        <v>18023750</v>
      </c>
      <c r="J37" s="54" t="n">
        <f aca="false">A37</f>
        <v>37499</v>
      </c>
      <c r="K37" s="56" t="n">
        <f aca="false">O36</f>
        <v>1976250</v>
      </c>
      <c r="L37" s="46" t="n">
        <f aca="false">K37*$K$4/12</f>
        <v>24703.125</v>
      </c>
      <c r="M37" s="65" t="n">
        <f aca="false">M36</f>
        <v>24703.125</v>
      </c>
      <c r="N37" s="65" t="n">
        <f aca="false">M37-L37</f>
        <v>0</v>
      </c>
      <c r="O37" s="56" t="n">
        <f aca="false">K37-N37</f>
        <v>1976250</v>
      </c>
    </row>
    <row r="38" customFormat="false" ht="12.75" hidden="false" customHeight="false" outlineLevel="0" collapsed="false">
      <c r="A38" s="54" t="n">
        <v>37529</v>
      </c>
      <c r="B38" s="56" t="n">
        <f aca="false">H37</f>
        <v>18023750</v>
      </c>
      <c r="C38" s="28" t="n">
        <f aca="false">C37*(1+$C$5)</f>
        <v>0.071173148579919</v>
      </c>
      <c r="D38" s="58" t="n">
        <f aca="false">C38+0.005+0.0055</f>
        <v>0.081673148579919</v>
      </c>
      <c r="E38" s="15" t="n">
        <f aca="false">B38*D38/12</f>
        <v>122671.36764311</v>
      </c>
      <c r="F38" s="56" t="n">
        <f aca="false">E38</f>
        <v>122671.36764311</v>
      </c>
      <c r="G38" s="65" t="n">
        <f aca="false">F38-E38</f>
        <v>0</v>
      </c>
      <c r="H38" s="56" t="n">
        <f aca="false">B38-G38</f>
        <v>18023750</v>
      </c>
      <c r="J38" s="54" t="n">
        <f aca="false">A38</f>
        <v>37529</v>
      </c>
      <c r="K38" s="56" t="n">
        <f aca="false">O37</f>
        <v>1976250</v>
      </c>
      <c r="L38" s="46" t="n">
        <f aca="false">K38*$K$4/12</f>
        <v>24703.125</v>
      </c>
      <c r="M38" s="65" t="n">
        <f aca="false">M37</f>
        <v>24703.125</v>
      </c>
      <c r="N38" s="65" t="n">
        <f aca="false">M38-L38</f>
        <v>0</v>
      </c>
      <c r="O38" s="56" t="n">
        <f aca="false">K38-N38</f>
        <v>1976250</v>
      </c>
    </row>
    <row r="39" customFormat="false" ht="12.75" hidden="false" customHeight="false" outlineLevel="0" collapsed="false">
      <c r="A39" s="73" t="n">
        <v>37560</v>
      </c>
      <c r="B39" s="56" t="n">
        <f aca="false">H38</f>
        <v>18023750</v>
      </c>
      <c r="C39" s="28" t="n">
        <f aca="false">C38*(1+$C$5)</f>
        <v>0.0713510814513688</v>
      </c>
      <c r="D39" s="58" t="n">
        <f aca="false">C39+0.005+0.0055</f>
        <v>0.0818510814513688</v>
      </c>
      <c r="E39" s="15" t="n">
        <f aca="false">B39*D39/12</f>
        <v>122938.619109092</v>
      </c>
      <c r="F39" s="56" t="n">
        <f aca="false">E39</f>
        <v>122938.619109092</v>
      </c>
      <c r="G39" s="65" t="n">
        <f aca="false">F39-E39</f>
        <v>0</v>
      </c>
      <c r="H39" s="56" t="n">
        <f aca="false">B39-G39</f>
        <v>18023750</v>
      </c>
      <c r="J39" s="54" t="n">
        <f aca="false">A39</f>
        <v>37560</v>
      </c>
      <c r="K39" s="56" t="n">
        <f aca="false">O38</f>
        <v>1976250</v>
      </c>
      <c r="L39" s="46" t="n">
        <f aca="false">K39*$K$4/12</f>
        <v>24703.125</v>
      </c>
      <c r="M39" s="65" t="n">
        <f aca="false">M38</f>
        <v>24703.125</v>
      </c>
      <c r="N39" s="65" t="n">
        <f aca="false">M39-L39</f>
        <v>0</v>
      </c>
      <c r="O39" s="56" t="n">
        <f aca="false">K39-N39</f>
        <v>1976250</v>
      </c>
    </row>
    <row r="40" customFormat="false" ht="12.75" hidden="false" customHeight="false" outlineLevel="0" collapsed="false">
      <c r="A40" s="54" t="n">
        <v>37590</v>
      </c>
      <c r="B40" s="56" t="n">
        <f aca="false">H39</f>
        <v>18023750</v>
      </c>
      <c r="C40" s="28" t="n">
        <f aca="false">C39*(1+$C$5)</f>
        <v>0.0715294591549972</v>
      </c>
      <c r="D40" s="58" t="n">
        <f aca="false">C40+0.005+0.0055</f>
        <v>0.0820294591549972</v>
      </c>
      <c r="E40" s="15" t="n">
        <f aca="false">B40*D40/12</f>
        <v>123206.53870374</v>
      </c>
      <c r="F40" s="56" t="n">
        <f aca="false">E40</f>
        <v>123206.53870374</v>
      </c>
      <c r="G40" s="65" t="n">
        <f aca="false">F40-E40</f>
        <v>0</v>
      </c>
      <c r="H40" s="56" t="n">
        <f aca="false">B40-G40</f>
        <v>18023750</v>
      </c>
      <c r="J40" s="54" t="n">
        <f aca="false">A40</f>
        <v>37590</v>
      </c>
      <c r="K40" s="56" t="n">
        <f aca="false">O39</f>
        <v>1976250</v>
      </c>
      <c r="L40" s="46" t="n">
        <f aca="false">K40*$K$4/12</f>
        <v>24703.125</v>
      </c>
      <c r="M40" s="65" t="n">
        <f aca="false">M39</f>
        <v>24703.125</v>
      </c>
      <c r="N40" s="65" t="n">
        <f aca="false">M40-L40</f>
        <v>0</v>
      </c>
      <c r="O40" s="56" t="n">
        <f aca="false">K40-N40</f>
        <v>1976250</v>
      </c>
    </row>
    <row r="41" customFormat="false" ht="12.75" hidden="false" customHeight="false" outlineLevel="0" collapsed="false">
      <c r="A41" s="54" t="n">
        <v>37621</v>
      </c>
      <c r="B41" s="56" t="n">
        <f aca="false">H40</f>
        <v>18023750</v>
      </c>
      <c r="C41" s="28" t="n">
        <f aca="false">C40*(1+$C$5)</f>
        <v>0.0717082828028847</v>
      </c>
      <c r="D41" s="58" t="n">
        <f aca="false">C41+0.005+0.0055</f>
        <v>0.0822082828028847</v>
      </c>
      <c r="E41" s="15" t="n">
        <f aca="false">B41*D41/12</f>
        <v>123475.128097374</v>
      </c>
      <c r="F41" s="56" t="n">
        <f aca="false">E41</f>
        <v>123475.128097374</v>
      </c>
      <c r="G41" s="65" t="n">
        <f aca="false">F41-E41</f>
        <v>0</v>
      </c>
      <c r="H41" s="56" t="n">
        <f aca="false">B41-G41</f>
        <v>18023750</v>
      </c>
      <c r="J41" s="54" t="n">
        <f aca="false">A41</f>
        <v>37621</v>
      </c>
      <c r="K41" s="56" t="n">
        <f aca="false">O40</f>
        <v>1976250</v>
      </c>
      <c r="L41" s="46" t="n">
        <f aca="false">K41*$K$4/12</f>
        <v>24703.125</v>
      </c>
      <c r="M41" s="65" t="n">
        <f aca="false">M40</f>
        <v>24703.125</v>
      </c>
      <c r="N41" s="65" t="n">
        <f aca="false">M41-L41</f>
        <v>0</v>
      </c>
      <c r="O41" s="56" t="n">
        <f aca="false">K41-N41</f>
        <v>1976250</v>
      </c>
    </row>
    <row r="42" customFormat="false" ht="12.75" hidden="false" customHeight="false" outlineLevel="0" collapsed="false">
      <c r="A42" s="73" t="n">
        <v>37652</v>
      </c>
      <c r="B42" s="56" t="n">
        <f aca="false">H41</f>
        <v>18023750</v>
      </c>
      <c r="C42" s="28" t="n">
        <f aca="false">C41*(1+$C$5)</f>
        <v>0.0718875535098919</v>
      </c>
      <c r="D42" s="58" t="n">
        <f aca="false">C42+0.005+0.0055</f>
        <v>0.0823875535098919</v>
      </c>
      <c r="E42" s="15" t="n">
        <f aca="false">B42*D42/12</f>
        <v>123744.388964493</v>
      </c>
      <c r="F42" s="56" t="n">
        <f aca="false">E42</f>
        <v>123744.388964493</v>
      </c>
      <c r="G42" s="65" t="n">
        <f aca="false">F42-E42</f>
        <v>0</v>
      </c>
      <c r="H42" s="56" t="n">
        <f aca="false">B42-G42</f>
        <v>18023750</v>
      </c>
      <c r="J42" s="54" t="n">
        <f aca="false">A42</f>
        <v>37652</v>
      </c>
      <c r="K42" s="56" t="n">
        <f aca="false">O41</f>
        <v>1976250</v>
      </c>
      <c r="L42" s="46" t="n">
        <f aca="false">K42*$K$4/12</f>
        <v>24703.125</v>
      </c>
      <c r="M42" s="65" t="n">
        <f aca="false">M41</f>
        <v>24703.125</v>
      </c>
      <c r="N42" s="65" t="n">
        <f aca="false">M42-L42</f>
        <v>0</v>
      </c>
      <c r="O42" s="56" t="n">
        <f aca="false">K42-N42</f>
        <v>1976250</v>
      </c>
    </row>
    <row r="43" customFormat="false" ht="12.75" hidden="false" customHeight="false" outlineLevel="0" collapsed="false">
      <c r="A43" s="54" t="n">
        <v>37680</v>
      </c>
      <c r="B43" s="56" t="n">
        <f aca="false">H42</f>
        <v>18023750</v>
      </c>
      <c r="C43" s="28" t="n">
        <f aca="false">C42*(1+$C$5)</f>
        <v>0.0720672723936666</v>
      </c>
      <c r="D43" s="58" t="n">
        <f aca="false">C43+0.005+0.0055</f>
        <v>0.0825672723936666</v>
      </c>
      <c r="E43" s="15" t="n">
        <f aca="false">B43*D43/12</f>
        <v>124014.322983779</v>
      </c>
      <c r="F43" s="56" t="n">
        <f aca="false">E43</f>
        <v>124014.322983779</v>
      </c>
      <c r="G43" s="65" t="n">
        <f aca="false">F43-E43</f>
        <v>0</v>
      </c>
      <c r="H43" s="56" t="n">
        <f aca="false">B43-G43</f>
        <v>18023750</v>
      </c>
      <c r="J43" s="54" t="n">
        <f aca="false">A43</f>
        <v>37680</v>
      </c>
      <c r="K43" s="56" t="n">
        <f aca="false">O42</f>
        <v>1976250</v>
      </c>
      <c r="L43" s="46" t="n">
        <f aca="false">K43*$K$4/12</f>
        <v>24703.125</v>
      </c>
      <c r="M43" s="65" t="n">
        <f aca="false">M42</f>
        <v>24703.125</v>
      </c>
      <c r="N43" s="65" t="n">
        <f aca="false">M43-L43</f>
        <v>0</v>
      </c>
      <c r="O43" s="56" t="n">
        <f aca="false">K43-N43</f>
        <v>1976250</v>
      </c>
    </row>
    <row r="44" customFormat="false" ht="12.75" hidden="false" customHeight="false" outlineLevel="0" collapsed="false">
      <c r="A44" s="54" t="n">
        <v>37711</v>
      </c>
      <c r="B44" s="56" t="n">
        <f aca="false">H43</f>
        <v>18023750</v>
      </c>
      <c r="C44" s="28" t="n">
        <f aca="false">C43*(1+$C$5)</f>
        <v>0.0722474405746508</v>
      </c>
      <c r="D44" s="58" t="n">
        <f aca="false">C44+0.005+0.0055</f>
        <v>0.0827474405746508</v>
      </c>
      <c r="E44" s="15" t="n">
        <f aca="false">B44*D44/12</f>
        <v>124284.931838114</v>
      </c>
      <c r="F44" s="56" t="n">
        <f aca="false">E44</f>
        <v>124284.931838114</v>
      </c>
      <c r="G44" s="65" t="n">
        <f aca="false">F44-E44</f>
        <v>0</v>
      </c>
      <c r="H44" s="56" t="n">
        <f aca="false">B44-G44</f>
        <v>18023750</v>
      </c>
      <c r="J44" s="54" t="n">
        <f aca="false">A44</f>
        <v>37711</v>
      </c>
      <c r="K44" s="56" t="n">
        <f aca="false">O43</f>
        <v>1976250</v>
      </c>
      <c r="L44" s="46" t="n">
        <f aca="false">K44*$K$4/12</f>
        <v>24703.125</v>
      </c>
      <c r="M44" s="65" t="n">
        <f aca="false">M43</f>
        <v>24703.125</v>
      </c>
      <c r="N44" s="65" t="n">
        <f aca="false">M44-L44</f>
        <v>0</v>
      </c>
      <c r="O44" s="56" t="n">
        <f aca="false">K44-N44</f>
        <v>1976250</v>
      </c>
    </row>
    <row r="45" customFormat="false" ht="12.75" hidden="false" customHeight="false" outlineLevel="0" collapsed="false">
      <c r="A45" s="73" t="n">
        <v>37741</v>
      </c>
      <c r="B45" s="56" t="n">
        <f aca="false">H44</f>
        <v>18023750</v>
      </c>
      <c r="C45" s="28" t="n">
        <f aca="false">C44*(1+$C$5)</f>
        <v>0.0724280591760874</v>
      </c>
      <c r="D45" s="58" t="n">
        <f aca="false">C45+0.005+0.0055</f>
        <v>0.0829280591760874</v>
      </c>
      <c r="E45" s="15" t="n">
        <f aca="false">B45*D45/12</f>
        <v>124556.217214584</v>
      </c>
      <c r="F45" s="56" t="n">
        <f aca="false">E45</f>
        <v>124556.217214584</v>
      </c>
      <c r="G45" s="65" t="n">
        <f aca="false">F45-E45</f>
        <v>0</v>
      </c>
      <c r="H45" s="56" t="n">
        <f aca="false">B45-G45</f>
        <v>18023750</v>
      </c>
      <c r="J45" s="54" t="n">
        <f aca="false">A45</f>
        <v>37741</v>
      </c>
      <c r="K45" s="56" t="n">
        <f aca="false">O44</f>
        <v>1976250</v>
      </c>
      <c r="L45" s="46" t="n">
        <f aca="false">K45*$K$4/12</f>
        <v>24703.125</v>
      </c>
      <c r="M45" s="65" t="n">
        <f aca="false">M44</f>
        <v>24703.125</v>
      </c>
      <c r="N45" s="65" t="n">
        <f aca="false">M45-L45</f>
        <v>0</v>
      </c>
      <c r="O45" s="56" t="n">
        <f aca="false">K45-N45</f>
        <v>1976250</v>
      </c>
    </row>
    <row r="46" customFormat="false" ht="12.75" hidden="false" customHeight="false" outlineLevel="0" collapsed="false">
      <c r="A46" s="54" t="n">
        <v>37772</v>
      </c>
      <c r="B46" s="56" t="n">
        <f aca="false">H45</f>
        <v>18023750</v>
      </c>
      <c r="C46" s="28" t="n">
        <f aca="false">C45*(1+$C$5)</f>
        <v>0.0726091293240276</v>
      </c>
      <c r="D46" s="58" t="n">
        <f aca="false">C46+0.005+0.0055</f>
        <v>0.0831091293240276</v>
      </c>
      <c r="E46" s="15" t="n">
        <f aca="false">B46*D46/12</f>
        <v>124828.180804495</v>
      </c>
      <c r="F46" s="56" t="n">
        <f aca="false">E46</f>
        <v>124828.180804495</v>
      </c>
      <c r="G46" s="65" t="n">
        <f aca="false">F46-E46</f>
        <v>0</v>
      </c>
      <c r="H46" s="56" t="n">
        <f aca="false">B46-G46</f>
        <v>18023750</v>
      </c>
      <c r="J46" s="54" t="n">
        <f aca="false">A46</f>
        <v>37772</v>
      </c>
      <c r="K46" s="56" t="n">
        <f aca="false">O45</f>
        <v>1976250</v>
      </c>
      <c r="L46" s="46" t="n">
        <f aca="false">K46*$K$4/12</f>
        <v>24703.125</v>
      </c>
      <c r="M46" s="65" t="n">
        <f aca="false">M45</f>
        <v>24703.125</v>
      </c>
      <c r="N46" s="65" t="n">
        <f aca="false">M46-L46</f>
        <v>0</v>
      </c>
      <c r="O46" s="56" t="n">
        <f aca="false">K46-N46</f>
        <v>1976250</v>
      </c>
    </row>
    <row r="47" customFormat="false" ht="12.75" hidden="false" customHeight="false" outlineLevel="0" collapsed="false">
      <c r="A47" s="54" t="n">
        <v>37802</v>
      </c>
      <c r="B47" s="56" t="n">
        <f aca="false">H46</f>
        <v>18023750</v>
      </c>
      <c r="C47" s="28" t="n">
        <f aca="false">C46*(1+$C$5)</f>
        <v>0.0727906521473377</v>
      </c>
      <c r="D47" s="58" t="n">
        <f aca="false">C47+0.005+0.0055</f>
        <v>0.0832906521473377</v>
      </c>
      <c r="E47" s="15" t="n">
        <f aca="false">B47*D47/12</f>
        <v>125100.824303382</v>
      </c>
      <c r="F47" s="56" t="n">
        <f aca="false">E47</f>
        <v>125100.824303382</v>
      </c>
      <c r="G47" s="65" t="n">
        <f aca="false">F47-E47</f>
        <v>0</v>
      </c>
      <c r="H47" s="56" t="n">
        <f aca="false">B47-G47</f>
        <v>18023750</v>
      </c>
      <c r="J47" s="54" t="n">
        <f aca="false">A47</f>
        <v>37802</v>
      </c>
      <c r="K47" s="56" t="n">
        <f aca="false">O46</f>
        <v>1976250</v>
      </c>
      <c r="L47" s="46" t="n">
        <f aca="false">K47*$K$4/12</f>
        <v>24703.125</v>
      </c>
      <c r="M47" s="65" t="n">
        <f aca="false">M46</f>
        <v>24703.125</v>
      </c>
      <c r="N47" s="65" t="n">
        <f aca="false">M47-L47</f>
        <v>0</v>
      </c>
      <c r="O47" s="56" t="n">
        <f aca="false">K47-N47</f>
        <v>1976250</v>
      </c>
    </row>
    <row r="48" customFormat="false" ht="12.75" hidden="false" customHeight="false" outlineLevel="0" collapsed="false">
      <c r="A48" s="73" t="n">
        <v>37833</v>
      </c>
      <c r="B48" s="56" t="n">
        <f aca="false">H47</f>
        <v>18023750</v>
      </c>
      <c r="C48" s="28" t="n">
        <f aca="false">C47*(1+$C$5)</f>
        <v>0.072972628777706</v>
      </c>
      <c r="D48" s="58" t="n">
        <f aca="false">C48+0.005+0.0055</f>
        <v>0.0834726287777061</v>
      </c>
      <c r="E48" s="15" t="n">
        <f aca="false">B48*D48/12</f>
        <v>125374.149411015</v>
      </c>
      <c r="F48" s="56" t="n">
        <f aca="false">E48</f>
        <v>125374.149411015</v>
      </c>
      <c r="G48" s="65" t="n">
        <f aca="false">F48-E48</f>
        <v>0</v>
      </c>
      <c r="H48" s="56" t="n">
        <f aca="false">B48-G48</f>
        <v>18023750</v>
      </c>
      <c r="J48" s="54" t="n">
        <f aca="false">A48</f>
        <v>37833</v>
      </c>
      <c r="K48" s="56" t="n">
        <f aca="false">O47</f>
        <v>1976250</v>
      </c>
      <c r="L48" s="46" t="n">
        <f aca="false">K48*$K$4/12</f>
        <v>24703.125</v>
      </c>
      <c r="M48" s="65" t="n">
        <f aca="false">M47</f>
        <v>24703.125</v>
      </c>
      <c r="N48" s="65" t="n">
        <f aca="false">M48-L48</f>
        <v>0</v>
      </c>
      <c r="O48" s="56" t="n">
        <f aca="false">K48-N48</f>
        <v>1976250</v>
      </c>
    </row>
    <row r="49" customFormat="false" ht="12.75" hidden="false" customHeight="false" outlineLevel="0" collapsed="false">
      <c r="A49" s="54" t="n">
        <v>37864</v>
      </c>
      <c r="B49" s="56" t="n">
        <f aca="false">H48</f>
        <v>18023750</v>
      </c>
      <c r="C49" s="28" t="n">
        <f aca="false">C48*(1+$C$5)</f>
        <v>0.0731550603496503</v>
      </c>
      <c r="D49" s="58" t="n">
        <f aca="false">C49+0.005+0.0055</f>
        <v>0.0836550603496503</v>
      </c>
      <c r="E49" s="15" t="n">
        <f aca="false">B49*D49/12</f>
        <v>125648.157831418</v>
      </c>
      <c r="F49" s="56" t="n">
        <f aca="false">E49</f>
        <v>125648.157831418</v>
      </c>
      <c r="G49" s="65" t="n">
        <f aca="false">F49-E49</f>
        <v>0</v>
      </c>
      <c r="H49" s="56" t="n">
        <f aca="false">B49-G49</f>
        <v>18023750</v>
      </c>
      <c r="J49" s="54" t="n">
        <f aca="false">A49</f>
        <v>37864</v>
      </c>
      <c r="K49" s="56" t="n">
        <f aca="false">O48</f>
        <v>1976250</v>
      </c>
      <c r="L49" s="46" t="n">
        <f aca="false">K49*$K$4/12</f>
        <v>24703.125</v>
      </c>
      <c r="M49" s="65" t="n">
        <f aca="false">M48</f>
        <v>24703.125</v>
      </c>
      <c r="N49" s="65" t="n">
        <f aca="false">M49-L49</f>
        <v>0</v>
      </c>
      <c r="O49" s="56" t="n">
        <f aca="false">K49-N49</f>
        <v>1976250</v>
      </c>
    </row>
    <row r="50" customFormat="false" ht="12.75" hidden="false" customHeight="false" outlineLevel="0" collapsed="false">
      <c r="A50" s="54" t="n">
        <v>37894</v>
      </c>
      <c r="B50" s="56" t="n">
        <f aca="false">H49</f>
        <v>18023750</v>
      </c>
      <c r="C50" s="28" t="n">
        <f aca="false">C49*(1+$C$5)</f>
        <v>0.0733379480005244</v>
      </c>
      <c r="D50" s="58" t="n">
        <f aca="false">C50+0.005+0.0055</f>
        <v>0.0838379480005244</v>
      </c>
      <c r="E50" s="15" t="n">
        <f aca="false">B50*D50/12</f>
        <v>125922.851272871</v>
      </c>
      <c r="F50" s="56" t="n">
        <f aca="false">E50</f>
        <v>125922.851272871</v>
      </c>
      <c r="G50" s="65" t="n">
        <f aca="false">F50-E50</f>
        <v>0</v>
      </c>
      <c r="H50" s="56" t="n">
        <f aca="false">B50-G50</f>
        <v>18023750</v>
      </c>
      <c r="J50" s="54" t="n">
        <f aca="false">A50</f>
        <v>37894</v>
      </c>
      <c r="K50" s="56" t="n">
        <f aca="false">O49</f>
        <v>1976250</v>
      </c>
      <c r="L50" s="46" t="n">
        <f aca="false">K50*$K$4/12</f>
        <v>24703.125</v>
      </c>
      <c r="M50" s="65" t="n">
        <f aca="false">M49</f>
        <v>24703.125</v>
      </c>
      <c r="N50" s="65" t="n">
        <f aca="false">M50-L50</f>
        <v>0</v>
      </c>
      <c r="O50" s="56" t="n">
        <f aca="false">K50-N50</f>
        <v>1976250</v>
      </c>
    </row>
    <row r="51" customFormat="false" ht="12.75" hidden="false" customHeight="false" outlineLevel="0" collapsed="false">
      <c r="A51" s="73" t="n">
        <v>37925</v>
      </c>
      <c r="B51" s="56" t="n">
        <f aca="false">H50</f>
        <v>18023750</v>
      </c>
      <c r="C51" s="28" t="n">
        <f aca="false">C50*(1+$C$5)</f>
        <v>0.0735212928705257</v>
      </c>
      <c r="D51" s="58" t="n">
        <f aca="false">C51+0.005+0.0055</f>
        <v>0.0840212928705258</v>
      </c>
      <c r="E51" s="15" t="n">
        <f aca="false">B51*D51/12</f>
        <v>126198.231447928</v>
      </c>
      <c r="F51" s="56" t="n">
        <f aca="false">E51</f>
        <v>126198.231447928</v>
      </c>
      <c r="G51" s="65" t="n">
        <f aca="false">F51-E51</f>
        <v>0</v>
      </c>
      <c r="H51" s="56" t="n">
        <f aca="false">B51-G51</f>
        <v>18023750</v>
      </c>
      <c r="J51" s="54" t="n">
        <f aca="false">A51</f>
        <v>37925</v>
      </c>
      <c r="K51" s="56" t="n">
        <f aca="false">O50</f>
        <v>1976250</v>
      </c>
      <c r="L51" s="46" t="n">
        <f aca="false">K51*$K$4/12</f>
        <v>24703.125</v>
      </c>
      <c r="M51" s="65" t="n">
        <f aca="false">M50</f>
        <v>24703.125</v>
      </c>
      <c r="N51" s="65" t="n">
        <f aca="false">M51-L51</f>
        <v>0</v>
      </c>
      <c r="O51" s="56" t="n">
        <f aca="false">K51-N51</f>
        <v>1976250</v>
      </c>
    </row>
    <row r="52" customFormat="false" ht="12.75" hidden="false" customHeight="false" outlineLevel="0" collapsed="false">
      <c r="A52" s="54" t="n">
        <v>37955</v>
      </c>
      <c r="B52" s="56" t="n">
        <f aca="false">H51</f>
        <v>18023750</v>
      </c>
      <c r="C52" s="28" t="n">
        <f aca="false">C51*(1+$C$5)</f>
        <v>0.0737050961027021</v>
      </c>
      <c r="D52" s="58" t="n">
        <f aca="false">C52+0.005+0.0055</f>
        <v>0.0842050961027021</v>
      </c>
      <c r="E52" s="15" t="n">
        <f aca="false">B52*D52/12</f>
        <v>126474.300073423</v>
      </c>
      <c r="F52" s="56" t="n">
        <f aca="false">E52</f>
        <v>126474.300073423</v>
      </c>
      <c r="G52" s="65" t="n">
        <f aca="false">F52-E52</f>
        <v>0</v>
      </c>
      <c r="H52" s="56" t="n">
        <f aca="false">B52-G52</f>
        <v>18023750</v>
      </c>
      <c r="J52" s="54" t="n">
        <f aca="false">A52</f>
        <v>37955</v>
      </c>
      <c r="K52" s="56" t="n">
        <f aca="false">O51</f>
        <v>1976250</v>
      </c>
      <c r="L52" s="46" t="n">
        <f aca="false">K52*$K$4/12</f>
        <v>24703.125</v>
      </c>
      <c r="M52" s="65" t="n">
        <f aca="false">M51</f>
        <v>24703.125</v>
      </c>
      <c r="N52" s="65" t="n">
        <f aca="false">M52-L52</f>
        <v>0</v>
      </c>
      <c r="O52" s="56" t="n">
        <f aca="false">K52-N52</f>
        <v>1976250</v>
      </c>
    </row>
    <row r="53" customFormat="false" ht="12.75" hidden="false" customHeight="false" outlineLevel="0" collapsed="false">
      <c r="A53" s="54" t="n">
        <v>37986</v>
      </c>
      <c r="B53" s="56" t="n">
        <f aca="false">H52</f>
        <v>18023750</v>
      </c>
      <c r="C53" s="28" t="n">
        <f aca="false">C52*(1+$C$5)</f>
        <v>0.0738893588429588</v>
      </c>
      <c r="D53" s="58" t="n">
        <f aca="false">C53+0.005+0.0055</f>
        <v>0.0843893588429588</v>
      </c>
      <c r="E53" s="15" t="n">
        <f aca="false">B53*D53/12</f>
        <v>126751.058870482</v>
      </c>
      <c r="F53" s="56" t="n">
        <f aca="false">E53+B53</f>
        <v>18150501.0588705</v>
      </c>
      <c r="G53" s="65" t="n">
        <f aca="false">F53-E53</f>
        <v>18023750</v>
      </c>
      <c r="H53" s="56" t="n">
        <f aca="false">B53-G53</f>
        <v>0</v>
      </c>
      <c r="J53" s="54" t="n">
        <f aca="false">A53</f>
        <v>37986</v>
      </c>
      <c r="K53" s="56" t="n">
        <f aca="false">O52</f>
        <v>1976250</v>
      </c>
      <c r="L53" s="46" t="n">
        <f aca="false">K53*$K$4/12</f>
        <v>24703.125</v>
      </c>
      <c r="M53" s="46" t="n">
        <f aca="false">L53+N53</f>
        <v>2000953.125</v>
      </c>
      <c r="N53" s="56" t="n">
        <f aca="false">K53</f>
        <v>1976250</v>
      </c>
      <c r="O53" s="56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2" t="s">
        <v>119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Summary'!C5</f>
        <v>33832</v>
      </c>
      <c r="C4" s="15" t="n">
        <f aca="false">'Hawaii Summary'!F5</f>
        <v>18023750</v>
      </c>
      <c r="D4" s="15" t="n">
        <f aca="false">'Hawaii Summary'!G5</f>
        <v>18137725.1857639</v>
      </c>
      <c r="E4" s="15" t="n">
        <f aca="false">'Hawaii Summary'!H5</f>
        <v>1976250</v>
      </c>
      <c r="F4" s="28" t="n">
        <f aca="false">'Hawaii Summary'!I5</f>
        <v>0.15</v>
      </c>
      <c r="G4" s="15" t="n">
        <f aca="false">'Hawaii Summary'!J5</f>
        <v>243</v>
      </c>
      <c r="H4" s="15" t="n">
        <f aca="false">'Hawaii Summary'!K5</f>
        <v>2000129.6875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6.5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43981600</v>
      </c>
      <c r="C10" s="15" t="n">
        <f aca="false">B4*B7*'Notional Analysis'!C8</f>
        <v>142094400</v>
      </c>
      <c r="E10" s="0" t="s">
        <v>122</v>
      </c>
      <c r="G10" s="56" t="n">
        <f aca="false">B4*B6*'Notional Analysis'!C8</f>
        <v>43981600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20137854.8732639</v>
      </c>
      <c r="C11" s="15" t="n">
        <f aca="false">B11</f>
        <v>20137854.8732639</v>
      </c>
      <c r="E11" s="0" t="s">
        <v>124</v>
      </c>
      <c r="G11" s="75" t="n">
        <f aca="false">D4+H4</f>
        <v>20137854.8732639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0</v>
      </c>
      <c r="C12" s="15"/>
      <c r="G12" s="56" t="n">
        <f aca="false">G10-G11</f>
        <v>23843745.1267361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43981600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18137725.1857639</v>
      </c>
      <c r="C14" s="15" t="n">
        <f aca="false">B14</f>
        <v>18137725.1857639</v>
      </c>
      <c r="E14" s="0" t="s">
        <v>103</v>
      </c>
      <c r="F14" s="56" t="n">
        <f aca="false">B7*B4*'Notional Analysis'!C8</f>
        <v>142094400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42005350</v>
      </c>
      <c r="C15" s="15" t="n">
        <f aca="false">C10-E4+C12</f>
        <v>140118150</v>
      </c>
      <c r="F15" s="56"/>
      <c r="G15" s="56" t="n">
        <f aca="false">-F14+F13</f>
        <v>-98112800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23867624.8142361</v>
      </c>
      <c r="C16" s="76" t="n">
        <f aca="false">C15-C14</f>
        <v>121980424.814236</v>
      </c>
      <c r="D16" s="77" t="s">
        <v>129</v>
      </c>
      <c r="F16" s="56"/>
      <c r="G16" s="59" t="n">
        <f aca="false">G12-G15</f>
        <v>121956545.126736</v>
      </c>
      <c r="H16" s="56" t="n">
        <f aca="false">C16-G16</f>
        <v>23879.6875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140118150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98112800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B16-B19+B20</f>
        <v>121980424.814236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65" width="12.28"/>
    <col collapsed="false" customWidth="true" hidden="false" outlineLevel="0" max="7" min="7" style="65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65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2" t="s">
        <v>134</v>
      </c>
      <c r="F1" s="0"/>
      <c r="G1" s="65" t="s">
        <v>110</v>
      </c>
      <c r="H1" s="54" t="n">
        <f aca="false">'Credit Analysis'!B3</f>
        <v>36859</v>
      </c>
      <c r="K1" s="22" t="s">
        <v>135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0</v>
      </c>
      <c r="F2" s="0"/>
      <c r="G2" s="65" t="s">
        <v>112</v>
      </c>
      <c r="H2" s="54" t="n">
        <f aca="false">VLOOKUP(H1,BD_Debt,1)</f>
        <v>36859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Summary'!F6</f>
        <v>86971504</v>
      </c>
      <c r="D3" s="0" t="s">
        <v>71</v>
      </c>
      <c r="E3" s="15" t="n">
        <f aca="false">VLOOKUP($H$1,BD_Debt,8)</f>
        <v>86971504</v>
      </c>
      <c r="H3" s="54"/>
      <c r="J3" s="22" t="s">
        <v>72</v>
      </c>
      <c r="K3" s="15" t="n">
        <f aca="false">'Hawaii Summary'!H6</f>
        <v>3954146</v>
      </c>
      <c r="M3" s="0" t="s">
        <v>71</v>
      </c>
      <c r="N3" s="15" t="n">
        <f aca="false">VLOOKUP($H$1,BD_Equity,6)</f>
        <v>3954146</v>
      </c>
    </row>
    <row r="4" customFormat="false" ht="12.75" hidden="false" customHeight="false" outlineLevel="0" collapsed="false">
      <c r="A4" s="0" t="s">
        <v>16</v>
      </c>
      <c r="B4" s="54" t="n">
        <f aca="false">'Hawaii Summary'!B6</f>
        <v>36798</v>
      </c>
      <c r="D4" s="0" t="s">
        <v>113</v>
      </c>
      <c r="E4" s="80" t="n">
        <f aca="false">F4*$E$2/30</f>
        <v>0</v>
      </c>
      <c r="F4" s="65" t="n">
        <f aca="false">VLOOKUP($H$1+30,BD_Debt,5)</f>
        <v>569663.3512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0</v>
      </c>
      <c r="O4" s="65" t="n">
        <f aca="false">VLOOKUP($H$1+30,BD_Equity,3)</f>
        <v>49426.825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136</v>
      </c>
      <c r="E5" s="69" t="n">
        <f aca="false">E3+E4</f>
        <v>86971504</v>
      </c>
      <c r="H5" s="40"/>
      <c r="J5" s="22" t="s">
        <v>77</v>
      </c>
      <c r="K5" s="40" t="n">
        <f aca="false">COUNT(J8:J47)-1</f>
        <v>39</v>
      </c>
      <c r="M5" s="0" t="s">
        <v>137</v>
      </c>
      <c r="N5" s="59" t="n">
        <f aca="false">SUM(N3:N4)</f>
        <v>3954146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128721.892269827</v>
      </c>
    </row>
    <row r="7" customFormat="false" ht="25.5" hidden="false" customHeight="false" outlineLevel="0" collapsed="false">
      <c r="A7" s="63" t="s">
        <v>16</v>
      </c>
      <c r="B7" s="63" t="s">
        <v>81</v>
      </c>
      <c r="C7" s="81" t="s">
        <v>117</v>
      </c>
      <c r="D7" s="63" t="s">
        <v>118</v>
      </c>
      <c r="E7" s="63" t="s">
        <v>75</v>
      </c>
      <c r="F7" s="82" t="s">
        <v>80</v>
      </c>
      <c r="G7" s="82" t="s">
        <v>71</v>
      </c>
      <c r="H7" s="63" t="s">
        <v>82</v>
      </c>
      <c r="I7" s="63"/>
      <c r="J7" s="63" t="s">
        <v>16</v>
      </c>
      <c r="K7" s="63" t="s">
        <v>81</v>
      </c>
      <c r="L7" s="63" t="s">
        <v>75</v>
      </c>
      <c r="M7" s="82" t="s">
        <v>80</v>
      </c>
      <c r="N7" s="63" t="s">
        <v>71</v>
      </c>
      <c r="O7" s="63" t="s">
        <v>82</v>
      </c>
    </row>
    <row r="8" customFormat="false" ht="12.75" hidden="false" customHeight="false" outlineLevel="0" collapsed="false">
      <c r="A8" s="54" t="n">
        <f aca="false">B4</f>
        <v>36798</v>
      </c>
      <c r="B8" s="56" t="n">
        <f aca="false">B3</f>
        <v>86971504</v>
      </c>
      <c r="H8" s="56" t="n">
        <f aca="false">B8-G8</f>
        <v>86971504</v>
      </c>
      <c r="J8" s="54" t="n">
        <f aca="false">A8</f>
        <v>36798</v>
      </c>
      <c r="K8" s="15" t="n">
        <f aca="false">K3</f>
        <v>3954146</v>
      </c>
      <c r="N8" s="65" t="n">
        <f aca="false">M8-L8</f>
        <v>0</v>
      </c>
      <c r="O8" s="56" t="n">
        <f aca="false">K8-N8</f>
        <v>3954146</v>
      </c>
    </row>
    <row r="9" customFormat="false" ht="12.75" hidden="false" customHeight="false" outlineLevel="0" collapsed="false">
      <c r="A9" s="54" t="n">
        <v>36828</v>
      </c>
      <c r="B9" s="56" t="n">
        <f aca="false">H8</f>
        <v>86971504</v>
      </c>
      <c r="C9" s="28" t="n">
        <v>0.0672</v>
      </c>
      <c r="D9" s="58" t="n">
        <f aca="false">C9+0.005+0.0055</f>
        <v>0.0777</v>
      </c>
      <c r="E9" s="15" t="n">
        <f aca="false">B9*D9/12</f>
        <v>563140.4884</v>
      </c>
      <c r="F9" s="56" t="n">
        <f aca="false">E9</f>
        <v>563140.4884</v>
      </c>
      <c r="G9" s="65" t="n">
        <f aca="false">F9-E9</f>
        <v>0</v>
      </c>
      <c r="H9" s="56" t="n">
        <f aca="false">B9-G9</f>
        <v>86971504</v>
      </c>
      <c r="J9" s="54" t="n">
        <f aca="false">A9</f>
        <v>36828</v>
      </c>
      <c r="K9" s="56" t="n">
        <f aca="false">O8</f>
        <v>3954146</v>
      </c>
      <c r="L9" s="46" t="n">
        <f aca="false">K9*$K$4/12</f>
        <v>49426.825</v>
      </c>
      <c r="M9" s="46" t="n">
        <f aca="false">L9</f>
        <v>49426.825</v>
      </c>
      <c r="N9" s="65" t="n">
        <f aca="false">M9-L9</f>
        <v>0</v>
      </c>
      <c r="O9" s="56" t="n">
        <f aca="false">K9-N9</f>
        <v>3954146</v>
      </c>
    </row>
    <row r="10" customFormat="false" ht="12.75" hidden="false" customHeight="false" outlineLevel="0" collapsed="false">
      <c r="A10" s="54" t="n">
        <v>36859</v>
      </c>
      <c r="B10" s="56" t="n">
        <f aca="false">H9</f>
        <v>86971504</v>
      </c>
      <c r="C10" s="28" t="n">
        <v>0.068</v>
      </c>
      <c r="D10" s="58" t="n">
        <f aca="false">C10+0.005+0.0055</f>
        <v>0.0785</v>
      </c>
      <c r="E10" s="15" t="n">
        <f aca="false">B10*D10/12</f>
        <v>568938.588666667</v>
      </c>
      <c r="F10" s="56" t="n">
        <f aca="false">E10</f>
        <v>568938.588666667</v>
      </c>
      <c r="G10" s="65" t="n">
        <f aca="false">F10-E10</f>
        <v>0</v>
      </c>
      <c r="H10" s="56" t="n">
        <f aca="false">B10-G10</f>
        <v>86971504</v>
      </c>
      <c r="J10" s="54" t="n">
        <f aca="false">A10</f>
        <v>36859</v>
      </c>
      <c r="K10" s="56" t="n">
        <f aca="false">O9</f>
        <v>3954146</v>
      </c>
      <c r="L10" s="46" t="n">
        <f aca="false">K10*$K$4/12</f>
        <v>49426.825</v>
      </c>
      <c r="M10" s="65" t="n">
        <f aca="false">M9</f>
        <v>49426.825</v>
      </c>
      <c r="N10" s="65" t="n">
        <f aca="false">M10-L10</f>
        <v>0</v>
      </c>
      <c r="O10" s="56" t="n">
        <f aca="false">K10-N10</f>
        <v>3954146</v>
      </c>
    </row>
    <row r="11" customFormat="false" ht="12.75" hidden="false" customHeight="false" outlineLevel="0" collapsed="false">
      <c r="A11" s="54" t="n">
        <v>36889</v>
      </c>
      <c r="B11" s="56" t="n">
        <f aca="false">H10</f>
        <v>86971504</v>
      </c>
      <c r="C11" s="28" t="n">
        <v>0.0681</v>
      </c>
      <c r="D11" s="58" t="n">
        <f aca="false">C11+0.005+0.0055</f>
        <v>0.0786</v>
      </c>
      <c r="E11" s="15" t="n">
        <f aca="false">B11*D11/12</f>
        <v>569663.3512</v>
      </c>
      <c r="F11" s="56" t="n">
        <f aca="false">E11</f>
        <v>569663.3512</v>
      </c>
      <c r="G11" s="65" t="n">
        <f aca="false">F11-E11</f>
        <v>0</v>
      </c>
      <c r="H11" s="56" t="n">
        <f aca="false">B11-G11</f>
        <v>86971504</v>
      </c>
      <c r="J11" s="54" t="n">
        <f aca="false">A11</f>
        <v>36889</v>
      </c>
      <c r="K11" s="56" t="n">
        <f aca="false">O10</f>
        <v>3954146</v>
      </c>
      <c r="L11" s="46" t="n">
        <f aca="false">K11*$K$4/12</f>
        <v>49426.825</v>
      </c>
      <c r="M11" s="65" t="n">
        <f aca="false">M10</f>
        <v>49426.825</v>
      </c>
      <c r="N11" s="65" t="n">
        <f aca="false">M11-L11</f>
        <v>0</v>
      </c>
      <c r="O11" s="56" t="n">
        <f aca="false">K11-N11</f>
        <v>3954146</v>
      </c>
    </row>
    <row r="12" customFormat="false" ht="12.75" hidden="false" customHeight="false" outlineLevel="0" collapsed="false">
      <c r="A12" s="54" t="n">
        <v>36920</v>
      </c>
      <c r="B12" s="56" t="n">
        <f aca="false">H11</f>
        <v>86971504</v>
      </c>
      <c r="C12" s="28" t="n">
        <v>0.0683</v>
      </c>
      <c r="D12" s="58" t="n">
        <f aca="false">C12+0.005+0.0055</f>
        <v>0.0788</v>
      </c>
      <c r="E12" s="15" t="n">
        <f aca="false">B12*D12/12</f>
        <v>571112.876266667</v>
      </c>
      <c r="F12" s="56" t="n">
        <f aca="false">E12</f>
        <v>571112.876266667</v>
      </c>
      <c r="G12" s="65" t="n">
        <f aca="false">F12-E12</f>
        <v>0</v>
      </c>
      <c r="H12" s="56" t="n">
        <f aca="false">B12-G12</f>
        <v>86971504</v>
      </c>
      <c r="J12" s="54" t="n">
        <f aca="false">A12</f>
        <v>36920</v>
      </c>
      <c r="K12" s="56" t="n">
        <f aca="false">O11</f>
        <v>3954146</v>
      </c>
      <c r="L12" s="46" t="n">
        <f aca="false">K12*$K$4/12</f>
        <v>49426.825</v>
      </c>
      <c r="M12" s="65" t="n">
        <f aca="false">M11</f>
        <v>49426.825</v>
      </c>
      <c r="N12" s="65" t="n">
        <f aca="false">M12-L12</f>
        <v>0</v>
      </c>
      <c r="O12" s="56" t="n">
        <f aca="false">K12-N12</f>
        <v>3954146</v>
      </c>
    </row>
    <row r="13" customFormat="false" ht="12.75" hidden="false" customHeight="false" outlineLevel="0" collapsed="false">
      <c r="A13" s="54" t="n">
        <v>36950</v>
      </c>
      <c r="B13" s="56" t="n">
        <f aca="false">H12</f>
        <v>86971504</v>
      </c>
      <c r="C13" s="28" t="n">
        <v>0.0683</v>
      </c>
      <c r="D13" s="58" t="n">
        <f aca="false">C13+0.005+0.0055</f>
        <v>0.0788</v>
      </c>
      <c r="E13" s="15" t="n">
        <f aca="false">B13*D13/12</f>
        <v>571112.876266667</v>
      </c>
      <c r="F13" s="56" t="n">
        <f aca="false">E13</f>
        <v>571112.876266667</v>
      </c>
      <c r="G13" s="65" t="n">
        <f aca="false">F13-E13</f>
        <v>0</v>
      </c>
      <c r="H13" s="56" t="n">
        <f aca="false">B13-G13</f>
        <v>86971504</v>
      </c>
      <c r="J13" s="54" t="n">
        <f aca="false">A13</f>
        <v>36950</v>
      </c>
      <c r="K13" s="56" t="n">
        <f aca="false">O12</f>
        <v>3954146</v>
      </c>
      <c r="L13" s="46" t="n">
        <f aca="false">K13*$K$4/12</f>
        <v>49426.825</v>
      </c>
      <c r="M13" s="65" t="n">
        <f aca="false">M12</f>
        <v>49426.825</v>
      </c>
      <c r="N13" s="65" t="n">
        <f aca="false">M13-L13</f>
        <v>0</v>
      </c>
      <c r="O13" s="56" t="n">
        <f aca="false">K13-N13</f>
        <v>3954146</v>
      </c>
    </row>
    <row r="14" customFormat="false" ht="12.75" hidden="false" customHeight="false" outlineLevel="0" collapsed="false">
      <c r="A14" s="54" t="n">
        <v>36979</v>
      </c>
      <c r="B14" s="56" t="n">
        <f aca="false">H13</f>
        <v>86971504</v>
      </c>
      <c r="C14" s="28" t="n">
        <v>0.0683</v>
      </c>
      <c r="D14" s="58" t="n">
        <f aca="false">C14+0.005+0.0055</f>
        <v>0.0788</v>
      </c>
      <c r="E14" s="15" t="n">
        <f aca="false">B14*D14/12</f>
        <v>571112.876266667</v>
      </c>
      <c r="F14" s="56" t="n">
        <f aca="false">E14</f>
        <v>571112.876266667</v>
      </c>
      <c r="G14" s="65" t="n">
        <f aca="false">F14-E14</f>
        <v>0</v>
      </c>
      <c r="H14" s="56" t="n">
        <f aca="false">B14-G14</f>
        <v>86971504</v>
      </c>
      <c r="J14" s="54" t="n">
        <f aca="false">A14</f>
        <v>36979</v>
      </c>
      <c r="K14" s="56" t="n">
        <f aca="false">O13</f>
        <v>3954146</v>
      </c>
      <c r="L14" s="46" t="n">
        <f aca="false">K14*$K$4/12</f>
        <v>49426.825</v>
      </c>
      <c r="M14" s="65" t="n">
        <f aca="false">M13</f>
        <v>49426.825</v>
      </c>
      <c r="N14" s="65" t="n">
        <f aca="false">M14-L14</f>
        <v>0</v>
      </c>
      <c r="O14" s="56" t="n">
        <f aca="false">K14-N14</f>
        <v>3954146</v>
      </c>
    </row>
    <row r="15" customFormat="false" ht="12.75" hidden="false" customHeight="false" outlineLevel="0" collapsed="false">
      <c r="A15" s="54" t="n">
        <v>37010</v>
      </c>
      <c r="B15" s="56" t="n">
        <f aca="false">H14</f>
        <v>86971504</v>
      </c>
      <c r="C15" s="28" t="n">
        <v>0.0685</v>
      </c>
      <c r="D15" s="58" t="n">
        <f aca="false">C15+0.005+0.0055</f>
        <v>0.079</v>
      </c>
      <c r="E15" s="15" t="n">
        <f aca="false">B15*D15/12</f>
        <v>572562.401333334</v>
      </c>
      <c r="F15" s="56" t="n">
        <f aca="false">E15</f>
        <v>572562.401333334</v>
      </c>
      <c r="G15" s="65" t="n">
        <f aca="false">F15-E15</f>
        <v>0</v>
      </c>
      <c r="H15" s="56" t="n">
        <f aca="false">B15-G15</f>
        <v>86971504</v>
      </c>
      <c r="J15" s="54" t="n">
        <f aca="false">A15</f>
        <v>37010</v>
      </c>
      <c r="K15" s="56" t="n">
        <f aca="false">O14</f>
        <v>3954146</v>
      </c>
      <c r="L15" s="46" t="n">
        <f aca="false">K15*$K$4/12</f>
        <v>49426.825</v>
      </c>
      <c r="M15" s="65" t="n">
        <f aca="false">M14</f>
        <v>49426.825</v>
      </c>
      <c r="N15" s="65" t="n">
        <f aca="false">M15-L15</f>
        <v>0</v>
      </c>
      <c r="O15" s="56" t="n">
        <f aca="false">K15-N15</f>
        <v>3954146</v>
      </c>
    </row>
    <row r="16" customFormat="false" ht="12.75" hidden="false" customHeight="false" outlineLevel="0" collapsed="false">
      <c r="A16" s="54" t="n">
        <v>37040</v>
      </c>
      <c r="B16" s="56" t="n">
        <f aca="false">H15</f>
        <v>86971504</v>
      </c>
      <c r="C16" s="28" t="n">
        <v>0.0687</v>
      </c>
      <c r="D16" s="58" t="n">
        <f aca="false">C16+0.005+0.0055</f>
        <v>0.0792</v>
      </c>
      <c r="E16" s="15" t="n">
        <f aca="false">B16*D16/12</f>
        <v>574011.9264</v>
      </c>
      <c r="F16" s="56" t="n">
        <f aca="false">E16</f>
        <v>574011.9264</v>
      </c>
      <c r="G16" s="65" t="n">
        <f aca="false">F16-E16</f>
        <v>0</v>
      </c>
      <c r="H16" s="56" t="n">
        <f aca="false">B16-G16</f>
        <v>86971504</v>
      </c>
      <c r="J16" s="54" t="n">
        <f aca="false">A16</f>
        <v>37040</v>
      </c>
      <c r="K16" s="56" t="n">
        <f aca="false">O15</f>
        <v>3954146</v>
      </c>
      <c r="L16" s="46" t="n">
        <f aca="false">K16*$K$4/12</f>
        <v>49426.825</v>
      </c>
      <c r="M16" s="65" t="n">
        <f aca="false">M15</f>
        <v>49426.825</v>
      </c>
      <c r="N16" s="65" t="n">
        <f aca="false">M16-L16</f>
        <v>0</v>
      </c>
      <c r="O16" s="56" t="n">
        <f aca="false">K16-N16</f>
        <v>3954146</v>
      </c>
    </row>
    <row r="17" customFormat="false" ht="12.75" hidden="false" customHeight="false" outlineLevel="0" collapsed="false">
      <c r="A17" s="54" t="n">
        <v>37071</v>
      </c>
      <c r="B17" s="56" t="n">
        <f aca="false">H16</f>
        <v>86971504</v>
      </c>
      <c r="C17" s="28" t="n">
        <v>0.0689</v>
      </c>
      <c r="D17" s="58" t="n">
        <f aca="false">C17+0.005+0.0055</f>
        <v>0.0794</v>
      </c>
      <c r="E17" s="15" t="n">
        <f aca="false">B17*D17/12</f>
        <v>575461.451466667</v>
      </c>
      <c r="F17" s="56" t="n">
        <f aca="false">E17</f>
        <v>575461.451466667</v>
      </c>
      <c r="G17" s="65" t="n">
        <f aca="false">F17-E17</f>
        <v>0</v>
      </c>
      <c r="H17" s="56" t="n">
        <f aca="false">B17-G17</f>
        <v>86971504</v>
      </c>
      <c r="J17" s="54" t="n">
        <f aca="false">A17</f>
        <v>37071</v>
      </c>
      <c r="K17" s="56" t="n">
        <f aca="false">O16</f>
        <v>3954146</v>
      </c>
      <c r="L17" s="46" t="n">
        <f aca="false">K17*$K$4/12</f>
        <v>49426.825</v>
      </c>
      <c r="M17" s="65" t="n">
        <f aca="false">M16</f>
        <v>49426.825</v>
      </c>
      <c r="N17" s="65" t="n">
        <f aca="false">M17-L17</f>
        <v>0</v>
      </c>
      <c r="O17" s="56" t="n">
        <f aca="false">K17-N17</f>
        <v>3954146</v>
      </c>
    </row>
    <row r="18" customFormat="false" ht="12.75" hidden="false" customHeight="false" outlineLevel="0" collapsed="false">
      <c r="A18" s="54" t="n">
        <v>37101</v>
      </c>
      <c r="B18" s="56" t="n">
        <f aca="false">H17</f>
        <v>86971504</v>
      </c>
      <c r="C18" s="28" t="n">
        <v>0.0689</v>
      </c>
      <c r="D18" s="58" t="n">
        <f aca="false">C18+0.005+0.0055</f>
        <v>0.0794</v>
      </c>
      <c r="E18" s="15" t="n">
        <f aca="false">B18*D18/12</f>
        <v>575461.451466667</v>
      </c>
      <c r="F18" s="56" t="n">
        <f aca="false">E18</f>
        <v>575461.451466667</v>
      </c>
      <c r="G18" s="65" t="n">
        <f aca="false">F18-E18</f>
        <v>0</v>
      </c>
      <c r="H18" s="56" t="n">
        <f aca="false">B18-G18</f>
        <v>86971504</v>
      </c>
      <c r="J18" s="54" t="n">
        <f aca="false">A18</f>
        <v>37101</v>
      </c>
      <c r="K18" s="56" t="n">
        <f aca="false">O17</f>
        <v>3954146</v>
      </c>
      <c r="L18" s="46" t="n">
        <f aca="false">K18*$K$4/12</f>
        <v>49426.825</v>
      </c>
      <c r="M18" s="65" t="n">
        <f aca="false">M17</f>
        <v>49426.825</v>
      </c>
      <c r="N18" s="65" t="n">
        <f aca="false">M18-L18</f>
        <v>0</v>
      </c>
      <c r="O18" s="56" t="n">
        <f aca="false">K18-N18</f>
        <v>3954146</v>
      </c>
    </row>
    <row r="19" customFormat="false" ht="12.75" hidden="false" customHeight="false" outlineLevel="0" collapsed="false">
      <c r="A19" s="54" t="n">
        <v>37132</v>
      </c>
      <c r="B19" s="56" t="n">
        <f aca="false">H18</f>
        <v>86971504</v>
      </c>
      <c r="C19" s="28" t="n">
        <v>0.0689</v>
      </c>
      <c r="D19" s="58" t="n">
        <f aca="false">C19+0.005+0.0055</f>
        <v>0.0794</v>
      </c>
      <c r="E19" s="15" t="n">
        <f aca="false">B19*D19/12</f>
        <v>575461.451466667</v>
      </c>
      <c r="F19" s="56" t="n">
        <f aca="false">E19</f>
        <v>575461.451466667</v>
      </c>
      <c r="G19" s="65" t="n">
        <f aca="false">F19-E19</f>
        <v>0</v>
      </c>
      <c r="H19" s="56" t="n">
        <f aca="false">B19-G19</f>
        <v>86971504</v>
      </c>
      <c r="J19" s="54" t="n">
        <f aca="false">A19</f>
        <v>37132</v>
      </c>
      <c r="K19" s="56" t="n">
        <f aca="false">O18</f>
        <v>3954146</v>
      </c>
      <c r="L19" s="46" t="n">
        <f aca="false">K19*$K$4/12</f>
        <v>49426.825</v>
      </c>
      <c r="M19" s="65" t="n">
        <f aca="false">M18</f>
        <v>49426.825</v>
      </c>
      <c r="N19" s="65" t="n">
        <f aca="false">M19-L19</f>
        <v>0</v>
      </c>
      <c r="O19" s="56" t="n">
        <f aca="false">K19-N19</f>
        <v>3954146</v>
      </c>
    </row>
    <row r="20" customFormat="false" ht="12.75" hidden="false" customHeight="false" outlineLevel="0" collapsed="false">
      <c r="A20" s="54" t="n">
        <v>37163</v>
      </c>
      <c r="B20" s="56" t="n">
        <f aca="false">H19</f>
        <v>86971504</v>
      </c>
      <c r="C20" s="28" t="n">
        <f aca="false">C19*(1+$C$5)</f>
        <v>0.06907225</v>
      </c>
      <c r="D20" s="58" t="n">
        <f aca="false">C20+0.005+0.0055</f>
        <v>0.07957225</v>
      </c>
      <c r="E20" s="15" t="n">
        <f aca="false">B20*D20/12</f>
        <v>576709.854930333</v>
      </c>
      <c r="F20" s="56" t="n">
        <f aca="false">E20</f>
        <v>576709.854930333</v>
      </c>
      <c r="G20" s="65" t="n">
        <f aca="false">F20-E20</f>
        <v>0</v>
      </c>
      <c r="H20" s="56" t="n">
        <f aca="false">B20-G20</f>
        <v>86971504</v>
      </c>
      <c r="J20" s="54" t="n">
        <f aca="false">A20</f>
        <v>37163</v>
      </c>
      <c r="K20" s="56" t="n">
        <f aca="false">O19</f>
        <v>3954146</v>
      </c>
      <c r="L20" s="46" t="n">
        <f aca="false">K20*$K$4/12</f>
        <v>49426.825</v>
      </c>
      <c r="M20" s="65" t="n">
        <f aca="false">M19</f>
        <v>49426.825</v>
      </c>
      <c r="N20" s="65" t="n">
        <f aca="false">M20-L20</f>
        <v>0</v>
      </c>
      <c r="O20" s="56" t="n">
        <f aca="false">K20-N20</f>
        <v>3954146</v>
      </c>
    </row>
    <row r="21" customFormat="false" ht="12.75" hidden="false" customHeight="false" outlineLevel="0" collapsed="false">
      <c r="A21" s="54" t="n">
        <v>37193</v>
      </c>
      <c r="B21" s="56" t="n">
        <f aca="false">H20</f>
        <v>86971504</v>
      </c>
      <c r="C21" s="28" t="n">
        <f aca="false">C20*(1+$C$5)</f>
        <v>0.069244930625</v>
      </c>
      <c r="D21" s="58" t="n">
        <f aca="false">C21+0.005+0.0055</f>
        <v>0.079744930625</v>
      </c>
      <c r="E21" s="15" t="n">
        <f aca="false">B21*D21/12</f>
        <v>577961.379402659</v>
      </c>
      <c r="F21" s="56" t="n">
        <f aca="false">E21</f>
        <v>577961.379402659</v>
      </c>
      <c r="G21" s="65" t="n">
        <f aca="false">F21-E21</f>
        <v>0</v>
      </c>
      <c r="H21" s="56" t="n">
        <f aca="false">B21-G21</f>
        <v>86971504</v>
      </c>
      <c r="J21" s="54" t="n">
        <f aca="false">A21</f>
        <v>37193</v>
      </c>
      <c r="K21" s="56" t="n">
        <f aca="false">O20</f>
        <v>3954146</v>
      </c>
      <c r="L21" s="46" t="n">
        <f aca="false">K21*$K$4/12</f>
        <v>49426.825</v>
      </c>
      <c r="M21" s="65" t="n">
        <f aca="false">M20</f>
        <v>49426.825</v>
      </c>
      <c r="N21" s="65" t="n">
        <f aca="false">M21-L21</f>
        <v>0</v>
      </c>
      <c r="O21" s="56" t="n">
        <f aca="false">K21-N21</f>
        <v>3954146</v>
      </c>
    </row>
    <row r="22" customFormat="false" ht="12.75" hidden="false" customHeight="false" outlineLevel="0" collapsed="false">
      <c r="A22" s="54" t="n">
        <v>37224</v>
      </c>
      <c r="B22" s="56" t="n">
        <f aca="false">H21</f>
        <v>86971504</v>
      </c>
      <c r="C22" s="28" t="n">
        <f aca="false">C21*(1+$C$5)</f>
        <v>0.0694180429515625</v>
      </c>
      <c r="D22" s="58" t="n">
        <f aca="false">C22+0.005+0.0055</f>
        <v>0.0799180429515625</v>
      </c>
      <c r="E22" s="15" t="n">
        <f aca="false">B22*D22/12</f>
        <v>579216.032686166</v>
      </c>
      <c r="F22" s="56" t="n">
        <f aca="false">E22</f>
        <v>579216.032686166</v>
      </c>
      <c r="G22" s="65" t="n">
        <f aca="false">F22-E22</f>
        <v>0</v>
      </c>
      <c r="H22" s="56" t="n">
        <f aca="false">B22-G22</f>
        <v>86971504</v>
      </c>
      <c r="J22" s="54" t="n">
        <f aca="false">A22</f>
        <v>37224</v>
      </c>
      <c r="K22" s="56" t="n">
        <f aca="false">O21</f>
        <v>3954146</v>
      </c>
      <c r="L22" s="46" t="n">
        <f aca="false">K22*$K$4/12</f>
        <v>49426.825</v>
      </c>
      <c r="M22" s="65" t="n">
        <f aca="false">M21</f>
        <v>49426.825</v>
      </c>
      <c r="N22" s="65" t="n">
        <f aca="false">M22-L22</f>
        <v>0</v>
      </c>
      <c r="O22" s="56" t="n">
        <f aca="false">K22-N22</f>
        <v>3954146</v>
      </c>
    </row>
    <row r="23" customFormat="false" ht="12.75" hidden="false" customHeight="false" outlineLevel="0" collapsed="false">
      <c r="A23" s="54" t="n">
        <v>37254</v>
      </c>
      <c r="B23" s="56" t="n">
        <f aca="false">H22</f>
        <v>86971504</v>
      </c>
      <c r="C23" s="28" t="n">
        <f aca="false">C22*(1+$C$5)</f>
        <v>0.0695915880589414</v>
      </c>
      <c r="D23" s="58" t="n">
        <f aca="false">C23+0.005+0.0055</f>
        <v>0.0800915880589414</v>
      </c>
      <c r="E23" s="15" t="n">
        <f aca="false">B23*D23/12</f>
        <v>580473.822602881</v>
      </c>
      <c r="F23" s="56" t="n">
        <f aca="false">E23</f>
        <v>580473.822602881</v>
      </c>
      <c r="G23" s="65" t="n">
        <f aca="false">F23-E23</f>
        <v>0</v>
      </c>
      <c r="H23" s="56" t="n">
        <f aca="false">B23-G23</f>
        <v>86971504</v>
      </c>
      <c r="J23" s="54" t="n">
        <f aca="false">A23</f>
        <v>37254</v>
      </c>
      <c r="K23" s="56" t="n">
        <f aca="false">O22</f>
        <v>3954146</v>
      </c>
      <c r="L23" s="46" t="n">
        <f aca="false">K23*$K$4/12</f>
        <v>49426.825</v>
      </c>
      <c r="M23" s="65" t="n">
        <f aca="false">M22</f>
        <v>49426.825</v>
      </c>
      <c r="N23" s="65" t="n">
        <f aca="false">M23-L23</f>
        <v>0</v>
      </c>
      <c r="O23" s="56" t="n">
        <f aca="false">K23-N23</f>
        <v>3954146</v>
      </c>
    </row>
    <row r="24" customFormat="false" ht="12.75" hidden="false" customHeight="false" outlineLevel="0" collapsed="false">
      <c r="A24" s="54" t="n">
        <v>37285</v>
      </c>
      <c r="B24" s="56" t="n">
        <f aca="false">H23</f>
        <v>86971504</v>
      </c>
      <c r="C24" s="28" t="n">
        <f aca="false">C23*(1+$C$5)</f>
        <v>0.0697655670290888</v>
      </c>
      <c r="D24" s="58" t="n">
        <f aca="false">C24+0.005+0.0055</f>
        <v>0.0802655670290888</v>
      </c>
      <c r="E24" s="15" t="n">
        <f aca="false">B24*D24/12</f>
        <v>581734.756994389</v>
      </c>
      <c r="F24" s="56" t="n">
        <f aca="false">E24</f>
        <v>581734.756994389</v>
      </c>
      <c r="G24" s="65" t="n">
        <f aca="false">F24-E24</f>
        <v>0</v>
      </c>
      <c r="H24" s="56" t="n">
        <f aca="false">B24-G24</f>
        <v>86971504</v>
      </c>
      <c r="J24" s="54" t="n">
        <f aca="false">A24</f>
        <v>37285</v>
      </c>
      <c r="K24" s="56" t="n">
        <f aca="false">O23</f>
        <v>3954146</v>
      </c>
      <c r="L24" s="46" t="n">
        <f aca="false">K24*$K$4/12</f>
        <v>49426.825</v>
      </c>
      <c r="M24" s="65" t="n">
        <f aca="false">M23</f>
        <v>49426.825</v>
      </c>
      <c r="N24" s="65" t="n">
        <f aca="false">M24-L24</f>
        <v>0</v>
      </c>
      <c r="O24" s="56" t="n">
        <f aca="false">K24-N24</f>
        <v>3954146</v>
      </c>
    </row>
    <row r="25" customFormat="false" ht="12.75" hidden="false" customHeight="false" outlineLevel="0" collapsed="false">
      <c r="A25" s="54" t="n">
        <v>37315</v>
      </c>
      <c r="B25" s="56" t="n">
        <f aca="false">H24</f>
        <v>86971504</v>
      </c>
      <c r="C25" s="28" t="n">
        <f aca="false">C24*(1+$C$5)</f>
        <v>0.0699399809466615</v>
      </c>
      <c r="D25" s="58" t="n">
        <f aca="false">C25+0.005+0.0055</f>
        <v>0.0804399809466615</v>
      </c>
      <c r="E25" s="15" t="n">
        <f aca="false">B25*D25/12</f>
        <v>582998.843721875</v>
      </c>
      <c r="F25" s="56" t="n">
        <f aca="false">E25</f>
        <v>582998.843721875</v>
      </c>
      <c r="G25" s="65" t="n">
        <f aca="false">F25-E25</f>
        <v>0</v>
      </c>
      <c r="H25" s="56" t="n">
        <f aca="false">B25-G25</f>
        <v>86971504</v>
      </c>
      <c r="J25" s="54" t="n">
        <f aca="false">A25</f>
        <v>37315</v>
      </c>
      <c r="K25" s="56" t="n">
        <f aca="false">O24</f>
        <v>3954146</v>
      </c>
      <c r="L25" s="46" t="n">
        <f aca="false">K25*$K$4/12</f>
        <v>49426.825</v>
      </c>
      <c r="M25" s="65" t="n">
        <f aca="false">M24</f>
        <v>49426.825</v>
      </c>
      <c r="N25" s="65" t="n">
        <f aca="false">M25-L25</f>
        <v>0</v>
      </c>
      <c r="O25" s="56" t="n">
        <f aca="false">K25-N25</f>
        <v>3954146</v>
      </c>
    </row>
    <row r="26" customFormat="false" ht="12.75" hidden="false" customHeight="false" outlineLevel="0" collapsed="false">
      <c r="A26" s="54" t="n">
        <v>37344</v>
      </c>
      <c r="B26" s="56" t="n">
        <f aca="false">H25</f>
        <v>86971504</v>
      </c>
      <c r="C26" s="28" t="n">
        <f aca="false">C25*(1+$C$5)</f>
        <v>0.0701148308990281</v>
      </c>
      <c r="D26" s="58" t="n">
        <f aca="false">C26+0.005+0.0055</f>
        <v>0.0806148308990281</v>
      </c>
      <c r="E26" s="15" t="n">
        <f aca="false">B26*D26/12</f>
        <v>584266.090666179</v>
      </c>
      <c r="F26" s="56" t="n">
        <f aca="false">E26</f>
        <v>584266.090666179</v>
      </c>
      <c r="G26" s="65" t="n">
        <f aca="false">F26-E26</f>
        <v>0</v>
      </c>
      <c r="H26" s="56" t="n">
        <f aca="false">B26-G26</f>
        <v>86971504</v>
      </c>
      <c r="J26" s="54" t="n">
        <f aca="false">A26</f>
        <v>37344</v>
      </c>
      <c r="K26" s="56" t="n">
        <f aca="false">O25</f>
        <v>3954146</v>
      </c>
      <c r="L26" s="46" t="n">
        <f aca="false">K26*$K$4/12</f>
        <v>49426.825</v>
      </c>
      <c r="M26" s="65" t="n">
        <f aca="false">M25</f>
        <v>49426.825</v>
      </c>
      <c r="N26" s="65" t="n">
        <f aca="false">M26-L26</f>
        <v>0</v>
      </c>
      <c r="O26" s="56" t="n">
        <f aca="false">K26-N26</f>
        <v>3954146</v>
      </c>
    </row>
    <row r="27" customFormat="false" ht="12.75" hidden="false" customHeight="false" outlineLevel="0" collapsed="false">
      <c r="A27" s="54" t="n">
        <v>37375</v>
      </c>
      <c r="B27" s="56" t="n">
        <f aca="false">H26</f>
        <v>86971504</v>
      </c>
      <c r="C27" s="28" t="n">
        <f aca="false">C26*(1+$C$5)</f>
        <v>0.0702901179762757</v>
      </c>
      <c r="D27" s="58" t="n">
        <f aca="false">C27+0.005+0.0055</f>
        <v>0.0807901179762757</v>
      </c>
      <c r="E27" s="15" t="n">
        <f aca="false">B27*D27/12</f>
        <v>585536.505727845</v>
      </c>
      <c r="F27" s="56" t="n">
        <f aca="false">E27</f>
        <v>585536.505727845</v>
      </c>
      <c r="G27" s="65" t="n">
        <f aca="false">F27-E27</f>
        <v>0</v>
      </c>
      <c r="H27" s="56" t="n">
        <f aca="false">B27-G27</f>
        <v>86971504</v>
      </c>
      <c r="J27" s="54" t="n">
        <f aca="false">A27</f>
        <v>37375</v>
      </c>
      <c r="K27" s="56" t="n">
        <f aca="false">O26</f>
        <v>3954146</v>
      </c>
      <c r="L27" s="46" t="n">
        <f aca="false">K27*$K$4/12</f>
        <v>49426.825</v>
      </c>
      <c r="M27" s="65" t="n">
        <f aca="false">M26</f>
        <v>49426.825</v>
      </c>
      <c r="N27" s="65" t="n">
        <f aca="false">M27-L27</f>
        <v>0</v>
      </c>
      <c r="O27" s="56" t="n">
        <f aca="false">K27-N27</f>
        <v>3954146</v>
      </c>
    </row>
    <row r="28" customFormat="false" ht="12.75" hidden="false" customHeight="false" outlineLevel="0" collapsed="false">
      <c r="A28" s="54" t="n">
        <v>37405</v>
      </c>
      <c r="B28" s="56" t="n">
        <f aca="false">H27</f>
        <v>86971504</v>
      </c>
      <c r="C28" s="28" t="n">
        <f aca="false">C27*(1+$C$5)</f>
        <v>0.0704658432712164</v>
      </c>
      <c r="D28" s="58" t="n">
        <f aca="false">C28+0.005+0.0055</f>
        <v>0.0809658432712164</v>
      </c>
      <c r="E28" s="15" t="n">
        <f aca="false">B28*D28/12</f>
        <v>586810.096827164</v>
      </c>
      <c r="F28" s="56" t="n">
        <f aca="false">E28</f>
        <v>586810.096827164</v>
      </c>
      <c r="G28" s="65" t="n">
        <f aca="false">F28-E28</f>
        <v>0</v>
      </c>
      <c r="H28" s="56" t="n">
        <f aca="false">B28-G28</f>
        <v>86971504</v>
      </c>
      <c r="J28" s="54" t="n">
        <f aca="false">A28</f>
        <v>37405</v>
      </c>
      <c r="K28" s="56" t="n">
        <f aca="false">O27</f>
        <v>3954146</v>
      </c>
      <c r="L28" s="46" t="n">
        <f aca="false">K28*$K$4/12</f>
        <v>49426.825</v>
      </c>
      <c r="M28" s="65" t="n">
        <f aca="false">M27</f>
        <v>49426.825</v>
      </c>
      <c r="N28" s="65" t="n">
        <f aca="false">M28-L28</f>
        <v>0</v>
      </c>
      <c r="O28" s="56" t="n">
        <f aca="false">K28-N28</f>
        <v>3954146</v>
      </c>
    </row>
    <row r="29" customFormat="false" ht="12.75" hidden="false" customHeight="false" outlineLevel="0" collapsed="false">
      <c r="A29" s="54" t="n">
        <v>37436</v>
      </c>
      <c r="B29" s="56" t="n">
        <f aca="false">H28</f>
        <v>86971504</v>
      </c>
      <c r="C29" s="28" t="n">
        <f aca="false">C28*(1+$C$5)</f>
        <v>0.0706420078793944</v>
      </c>
      <c r="D29" s="58" t="n">
        <f aca="false">C29+0.005+0.0055</f>
        <v>0.0811420078793944</v>
      </c>
      <c r="E29" s="15" t="n">
        <f aca="false">B29*D29/12</f>
        <v>588086.871904232</v>
      </c>
      <c r="F29" s="56" t="n">
        <f aca="false">E29</f>
        <v>588086.871904232</v>
      </c>
      <c r="G29" s="65" t="n">
        <f aca="false">F29-E29</f>
        <v>0</v>
      </c>
      <c r="H29" s="56" t="n">
        <f aca="false">B29-G29</f>
        <v>86971504</v>
      </c>
      <c r="J29" s="54" t="n">
        <f aca="false">A29</f>
        <v>37436</v>
      </c>
      <c r="K29" s="56" t="n">
        <f aca="false">O28</f>
        <v>3954146</v>
      </c>
      <c r="L29" s="46" t="n">
        <f aca="false">K29*$K$4/12</f>
        <v>49426.825</v>
      </c>
      <c r="M29" s="65" t="n">
        <f aca="false">M28</f>
        <v>49426.825</v>
      </c>
      <c r="N29" s="65" t="n">
        <f aca="false">M29-L29</f>
        <v>0</v>
      </c>
      <c r="O29" s="56" t="n">
        <f aca="false">K29-N29</f>
        <v>3954146</v>
      </c>
    </row>
    <row r="30" customFormat="false" ht="12.75" hidden="false" customHeight="false" outlineLevel="0" collapsed="false">
      <c r="A30" s="54" t="n">
        <v>37466</v>
      </c>
      <c r="B30" s="56" t="n">
        <f aca="false">H29</f>
        <v>86971504</v>
      </c>
      <c r="C30" s="28" t="n">
        <f aca="false">C29*(1+$C$5)</f>
        <v>0.0708186128990929</v>
      </c>
      <c r="D30" s="58" t="n">
        <f aca="false">C30+0.005+0.0055</f>
        <v>0.0813186128990929</v>
      </c>
      <c r="E30" s="15" t="n">
        <f aca="false">B30*D30/12</f>
        <v>589366.838918993</v>
      </c>
      <c r="F30" s="56" t="n">
        <f aca="false">E30</f>
        <v>589366.838918993</v>
      </c>
      <c r="G30" s="65" t="n">
        <f aca="false">F30-E30</f>
        <v>0</v>
      </c>
      <c r="H30" s="56" t="n">
        <f aca="false">B30-G30</f>
        <v>86971504</v>
      </c>
      <c r="J30" s="54" t="n">
        <f aca="false">A30</f>
        <v>37466</v>
      </c>
      <c r="K30" s="56" t="n">
        <f aca="false">O29</f>
        <v>3954146</v>
      </c>
      <c r="L30" s="46" t="n">
        <f aca="false">K30*$K$4/12</f>
        <v>49426.825</v>
      </c>
      <c r="M30" s="65" t="n">
        <f aca="false">M29</f>
        <v>49426.825</v>
      </c>
      <c r="N30" s="65" t="n">
        <f aca="false">M30-L30</f>
        <v>0</v>
      </c>
      <c r="O30" s="56" t="n">
        <f aca="false">K30-N30</f>
        <v>3954146</v>
      </c>
    </row>
    <row r="31" customFormat="false" ht="12.75" hidden="false" customHeight="false" outlineLevel="0" collapsed="false">
      <c r="A31" s="54" t="n">
        <v>37497</v>
      </c>
      <c r="B31" s="56" t="n">
        <f aca="false">H30</f>
        <v>86971504</v>
      </c>
      <c r="C31" s="28" t="n">
        <f aca="false">C30*(1+$C$5)</f>
        <v>0.0709956594313407</v>
      </c>
      <c r="D31" s="58" t="n">
        <f aca="false">C31+0.005+0.0055</f>
        <v>0.0814956594313407</v>
      </c>
      <c r="E31" s="15" t="n">
        <f aca="false">B31*D31/12</f>
        <v>590650.00585129</v>
      </c>
      <c r="F31" s="56" t="n">
        <f aca="false">E31</f>
        <v>590650.00585129</v>
      </c>
      <c r="G31" s="65" t="n">
        <f aca="false">F31-E31</f>
        <v>0</v>
      </c>
      <c r="H31" s="56" t="n">
        <f aca="false">B31-G31</f>
        <v>86971504</v>
      </c>
      <c r="J31" s="54" t="n">
        <f aca="false">A31</f>
        <v>37497</v>
      </c>
      <c r="K31" s="56" t="n">
        <f aca="false">O30</f>
        <v>3954146</v>
      </c>
      <c r="L31" s="46" t="n">
        <f aca="false">K31*$K$4/12</f>
        <v>49426.825</v>
      </c>
      <c r="M31" s="65" t="n">
        <f aca="false">M30</f>
        <v>49426.825</v>
      </c>
      <c r="N31" s="65" t="n">
        <f aca="false">M31-L31</f>
        <v>0</v>
      </c>
      <c r="O31" s="56" t="n">
        <f aca="false">K31-N31</f>
        <v>3954146</v>
      </c>
    </row>
    <row r="32" customFormat="false" ht="12.75" hidden="false" customHeight="false" outlineLevel="0" collapsed="false">
      <c r="A32" s="54" t="n">
        <v>37528</v>
      </c>
      <c r="B32" s="56" t="n">
        <f aca="false">H31</f>
        <v>86971504</v>
      </c>
      <c r="C32" s="28" t="n">
        <f aca="false">C31*(1+$C$5)</f>
        <v>0.071173148579919</v>
      </c>
      <c r="D32" s="58" t="n">
        <f aca="false">C32+0.005+0.0055</f>
        <v>0.081673148579919</v>
      </c>
      <c r="E32" s="15" t="n">
        <f aca="false">B32*D32/12</f>
        <v>591936.380700918</v>
      </c>
      <c r="F32" s="56" t="n">
        <f aca="false">E32</f>
        <v>591936.380700918</v>
      </c>
      <c r="G32" s="65" t="n">
        <f aca="false">F32-E32</f>
        <v>0</v>
      </c>
      <c r="H32" s="56" t="n">
        <f aca="false">B32-G32</f>
        <v>86971504</v>
      </c>
      <c r="J32" s="54" t="n">
        <f aca="false">A32</f>
        <v>37528</v>
      </c>
      <c r="K32" s="56" t="n">
        <f aca="false">O31</f>
        <v>3954146</v>
      </c>
      <c r="L32" s="46" t="n">
        <f aca="false">K32*$K$4/12</f>
        <v>49426.825</v>
      </c>
      <c r="M32" s="65" t="n">
        <f aca="false">M31</f>
        <v>49426.825</v>
      </c>
      <c r="N32" s="65" t="n">
        <f aca="false">M32-L32</f>
        <v>0</v>
      </c>
      <c r="O32" s="56" t="n">
        <f aca="false">K32-N32</f>
        <v>3954146</v>
      </c>
    </row>
    <row r="33" customFormat="false" ht="12.75" hidden="false" customHeight="false" outlineLevel="0" collapsed="false">
      <c r="A33" s="54" t="n">
        <v>37558</v>
      </c>
      <c r="B33" s="56" t="n">
        <f aca="false">H32</f>
        <v>86971504</v>
      </c>
      <c r="C33" s="28" t="n">
        <f aca="false">C32*(1+$C$5)</f>
        <v>0.0713510814513688</v>
      </c>
      <c r="D33" s="58" t="n">
        <f aca="false">C33+0.005+0.0055</f>
        <v>0.0818510814513688</v>
      </c>
      <c r="E33" s="15" t="n">
        <f aca="false">B33*D33/12</f>
        <v>593225.971487671</v>
      </c>
      <c r="F33" s="56" t="n">
        <f aca="false">E33</f>
        <v>593225.971487671</v>
      </c>
      <c r="G33" s="65" t="n">
        <f aca="false">F33-E33</f>
        <v>0</v>
      </c>
      <c r="H33" s="56" t="n">
        <f aca="false">B33-G33</f>
        <v>86971504</v>
      </c>
      <c r="J33" s="54" t="n">
        <f aca="false">A33</f>
        <v>37558</v>
      </c>
      <c r="K33" s="56" t="n">
        <f aca="false">O32</f>
        <v>3954146</v>
      </c>
      <c r="L33" s="46" t="n">
        <f aca="false">K33*$K$4/12</f>
        <v>49426.825</v>
      </c>
      <c r="M33" s="65" t="n">
        <f aca="false">M32</f>
        <v>49426.825</v>
      </c>
      <c r="N33" s="65" t="n">
        <f aca="false">M33-L33</f>
        <v>0</v>
      </c>
      <c r="O33" s="56" t="n">
        <f aca="false">K33-N33</f>
        <v>3954146</v>
      </c>
    </row>
    <row r="34" customFormat="false" ht="12.75" hidden="false" customHeight="false" outlineLevel="0" collapsed="false">
      <c r="A34" s="54" t="n">
        <v>37589</v>
      </c>
      <c r="B34" s="56" t="n">
        <f aca="false">H33</f>
        <v>86971504</v>
      </c>
      <c r="C34" s="28" t="n">
        <f aca="false">C33*(1+$C$5)</f>
        <v>0.0715294591549972</v>
      </c>
      <c r="D34" s="58" t="n">
        <f aca="false">C34+0.005+0.0055</f>
        <v>0.0820294591549972</v>
      </c>
      <c r="E34" s="15" t="n">
        <f aca="false">B34*D34/12</f>
        <v>594518.78625139</v>
      </c>
      <c r="F34" s="56" t="n">
        <f aca="false">E34</f>
        <v>594518.78625139</v>
      </c>
      <c r="G34" s="65" t="n">
        <f aca="false">F34-E34</f>
        <v>0</v>
      </c>
      <c r="H34" s="56" t="n">
        <f aca="false">B34-G34</f>
        <v>86971504</v>
      </c>
      <c r="J34" s="54" t="n">
        <f aca="false">A34</f>
        <v>37589</v>
      </c>
      <c r="K34" s="56" t="n">
        <f aca="false">O33</f>
        <v>3954146</v>
      </c>
      <c r="L34" s="46" t="n">
        <f aca="false">K34*$K$4/12</f>
        <v>49426.825</v>
      </c>
      <c r="M34" s="65" t="n">
        <f aca="false">M33</f>
        <v>49426.825</v>
      </c>
      <c r="N34" s="65" t="n">
        <f aca="false">M34-L34</f>
        <v>0</v>
      </c>
      <c r="O34" s="56" t="n">
        <f aca="false">K34-N34</f>
        <v>3954146</v>
      </c>
    </row>
    <row r="35" customFormat="false" ht="12.75" hidden="false" customHeight="false" outlineLevel="0" collapsed="false">
      <c r="A35" s="54" t="n">
        <v>37619</v>
      </c>
      <c r="B35" s="56" t="n">
        <f aca="false">H34</f>
        <v>86971504</v>
      </c>
      <c r="C35" s="28" t="n">
        <f aca="false">C34*(1+$C$5)</f>
        <v>0.0717082828028847</v>
      </c>
      <c r="D35" s="58" t="n">
        <f aca="false">C35+0.005+0.0055</f>
        <v>0.0822082828028847</v>
      </c>
      <c r="E35" s="15" t="n">
        <f aca="false">B35*D35/12</f>
        <v>595814.833052018</v>
      </c>
      <c r="F35" s="56" t="n">
        <f aca="false">E35</f>
        <v>595814.833052018</v>
      </c>
      <c r="G35" s="65" t="n">
        <f aca="false">F35-E35</f>
        <v>0</v>
      </c>
      <c r="H35" s="56" t="n">
        <f aca="false">B35-G35</f>
        <v>86971504</v>
      </c>
      <c r="J35" s="54" t="n">
        <f aca="false">A35</f>
        <v>37619</v>
      </c>
      <c r="K35" s="56" t="n">
        <f aca="false">O34</f>
        <v>3954146</v>
      </c>
      <c r="L35" s="46" t="n">
        <f aca="false">K35*$K$4/12</f>
        <v>49426.825</v>
      </c>
      <c r="M35" s="65" t="n">
        <f aca="false">M34</f>
        <v>49426.825</v>
      </c>
      <c r="N35" s="65" t="n">
        <f aca="false">M35-L35</f>
        <v>0</v>
      </c>
      <c r="O35" s="56" t="n">
        <f aca="false">K35-N35</f>
        <v>3954146</v>
      </c>
    </row>
    <row r="36" customFormat="false" ht="12.75" hidden="false" customHeight="false" outlineLevel="0" collapsed="false">
      <c r="A36" s="54" t="n">
        <v>37650</v>
      </c>
      <c r="B36" s="56" t="n">
        <f aca="false">H35</f>
        <v>86971504</v>
      </c>
      <c r="C36" s="28" t="n">
        <f aca="false">C35*(1+$C$5)</f>
        <v>0.0718875535098919</v>
      </c>
      <c r="D36" s="58" t="n">
        <f aca="false">C36+0.005+0.0055</f>
        <v>0.0823875535098919</v>
      </c>
      <c r="E36" s="15" t="n">
        <f aca="false">B36*D36/12</f>
        <v>597114.119969648</v>
      </c>
      <c r="F36" s="56" t="n">
        <f aca="false">E36</f>
        <v>597114.119969648</v>
      </c>
      <c r="G36" s="65" t="n">
        <f aca="false">F36-E36</f>
        <v>0</v>
      </c>
      <c r="H36" s="56" t="n">
        <f aca="false">B36-G36</f>
        <v>86971504</v>
      </c>
      <c r="J36" s="54" t="n">
        <f aca="false">A36</f>
        <v>37650</v>
      </c>
      <c r="K36" s="56" t="n">
        <f aca="false">O35</f>
        <v>3954146</v>
      </c>
      <c r="L36" s="46" t="n">
        <f aca="false">K36*$K$4/12</f>
        <v>49426.825</v>
      </c>
      <c r="M36" s="65" t="n">
        <f aca="false">M35</f>
        <v>49426.825</v>
      </c>
      <c r="N36" s="65" t="n">
        <f aca="false">M36-L36</f>
        <v>0</v>
      </c>
      <c r="O36" s="56" t="n">
        <f aca="false">K36-N36</f>
        <v>3954146</v>
      </c>
    </row>
    <row r="37" customFormat="false" ht="12.75" hidden="false" customHeight="false" outlineLevel="0" collapsed="false">
      <c r="A37" s="54" t="n">
        <v>37680</v>
      </c>
      <c r="B37" s="56" t="n">
        <f aca="false">H36</f>
        <v>86971504</v>
      </c>
      <c r="C37" s="28" t="n">
        <f aca="false">C36*(1+$C$5)</f>
        <v>0.0720672723936666</v>
      </c>
      <c r="D37" s="58" t="n">
        <f aca="false">C37+0.005+0.0055</f>
        <v>0.0825672723936666</v>
      </c>
      <c r="E37" s="15" t="n">
        <f aca="false">B37*D37/12</f>
        <v>598416.655104572</v>
      </c>
      <c r="F37" s="56" t="n">
        <f aca="false">E37</f>
        <v>598416.655104572</v>
      </c>
      <c r="G37" s="65" t="n">
        <f aca="false">F37-E37</f>
        <v>0</v>
      </c>
      <c r="H37" s="56" t="n">
        <f aca="false">B37-G37</f>
        <v>86971504</v>
      </c>
      <c r="J37" s="54" t="n">
        <f aca="false">A37</f>
        <v>37680</v>
      </c>
      <c r="K37" s="56" t="n">
        <f aca="false">O36</f>
        <v>3954146</v>
      </c>
      <c r="L37" s="46" t="n">
        <f aca="false">K37*$K$4/12</f>
        <v>49426.825</v>
      </c>
      <c r="M37" s="65" t="n">
        <f aca="false">M36</f>
        <v>49426.825</v>
      </c>
      <c r="N37" s="65" t="n">
        <f aca="false">M37-L37</f>
        <v>0</v>
      </c>
      <c r="O37" s="56" t="n">
        <f aca="false">K37-N37</f>
        <v>3954146</v>
      </c>
    </row>
    <row r="38" customFormat="false" ht="12.75" hidden="false" customHeight="false" outlineLevel="0" collapsed="false">
      <c r="A38" s="54" t="n">
        <v>37709</v>
      </c>
      <c r="B38" s="56" t="n">
        <f aca="false">H37</f>
        <v>86971504</v>
      </c>
      <c r="C38" s="28" t="n">
        <f aca="false">C37*(1+$C$5)</f>
        <v>0.0722474405746508</v>
      </c>
      <c r="D38" s="58" t="n">
        <f aca="false">C38+0.005+0.0055</f>
        <v>0.0827474405746508</v>
      </c>
      <c r="E38" s="15" t="n">
        <f aca="false">B38*D38/12</f>
        <v>599722.446577334</v>
      </c>
      <c r="F38" s="56" t="n">
        <f aca="false">E38</f>
        <v>599722.446577334</v>
      </c>
      <c r="G38" s="65" t="n">
        <f aca="false">F38-E38</f>
        <v>0</v>
      </c>
      <c r="H38" s="56" t="n">
        <f aca="false">B38-G38</f>
        <v>86971504</v>
      </c>
      <c r="J38" s="54" t="n">
        <f aca="false">A38</f>
        <v>37709</v>
      </c>
      <c r="K38" s="56" t="n">
        <f aca="false">O37</f>
        <v>3954146</v>
      </c>
      <c r="L38" s="46" t="n">
        <f aca="false">K38*$K$4/12</f>
        <v>49426.825</v>
      </c>
      <c r="M38" s="65" t="n">
        <f aca="false">M37</f>
        <v>49426.825</v>
      </c>
      <c r="N38" s="65" t="n">
        <f aca="false">M38-L38</f>
        <v>0</v>
      </c>
      <c r="O38" s="56" t="n">
        <f aca="false">K38-N38</f>
        <v>3954146</v>
      </c>
    </row>
    <row r="39" customFormat="false" ht="12.75" hidden="false" customHeight="false" outlineLevel="0" collapsed="false">
      <c r="A39" s="54" t="n">
        <v>37740</v>
      </c>
      <c r="B39" s="56" t="n">
        <f aca="false">H38</f>
        <v>86971504</v>
      </c>
      <c r="C39" s="28" t="n">
        <f aca="false">C38*(1+$C$5)</f>
        <v>0.0724280591760874</v>
      </c>
      <c r="D39" s="58" t="n">
        <f aca="false">C39+0.005+0.0055</f>
        <v>0.0829280591760874</v>
      </c>
      <c r="E39" s="15" t="n">
        <f aca="false">B39*D39/12</f>
        <v>601031.502528777</v>
      </c>
      <c r="F39" s="56" t="n">
        <f aca="false">E39</f>
        <v>601031.502528777</v>
      </c>
      <c r="G39" s="65" t="n">
        <f aca="false">F39-E39</f>
        <v>0</v>
      </c>
      <c r="H39" s="56" t="n">
        <f aca="false">B39-G39</f>
        <v>86971504</v>
      </c>
      <c r="J39" s="54" t="n">
        <f aca="false">A39</f>
        <v>37740</v>
      </c>
      <c r="K39" s="56" t="n">
        <f aca="false">O38</f>
        <v>3954146</v>
      </c>
      <c r="L39" s="46" t="n">
        <f aca="false">K39*$K$4/12</f>
        <v>49426.825</v>
      </c>
      <c r="M39" s="65" t="n">
        <f aca="false">M38</f>
        <v>49426.825</v>
      </c>
      <c r="N39" s="65" t="n">
        <f aca="false">M39-L39</f>
        <v>0</v>
      </c>
      <c r="O39" s="56" t="n">
        <f aca="false">K39-N39</f>
        <v>3954146</v>
      </c>
    </row>
    <row r="40" customFormat="false" ht="12.75" hidden="false" customHeight="false" outlineLevel="0" collapsed="false">
      <c r="A40" s="54" t="n">
        <v>37770</v>
      </c>
      <c r="B40" s="56" t="n">
        <f aca="false">H39</f>
        <v>86971504</v>
      </c>
      <c r="C40" s="28" t="n">
        <f aca="false">C39*(1+$C$5)</f>
        <v>0.0726091293240276</v>
      </c>
      <c r="D40" s="58" t="n">
        <f aca="false">C40+0.005+0.0055</f>
        <v>0.0831091293240276</v>
      </c>
      <c r="E40" s="15" t="n">
        <f aca="false">B40*D40/12</f>
        <v>602343.831120099</v>
      </c>
      <c r="F40" s="56" t="n">
        <f aca="false">E40</f>
        <v>602343.831120099</v>
      </c>
      <c r="G40" s="65" t="n">
        <f aca="false">F40-E40</f>
        <v>0</v>
      </c>
      <c r="H40" s="56" t="n">
        <f aca="false">B40-G40</f>
        <v>86971504</v>
      </c>
      <c r="J40" s="54" t="n">
        <f aca="false">A40</f>
        <v>37770</v>
      </c>
      <c r="K40" s="56" t="n">
        <f aca="false">O39</f>
        <v>3954146</v>
      </c>
      <c r="L40" s="46" t="n">
        <f aca="false">K40*$K$4/12</f>
        <v>49426.825</v>
      </c>
      <c r="M40" s="65" t="n">
        <f aca="false">M39</f>
        <v>49426.825</v>
      </c>
      <c r="N40" s="65" t="n">
        <f aca="false">M40-L40</f>
        <v>0</v>
      </c>
      <c r="O40" s="56" t="n">
        <f aca="false">K40-N40</f>
        <v>3954146</v>
      </c>
    </row>
    <row r="41" customFormat="false" ht="12.75" hidden="false" customHeight="false" outlineLevel="0" collapsed="false">
      <c r="A41" s="54" t="n">
        <v>37801</v>
      </c>
      <c r="B41" s="56" t="n">
        <f aca="false">H40</f>
        <v>86971504</v>
      </c>
      <c r="C41" s="28" t="n">
        <f aca="false">C40*(1+$C$5)</f>
        <v>0.0727906521473377</v>
      </c>
      <c r="D41" s="58" t="n">
        <f aca="false">C41+0.005+0.0055</f>
        <v>0.0832906521473377</v>
      </c>
      <c r="E41" s="15" t="n">
        <f aca="false">B41*D41/12</f>
        <v>603659.440532899</v>
      </c>
      <c r="F41" s="56" t="n">
        <f aca="false">E41</f>
        <v>603659.440532899</v>
      </c>
      <c r="G41" s="65" t="n">
        <f aca="false">F41-E41</f>
        <v>0</v>
      </c>
      <c r="H41" s="56" t="n">
        <f aca="false">B41-G41</f>
        <v>86971504</v>
      </c>
      <c r="J41" s="54" t="n">
        <f aca="false">A41</f>
        <v>37801</v>
      </c>
      <c r="K41" s="56" t="n">
        <f aca="false">O40</f>
        <v>3954146</v>
      </c>
      <c r="L41" s="46" t="n">
        <f aca="false">K41*$K$4/12</f>
        <v>49426.825</v>
      </c>
      <c r="M41" s="65" t="n">
        <f aca="false">M40</f>
        <v>49426.825</v>
      </c>
      <c r="N41" s="65" t="n">
        <f aca="false">M41-L41</f>
        <v>0</v>
      </c>
      <c r="O41" s="56" t="n">
        <f aca="false">K41-N41</f>
        <v>3954146</v>
      </c>
    </row>
    <row r="42" customFormat="false" ht="12.75" hidden="false" customHeight="false" outlineLevel="0" collapsed="false">
      <c r="A42" s="54" t="n">
        <v>37831</v>
      </c>
      <c r="B42" s="56" t="n">
        <f aca="false">H41</f>
        <v>86971504</v>
      </c>
      <c r="C42" s="28" t="n">
        <f aca="false">C41*(1+$C$5)</f>
        <v>0.072972628777706</v>
      </c>
      <c r="D42" s="58" t="n">
        <f aca="false">C42+0.005+0.0055</f>
        <v>0.0834726287777061</v>
      </c>
      <c r="E42" s="15" t="n">
        <f aca="false">B42*D42/12</f>
        <v>604978.338969231</v>
      </c>
      <c r="F42" s="56" t="n">
        <f aca="false">E42</f>
        <v>604978.338969231</v>
      </c>
      <c r="G42" s="65" t="n">
        <f aca="false">F42-E42</f>
        <v>0</v>
      </c>
      <c r="H42" s="56" t="n">
        <f aca="false">B42-G42</f>
        <v>86971504</v>
      </c>
      <c r="J42" s="54" t="n">
        <f aca="false">A42</f>
        <v>37831</v>
      </c>
      <c r="K42" s="56" t="n">
        <f aca="false">O41</f>
        <v>3954146</v>
      </c>
      <c r="L42" s="46" t="n">
        <f aca="false">K42*$K$4/12</f>
        <v>49426.825</v>
      </c>
      <c r="M42" s="65" t="n">
        <f aca="false">M41</f>
        <v>49426.825</v>
      </c>
      <c r="N42" s="65" t="n">
        <f aca="false">M42-L42</f>
        <v>0</v>
      </c>
      <c r="O42" s="56" t="n">
        <f aca="false">K42-N42</f>
        <v>3954146</v>
      </c>
    </row>
    <row r="43" customFormat="false" ht="12.75" hidden="false" customHeight="false" outlineLevel="0" collapsed="false">
      <c r="A43" s="54" t="n">
        <v>37862</v>
      </c>
      <c r="B43" s="56" t="n">
        <f aca="false">H42</f>
        <v>86971504</v>
      </c>
      <c r="C43" s="28" t="n">
        <f aca="false">C42*(1+$C$5)</f>
        <v>0.0731550603496503</v>
      </c>
      <c r="D43" s="58" t="n">
        <f aca="false">C43+0.005+0.0055</f>
        <v>0.0836550603496503</v>
      </c>
      <c r="E43" s="15" t="n">
        <f aca="false">B43*D43/12</f>
        <v>606300.534651654</v>
      </c>
      <c r="F43" s="56" t="n">
        <f aca="false">E43</f>
        <v>606300.534651654</v>
      </c>
      <c r="G43" s="65" t="n">
        <f aca="false">F43-E43</f>
        <v>0</v>
      </c>
      <c r="H43" s="56" t="n">
        <f aca="false">B43-G43</f>
        <v>86971504</v>
      </c>
      <c r="J43" s="54" t="n">
        <f aca="false">A43</f>
        <v>37862</v>
      </c>
      <c r="K43" s="56" t="n">
        <f aca="false">O42</f>
        <v>3954146</v>
      </c>
      <c r="L43" s="46" t="n">
        <f aca="false">K43*$K$4/12</f>
        <v>49426.825</v>
      </c>
      <c r="M43" s="65" t="n">
        <f aca="false">M42</f>
        <v>49426.825</v>
      </c>
      <c r="N43" s="65" t="n">
        <f aca="false">M43-L43</f>
        <v>0</v>
      </c>
      <c r="O43" s="56" t="n">
        <f aca="false">K43-N43</f>
        <v>3954146</v>
      </c>
    </row>
    <row r="44" customFormat="false" ht="12.75" hidden="false" customHeight="false" outlineLevel="0" collapsed="false">
      <c r="A44" s="54" t="n">
        <v>37893</v>
      </c>
      <c r="B44" s="56" t="n">
        <f aca="false">H43</f>
        <v>86971504</v>
      </c>
      <c r="C44" s="28" t="n">
        <f aca="false">C43*(1+$C$5)</f>
        <v>0.0733379480005244</v>
      </c>
      <c r="D44" s="58" t="n">
        <f aca="false">C44+0.005+0.0055</f>
        <v>0.0838379480005244</v>
      </c>
      <c r="E44" s="15" t="n">
        <f aca="false">B44*D44/12</f>
        <v>607626.035823284</v>
      </c>
      <c r="F44" s="56" t="n">
        <f aca="false">E44</f>
        <v>607626.035823284</v>
      </c>
      <c r="G44" s="65" t="n">
        <f aca="false">F44-E44</f>
        <v>0</v>
      </c>
      <c r="H44" s="56" t="n">
        <f aca="false">B44-G44</f>
        <v>86971504</v>
      </c>
      <c r="J44" s="54" t="n">
        <f aca="false">A44</f>
        <v>37893</v>
      </c>
      <c r="K44" s="56" t="n">
        <f aca="false">O43</f>
        <v>3954146</v>
      </c>
      <c r="L44" s="46" t="n">
        <f aca="false">K44*$K$4/12</f>
        <v>49426.825</v>
      </c>
      <c r="M44" s="65" t="n">
        <f aca="false">M43</f>
        <v>49426.825</v>
      </c>
      <c r="N44" s="65" t="n">
        <f aca="false">M44-L44</f>
        <v>0</v>
      </c>
      <c r="O44" s="56" t="n">
        <f aca="false">K44-N44</f>
        <v>3954146</v>
      </c>
    </row>
    <row r="45" customFormat="false" ht="12.75" hidden="false" customHeight="false" outlineLevel="0" collapsed="false">
      <c r="A45" s="54" t="n">
        <v>37923</v>
      </c>
      <c r="B45" s="56" t="n">
        <f aca="false">H44</f>
        <v>86971504</v>
      </c>
      <c r="C45" s="28" t="n">
        <f aca="false">C44*(1+$C$5)</f>
        <v>0.0735212928705257</v>
      </c>
      <c r="D45" s="58" t="n">
        <f aca="false">C45+0.005+0.0055</f>
        <v>0.0840212928705258</v>
      </c>
      <c r="E45" s="15" t="n">
        <f aca="false">B45*D45/12</f>
        <v>608954.850747842</v>
      </c>
      <c r="F45" s="56" t="n">
        <f aca="false">E45</f>
        <v>608954.850747842</v>
      </c>
      <c r="G45" s="65" t="n">
        <f aca="false">F45-E45</f>
        <v>0</v>
      </c>
      <c r="H45" s="56" t="n">
        <f aca="false">B45-G45</f>
        <v>86971504</v>
      </c>
      <c r="J45" s="54" t="n">
        <f aca="false">A45</f>
        <v>37923</v>
      </c>
      <c r="K45" s="56" t="n">
        <f aca="false">O44</f>
        <v>3954146</v>
      </c>
      <c r="L45" s="46" t="n">
        <f aca="false">K45*$K$4/12</f>
        <v>49426.825</v>
      </c>
      <c r="M45" s="65" t="n">
        <f aca="false">M44</f>
        <v>49426.825</v>
      </c>
      <c r="N45" s="65" t="n">
        <f aca="false">M45-L45</f>
        <v>0</v>
      </c>
      <c r="O45" s="56" t="n">
        <f aca="false">K45-N45</f>
        <v>3954146</v>
      </c>
    </row>
    <row r="46" customFormat="false" ht="12.75" hidden="false" customHeight="false" outlineLevel="0" collapsed="false">
      <c r="A46" s="54" t="n">
        <v>37954</v>
      </c>
      <c r="B46" s="56" t="n">
        <f aca="false">H45</f>
        <v>86971504</v>
      </c>
      <c r="C46" s="28" t="n">
        <f aca="false">C45*(1+$C$5)</f>
        <v>0.0737050961027021</v>
      </c>
      <c r="D46" s="58" t="n">
        <f aca="false">C46+0.005+0.0055</f>
        <v>0.0842050961027021</v>
      </c>
      <c r="E46" s="15" t="n">
        <f aca="false">B46*D46/12</f>
        <v>610286.987709711</v>
      </c>
      <c r="F46" s="56" t="n">
        <f aca="false">E46</f>
        <v>610286.987709711</v>
      </c>
      <c r="G46" s="65" t="n">
        <f aca="false">F46-E46</f>
        <v>0</v>
      </c>
      <c r="H46" s="56" t="n">
        <f aca="false">B46-G46</f>
        <v>86971504</v>
      </c>
      <c r="J46" s="54" t="n">
        <f aca="false">A46</f>
        <v>37954</v>
      </c>
      <c r="K46" s="56" t="n">
        <f aca="false">O45</f>
        <v>3954146</v>
      </c>
      <c r="L46" s="46" t="n">
        <f aca="false">K46*$K$4/12</f>
        <v>49426.825</v>
      </c>
      <c r="M46" s="65" t="n">
        <f aca="false">M45</f>
        <v>49426.825</v>
      </c>
      <c r="N46" s="65" t="n">
        <f aca="false">M46-L46</f>
        <v>0</v>
      </c>
      <c r="O46" s="56" t="n">
        <f aca="false">K46-N46</f>
        <v>3954146</v>
      </c>
    </row>
    <row r="47" customFormat="false" ht="12.75" hidden="false" customHeight="false" outlineLevel="0" collapsed="false">
      <c r="A47" s="54" t="n">
        <v>37984</v>
      </c>
      <c r="B47" s="56" t="n">
        <f aca="false">H46</f>
        <v>86971504</v>
      </c>
      <c r="C47" s="28" t="n">
        <f aca="false">C46*(1+$C$5)</f>
        <v>0.0738893588429588</v>
      </c>
      <c r="D47" s="58" t="n">
        <f aca="false">C47+0.005+0.0055</f>
        <v>0.0843893588429588</v>
      </c>
      <c r="E47" s="15" t="n">
        <f aca="false">B47*D47/12</f>
        <v>611622.455013986</v>
      </c>
      <c r="F47" s="56" t="n">
        <f aca="false">E47+B47</f>
        <v>87583126.455014</v>
      </c>
      <c r="G47" s="65" t="n">
        <f aca="false">F47-E47</f>
        <v>86971504</v>
      </c>
      <c r="H47" s="56" t="n">
        <f aca="false">B47-G47</f>
        <v>0</v>
      </c>
      <c r="J47" s="54" t="n">
        <f aca="false">A47</f>
        <v>37984</v>
      </c>
      <c r="K47" s="56" t="n">
        <f aca="false">O46</f>
        <v>3954146</v>
      </c>
      <c r="L47" s="46" t="n">
        <f aca="false">K47*$K$4/12</f>
        <v>49426.825</v>
      </c>
      <c r="M47" s="46" t="n">
        <f aca="false">L47+K47</f>
        <v>4003572.825</v>
      </c>
      <c r="N47" s="65" t="n">
        <f aca="false">M47-L47</f>
        <v>3954146</v>
      </c>
      <c r="O47" s="56" t="n">
        <f aca="false">K47-N47</f>
        <v>0</v>
      </c>
    </row>
    <row r="48" customFormat="false" ht="12.75" hidden="false" customHeight="false" outlineLevel="0" collapsed="false">
      <c r="A48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gmckillo</cp:lastModifiedBy>
  <cp:lastPrinted>2000-11-07T17:20:20Z</cp:lastPrinted>
  <dcterms:modified xsi:type="dcterms:W3CDTF">2000-12-01T13:21:34Z</dcterms:modified>
  <cp:revision>0</cp:revision>
  <dc:subject/>
  <dc:title/>
</cp:coreProperties>
</file>