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8.xml.rels" ContentType="application/vnd.openxmlformats-package.relationships+xml"/>
  <Override PartName="/xl/worksheets/_rels/sheet2.xml.rels" ContentType="application/vnd.openxmlformats-package.relationships+xml"/>
  <Override PartName="/xl/worksheets/sheet8.xml" ContentType="application/vnd.openxmlformats-officedocument.spreadsheetml.worksheet+xml"/>
  <Override PartName="/xl/externalLinks/externalLink9.xml" ContentType="application/vnd.openxmlformats-officedocument.spreadsheetml.externalLink+xml"/>
  <Override PartName="/xl/externalLinks/_rels/externalLink11.xml.rels" ContentType="application/vnd.openxmlformats-package.relationships+xml"/>
  <Override PartName="/xl/externalLinks/_rels/externalLink5.xml.rels" ContentType="application/vnd.openxmlformats-package.relationships+xml"/>
  <Override PartName="/xl/externalLinks/_rels/externalLink6.xml.rels" ContentType="application/vnd.openxmlformats-package.relationships+xml"/>
  <Override PartName="/xl/externalLinks/_rels/externalLink10.xml.rels" ContentType="application/vnd.openxmlformats-package.relationships+xml"/>
  <Override PartName="/xl/externalLinks/_rels/externalLink4.xml.rels" ContentType="application/vnd.openxmlformats-package.relationships+xml"/>
  <Override PartName="/xl/externalLinks/_rels/externalLink9.xml.rels" ContentType="application/vnd.openxmlformats-package.relationships+xml"/>
  <Override PartName="/xl/externalLinks/_rels/externalLink13.xml.rels" ContentType="application/vnd.openxmlformats-package.relationships+xml"/>
  <Override PartName="/xl/externalLinks/_rels/externalLink8.xml.rels" ContentType="application/vnd.openxmlformats-package.relationships+xml"/>
  <Override PartName="/xl/externalLinks/_rels/externalLink12.xml.rels" ContentType="application/vnd.openxmlformats-package.relationships+xml"/>
  <Override PartName="/xl/externalLinks/_rels/externalLink7.xml.rels" ContentType="application/vnd.openxmlformats-package.relationships+xml"/>
  <Override PartName="/xl/externalLinks/_rels/externalLink18.xml.rels" ContentType="application/vnd.openxmlformats-package.relationships+xml"/>
  <Override PartName="/xl/externalLinks/_rels/externalLink1.xml.rels" ContentType="application/vnd.openxmlformats-package.relationships+xml"/>
  <Override PartName="/xl/externalLinks/_rels/externalLink17.xml.rels" ContentType="application/vnd.openxmlformats-package.relationships+xml"/>
  <Override PartName="/xl/externalLinks/_rels/externalLink16.xml.rels" ContentType="application/vnd.openxmlformats-package.relationships+xml"/>
  <Override PartName="/xl/externalLinks/_rels/externalLink15.xml.rels" ContentType="application/vnd.openxmlformats-package.relationships+xml"/>
  <Override PartName="/xl/externalLinks/_rels/externalLink14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3.xml.rels" ContentType="application/vnd.openxmlformats-package.relationships+xml"/>
  <Override PartName="/xl/externalLinks/externalLink8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6.xml" ContentType="application/vnd.openxmlformats-officedocument.spreadsheetml.externalLink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xl/drawings/vmlDrawing1.vml" ContentType="application/vnd.openxmlformats-officedocument.vmlDrawing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Non-res" sheetId="1" state="visible" r:id="rId3"/>
    <sheet name="G Price info" sheetId="2" state="visible" r:id="rId4"/>
    <sheet name="RTE" sheetId="3" state="visible" r:id="rId5"/>
    <sheet name="TOU Calcs" sheetId="4" state="visible" r:id="rId6"/>
    <sheet name="CAREsched" sheetId="5" state="visible" r:id="rId7"/>
    <sheet name="Non-CAREsched" sheetId="6" state="visible" r:id="rId8"/>
    <sheet name="Residential" sheetId="7" state="visible" r:id="rId9"/>
    <sheet name="ResUnadj" sheetId="8" state="visible" r:id="rId10"/>
  </sheets>
  <externalReferences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</externalReferences>
  <definedNames>
    <definedName function="false" hidden="false" localSheetId="4" name="_xlnm.Print_Area" vbProcedure="false">CAREsched!$C$3:$AG$70</definedName>
    <definedName function="false" hidden="false" localSheetId="4" name="_xlnm.Print_Titles" vbProcedure="false">CAREsched!$A:$B,CAREsched!$1:$2</definedName>
    <definedName function="false" hidden="false" localSheetId="1" name="_xlnm.Print_Area" vbProcedure="false">'G Price info'!$A$1:$O$47</definedName>
    <definedName function="false" hidden="false" localSheetId="5" name="_xlnm.Print_Area" vbProcedure="false">'Non-CAREsched'!$C$3:$AG$70</definedName>
    <definedName function="false" hidden="false" localSheetId="5" name="_xlnm.Print_Titles" vbProcedure="false">'Non-CAREsched'!$A:$B,'Non-CAREsched'!$1:$2</definedName>
    <definedName function="false" hidden="false" localSheetId="0" name="_xlnm.Print_Area" vbProcedure="false">'Non-res'!$A$1:$Q$246</definedName>
    <definedName function="false" hidden="false" localSheetId="0" name="_xlnm.Print_Titles" vbProcedure="false">'Non-res'!$1:$2</definedName>
    <definedName function="false" hidden="false" localSheetId="6" name="_xlnm.Print_Area" vbProcedure="false">Residential!$A$1:$Q$86</definedName>
    <definedName function="false" hidden="false" localSheetId="6" name="_xlnm.Print_Titles" vbProcedure="false">Residential!$A:$D,Residential!$1:$4</definedName>
    <definedName function="false" hidden="false" localSheetId="7" name="_xlnm.Print_Area" vbProcedure="false">ResUnadj!$A$1:$H$82</definedName>
    <definedName function="false" hidden="false" localSheetId="2" name="_xlnm.Print_Area" vbProcedure="false">RTE!$A$1:$L$30</definedName>
    <definedName function="false" hidden="false" localSheetId="3" name="_xlnm.Print_Area" vbProcedure="false">'TOU Calcs'!$A$1:$U$39</definedName>
    <definedName function="false" hidden="false" localSheetId="3" name="_xlnm.Print_Titles" vbProcedure="false">'TOU Calcs'!$A:$D</definedName>
    <definedName function="false" hidden="false" localSheetId="6" name="solver_adj" vbProcedure="false">#REF!</definedName>
    <definedName function="false" hidden="false" localSheetId="6" name="solver_cvg" vbProcedure="false">0.0001</definedName>
    <definedName function="false" hidden="false" localSheetId="6" name="solver_drv" vbProcedure="false">1</definedName>
    <definedName function="false" hidden="false" localSheetId="6" name="solver_est" vbProcedure="false">1</definedName>
    <definedName function="false" hidden="false" localSheetId="6" name="solver_itr" vbProcedure="false">100</definedName>
    <definedName function="false" hidden="false" localSheetId="6" name="solver_lhs1" vbProcedure="false">#REF!</definedName>
    <definedName function="false" hidden="false" localSheetId="6" name="solver_lhs2" vbProcedure="false">#REF!</definedName>
    <definedName function="false" hidden="false" localSheetId="6" name="solver_lhs3" vbProcedure="false">#REF!</definedName>
    <definedName function="false" hidden="false" localSheetId="6" name="solver_lhs4" vbProcedure="false">#REF!</definedName>
    <definedName function="false" hidden="false" localSheetId="6" name="solver_lin" vbProcedure="false">2</definedName>
    <definedName function="false" hidden="false" localSheetId="6" name="solver_neg" vbProcedure="false">2</definedName>
    <definedName function="false" hidden="false" localSheetId="6" name="solver_num" vbProcedure="false">0</definedName>
    <definedName function="false" hidden="false" localSheetId="6" name="solver_nwt" vbProcedure="false">1</definedName>
    <definedName function="false" hidden="false" localSheetId="6" name="solver_opt" vbProcedure="false">#REF!</definedName>
    <definedName function="false" hidden="false" localSheetId="6" name="solver_pre" vbProcedure="false">0.000001</definedName>
    <definedName function="false" hidden="false" localSheetId="6" name="solver_rel1" vbProcedure="false">2</definedName>
    <definedName function="false" hidden="false" localSheetId="6" name="solver_rel2" vbProcedure="false">2</definedName>
    <definedName function="false" hidden="false" localSheetId="6" name="solver_rel3" vbProcedure="false">1</definedName>
    <definedName function="false" hidden="false" localSheetId="6" name="solver_rel4" vbProcedure="false">1</definedName>
    <definedName function="false" hidden="false" localSheetId="6" name="solver_rhs1" vbProcedure="false">#REF!</definedName>
    <definedName function="false" hidden="false" localSheetId="6" name="solver_rhs2" vbProcedure="false">74525137</definedName>
    <definedName function="false" hidden="false" localSheetId="6" name="solver_rhs3" vbProcedure="false">1.1</definedName>
    <definedName function="false" hidden="false" localSheetId="6" name="solver_rhs4" vbProcedure="false">1.5</definedName>
    <definedName function="false" hidden="false" localSheetId="6" name="solver_scl" vbProcedure="false">2</definedName>
    <definedName function="false" hidden="false" localSheetId="6" name="solver_sho" vbProcedure="false">2</definedName>
    <definedName function="false" hidden="false" localSheetId="6" name="solver_tim" vbProcedure="false">100</definedName>
    <definedName function="false" hidden="false" localSheetId="6" name="solver_tol" vbProcedure="false">0.05</definedName>
    <definedName function="false" hidden="false" localSheetId="6" name="solver_typ" vbProcedure="false">3</definedName>
    <definedName function="false" hidden="false" localSheetId="6" name="solver_val" vbProcedure="false">308991132</definedName>
  </definedNames>
  <calcPr iterateCount="100" refMode="A1" iterate="true" iterateDelta="0.001"/>
  <extLst>
    <ext xmlns:loext="http://schemas.libreoffice.org/" uri="{7626C862-2A13-11E5-B345-FEFF819CDC9F}">
      <loext:extCalcPr stringRefSyntax="CalcA1"/>
    </ext>
  </extLst>
</workbook>
</file>

<file path=xl/comments2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19" authorId="0">
      <text>
        <r>
          <rPr>
            <sz val="8"/>
            <color rgb="FF000000"/>
            <rFont val="Tahoma"/>
            <family val="0"/>
          </rPr>
          <t xml:space="preserve">Begin participating in BF market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16</xdr:colOff>
                <xdr:row>17</xdr:row>
                <xdr:rowOff>8</xdr:rowOff>
              </xdr:from>
              <xdr:to>
                <xdr:col>2</xdr:col>
                <xdr:colOff>81</xdr:colOff>
                <xdr:row>21</xdr:row>
                <xdr:rowOff>13</xdr:rowOff>
              </xdr:to>
            </anchor>
          </commentPr>
        </mc:Choice>
        <mc:Fallback/>
      </mc:AlternateContent>
    </comment>
    <comment ref="A21" authorId="0">
      <text>
        <r>
          <rPr>
            <sz val="8"/>
            <color rgb="FF000000"/>
            <rFont val="Tahoma"/>
            <family val="0"/>
          </rPr>
          <t xml:space="preserve">No BF participation for month of October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16</xdr:colOff>
                <xdr:row>19</xdr:row>
                <xdr:rowOff>8</xdr:rowOff>
              </xdr:from>
              <xdr:to>
                <xdr:col>2</xdr:col>
                <xdr:colOff>81</xdr:colOff>
                <xdr:row>23</xdr:row>
                <xdr:rowOff>13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<sst xmlns="http://schemas.openxmlformats.org/spreadsheetml/2006/main" count="1158" uniqueCount="234">
  <si>
    <t xml:space="preserve">Sales (kWh)</t>
  </si>
  <si>
    <t xml:space="preserve">Frozen Rate</t>
  </si>
  <si>
    <t xml:space="preserve">EEPS</t>
  </si>
  <si>
    <t xml:space="preserve">Current Rates</t>
  </si>
  <si>
    <t xml:space="preserve">Rev @ PR</t>
  </si>
  <si>
    <t xml:space="preserve">% Tr 1</t>
  </si>
  <si>
    <t xml:space="preserve">Proposed Incr</t>
  </si>
  <si>
    <t xml:space="preserve">Proposed Rates</t>
  </si>
  <si>
    <t xml:space="preserve">Schedule</t>
  </si>
  <si>
    <t xml:space="preserve">TY2001</t>
  </si>
  <si>
    <t xml:space="preserve">(w/ EEPS)</t>
  </si>
  <si>
    <t xml:space="preserve">incl. EEPS</t>
  </si>
  <si>
    <t xml:space="preserve">Rev Incr</t>
  </si>
  <si>
    <t xml:space="preserve">% Tr 2</t>
  </si>
  <si>
    <t xml:space="preserve">A-1</t>
  </si>
  <si>
    <t xml:space="preserve">Energy</t>
  </si>
  <si>
    <t xml:space="preserve">Smr</t>
  </si>
  <si>
    <t xml:space="preserve">Tier 1</t>
  </si>
  <si>
    <t xml:space="preserve">Tier 2</t>
  </si>
  <si>
    <t xml:space="preserve">Wtr</t>
  </si>
  <si>
    <t xml:space="preserve">Total</t>
  </si>
  <si>
    <t xml:space="preserve">A-6</t>
  </si>
  <si>
    <t xml:space="preserve">Peak</t>
  </si>
  <si>
    <t xml:space="preserve">Partial-Peak</t>
  </si>
  <si>
    <t xml:space="preserve">Off-Peak</t>
  </si>
  <si>
    <t xml:space="preserve">Partial Peak</t>
  </si>
  <si>
    <t xml:space="preserve">A-15</t>
  </si>
  <si>
    <t xml:space="preserve">TC-1</t>
  </si>
  <si>
    <t xml:space="preserve">A-10T</t>
  </si>
  <si>
    <t xml:space="preserve">A-10P</t>
  </si>
  <si>
    <t xml:space="preserve">A-10S</t>
  </si>
  <si>
    <t xml:space="preserve">E-19T</t>
  </si>
  <si>
    <t xml:space="preserve">On Peak</t>
  </si>
  <si>
    <t xml:space="preserve">F/NF/V</t>
  </si>
  <si>
    <t xml:space="preserve">Part Peak</t>
  </si>
  <si>
    <t xml:space="preserve">Off Peak</t>
  </si>
  <si>
    <t xml:space="preserve">E-19P</t>
  </si>
  <si>
    <t xml:space="preserve">E-19S</t>
  </si>
  <si>
    <t xml:space="preserve">A-RTP</t>
  </si>
  <si>
    <t xml:space="preserve">E-20T</t>
  </si>
  <si>
    <t xml:space="preserve">F/NF</t>
  </si>
  <si>
    <t xml:space="preserve">E-20P</t>
  </si>
  <si>
    <t xml:space="preserve">E-20S</t>
  </si>
  <si>
    <t xml:space="preserve">Stby T</t>
  </si>
  <si>
    <t xml:space="preserve">Stby P</t>
  </si>
  <si>
    <t xml:space="preserve">Stby S</t>
  </si>
  <si>
    <t xml:space="preserve">LS-1,2,3</t>
  </si>
  <si>
    <t xml:space="preserve">OL-1</t>
  </si>
  <si>
    <t xml:space="preserve">AG-1A</t>
  </si>
  <si>
    <t xml:space="preserve">AG-RA</t>
  </si>
  <si>
    <t xml:space="preserve">AG-VA</t>
  </si>
  <si>
    <t xml:space="preserve">AG-4A</t>
  </si>
  <si>
    <t xml:space="preserve">AG-5A</t>
  </si>
  <si>
    <t xml:space="preserve">AG-1B</t>
  </si>
  <si>
    <t xml:space="preserve">AG-RB</t>
  </si>
  <si>
    <t xml:space="preserve">AG-VB</t>
  </si>
  <si>
    <t xml:space="preserve">AG-4B</t>
  </si>
  <si>
    <t xml:space="preserve">AG-4C</t>
  </si>
  <si>
    <t xml:space="preserve">AG-5B</t>
  </si>
  <si>
    <t xml:space="preserve">AG-5C</t>
  </si>
  <si>
    <t xml:space="preserve">Source</t>
  </si>
  <si>
    <t xml:space="preserve">Share</t>
  </si>
  <si>
    <t xml:space="preserve">cents/kWh</t>
  </si>
  <si>
    <t xml:space="preserve">PG&amp;E</t>
  </si>
  <si>
    <t xml:space="preserve">QFs</t>
  </si>
  <si>
    <t xml:space="preserve">DWR (long-term)</t>
  </si>
  <si>
    <t xml:space="preserve">ISO-RT</t>
  </si>
  <si>
    <t xml:space="preserve">Part-Peak</t>
  </si>
  <si>
    <t xml:space="preserve">January</t>
  </si>
  <si>
    <t xml:space="preserve">February</t>
  </si>
  <si>
    <t xml:space="preserve">March</t>
  </si>
  <si>
    <t xml:space="preserve">April</t>
  </si>
  <si>
    <t xml:space="preserve">May</t>
  </si>
  <si>
    <t xml:space="preserve">June</t>
  </si>
  <si>
    <t xml:space="preserve">July</t>
  </si>
  <si>
    <t xml:space="preserve">August</t>
  </si>
  <si>
    <t xml:space="preserve">September</t>
  </si>
  <si>
    <t xml:space="preserve">October</t>
  </si>
  <si>
    <t xml:space="preserve">November</t>
  </si>
  <si>
    <t xml:space="preserve">December</t>
  </si>
  <si>
    <t xml:space="preserve">Straight Avgs</t>
  </si>
  <si>
    <t xml:space="preserve">Smr Peak</t>
  </si>
  <si>
    <t xml:space="preserve">Smr PPeak</t>
  </si>
  <si>
    <t xml:space="preserve">Smr OPeak</t>
  </si>
  <si>
    <t xml:space="preserve">wtd avg 2000</t>
  </si>
  <si>
    <t xml:space="preserve">Wtr PPeak</t>
  </si>
  <si>
    <t xml:space="preserve">Wtr OPeak</t>
  </si>
  <si>
    <t xml:space="preserve">T&amp;D int.</t>
  </si>
  <si>
    <t xml:space="preserve">5-period prices</t>
  </si>
  <si>
    <t xml:space="preserve">AMB cents/kWh</t>
  </si>
  <si>
    <r>
      <rPr>
        <sz val="8"/>
        <rFont val="Arial"/>
        <family val="2"/>
      </rPr>
      <t xml:space="preserve">wtd avg cents/kWh </t>
    </r>
    <r>
      <rPr>
        <b val="true"/>
        <sz val="8"/>
        <rFont val="Arial"/>
        <family val="2"/>
      </rPr>
      <t xml:space="preserve">2000</t>
    </r>
  </si>
  <si>
    <r>
      <rPr>
        <sz val="8"/>
        <rFont val="Arial"/>
        <family val="2"/>
      </rPr>
      <t xml:space="preserve">wtd avg cents/kWh </t>
    </r>
    <r>
      <rPr>
        <b val="true"/>
        <sz val="8"/>
        <rFont val="Arial"/>
        <family val="2"/>
      </rPr>
      <t xml:space="preserve">1999</t>
    </r>
  </si>
  <si>
    <t xml:space="preserve">wtd avg cents/kWh for portfolio</t>
  </si>
  <si>
    <t xml:space="preserve">Overall Average</t>
  </si>
  <si>
    <t xml:space="preserve">Ratios to Smr Peak</t>
  </si>
  <si>
    <t xml:space="preserve">Date</t>
  </si>
  <si>
    <t xml:space="preserve">Total MW</t>
  </si>
  <si>
    <t xml:space="preserve">avg $/MW</t>
  </si>
  <si>
    <t xml:space="preserve">AS-BID</t>
  </si>
  <si>
    <t xml:space="preserve">Daily Average MCP</t>
  </si>
  <si>
    <t xml:space="preserve">Daily Average Out of Market</t>
  </si>
  <si>
    <t xml:space="preserve">Billing</t>
  </si>
  <si>
    <t xml:space="preserve">Current</t>
  </si>
  <si>
    <t xml:space="preserve">Proposed</t>
  </si>
  <si>
    <t xml:space="preserve">Determinants</t>
  </si>
  <si>
    <t xml:space="preserve">Gen Rates</t>
  </si>
  <si>
    <t xml:space="preserve">Total Gen</t>
  </si>
  <si>
    <t xml:space="preserve">TOU Gen</t>
  </si>
  <si>
    <t xml:space="preserve">Revenue</t>
  </si>
  <si>
    <t xml:space="preserve">Increase to</t>
  </si>
  <si>
    <t xml:space="preserve">En + Cap</t>
  </si>
  <si>
    <t xml:space="preserve">Gen</t>
  </si>
  <si>
    <t xml:space="preserve">(En + Cap)</t>
  </si>
  <si>
    <t xml:space="preserve">ESR</t>
  </si>
  <si>
    <t xml:space="preserve">Rates</t>
  </si>
  <si>
    <t xml:space="preserve">Revenues</t>
  </si>
  <si>
    <t xml:space="preserve">$/kWh</t>
  </si>
  <si>
    <t xml:space="preserve">Increase</t>
  </si>
  <si>
    <t xml:space="preserve">Peak Price</t>
  </si>
  <si>
    <t xml:space="preserve">TOU prices</t>
  </si>
  <si>
    <t xml:space="preserve">Demand</t>
  </si>
  <si>
    <t xml:space="preserve">Max</t>
  </si>
  <si>
    <t xml:space="preserve">Total En + Cap</t>
  </si>
  <si>
    <t xml:space="preserve">Con Ld</t>
  </si>
  <si>
    <t xml:space="preserve">Sched</t>
  </si>
  <si>
    <t xml:space="preserve">TR1</t>
  </si>
  <si>
    <t xml:space="preserve">CUSTS</t>
  </si>
  <si>
    <t xml:space="preserve">TR1USE      </t>
  </si>
  <si>
    <t xml:space="preserve">TR2</t>
  </si>
  <si>
    <t xml:space="preserve">TR1USE</t>
  </si>
  <si>
    <t xml:space="preserve">TR2USE        </t>
  </si>
  <si>
    <t xml:space="preserve">TR3</t>
  </si>
  <si>
    <t xml:space="preserve">TR2USE</t>
  </si>
  <si>
    <t xml:space="preserve">TR3USE          </t>
  </si>
  <si>
    <t xml:space="preserve">TR4</t>
  </si>
  <si>
    <t xml:space="preserve">TR3USE</t>
  </si>
  <si>
    <t xml:space="preserve">TR4USE            </t>
  </si>
  <si>
    <t xml:space="preserve">TR5</t>
  </si>
  <si>
    <t xml:space="preserve">TR4USE</t>
  </si>
  <si>
    <t xml:space="preserve">TR5USE</t>
  </si>
  <si>
    <t xml:space="preserve">Total Cust</t>
  </si>
  <si>
    <t xml:space="preserve">Total Tier 1</t>
  </si>
  <si>
    <t xml:space="preserve">Total Tier 2</t>
  </si>
  <si>
    <t xml:space="preserve">Total Tier 3</t>
  </si>
  <si>
    <t xml:space="preserve">Total Tier 4</t>
  </si>
  <si>
    <t xml:space="preserve">Total Tier 5</t>
  </si>
  <si>
    <t xml:space="preserve">Total All Tiers</t>
  </si>
  <si>
    <t xml:space="preserve">CARE</t>
  </si>
  <si>
    <t xml:space="preserve">EL-1</t>
  </si>
  <si>
    <t xml:space="preserve">EL-7</t>
  </si>
  <si>
    <t xml:space="preserve">EL-8</t>
  </si>
  <si>
    <t xml:space="preserve">Res</t>
  </si>
  <si>
    <t xml:space="preserve">ttoal</t>
  </si>
  <si>
    <t xml:space="preserve">Totals of schedule data</t>
  </si>
  <si>
    <t xml:space="preserve">Group data</t>
  </si>
  <si>
    <t xml:space="preserve">Tier 3</t>
  </si>
  <si>
    <t xml:space="preserve">Tier 4</t>
  </si>
  <si>
    <t xml:space="preserve">Tier 5</t>
  </si>
  <si>
    <t xml:space="preserve">total</t>
  </si>
  <si>
    <t xml:space="preserve">forecast</t>
  </si>
  <si>
    <t xml:space="preserve">NON-CARE</t>
  </si>
  <si>
    <t xml:space="preserve">E1</t>
  </si>
  <si>
    <t xml:space="preserve">E7</t>
  </si>
  <si>
    <t xml:space="preserve">E8</t>
  </si>
  <si>
    <t xml:space="preserve">all customers greater than 200%</t>
  </si>
  <si>
    <t xml:space="preserve">0 to 100</t>
  </si>
  <si>
    <t xml:space="preserve">100 to 130</t>
  </si>
  <si>
    <t xml:space="preserve">130 to 200</t>
  </si>
  <si>
    <t xml:space="preserve">200 to 300</t>
  </si>
  <si>
    <t xml:space="preserve">300 +</t>
  </si>
  <si>
    <t xml:space="preserve">200 +</t>
  </si>
  <si>
    <t xml:space="preserve">Totals from Schedule data</t>
  </si>
  <si>
    <t xml:space="preserve">E-1</t>
  </si>
  <si>
    <t xml:space="preserve">E-7</t>
  </si>
  <si>
    <t xml:space="preserve">E-8</t>
  </si>
  <si>
    <t xml:space="preserve">totals from Group data</t>
  </si>
  <si>
    <t xml:space="preserve">Forecast</t>
  </si>
  <si>
    <t xml:space="preserve">check</t>
  </si>
  <si>
    <t xml:space="preserve">Total Rate</t>
  </si>
  <si>
    <t xml:space="preserve">Total Revenue (1)</t>
  </si>
  <si>
    <t xml:space="preserve">Total Revenue</t>
  </si>
  <si>
    <t xml:space="preserve">Gen Rate</t>
  </si>
  <si>
    <t xml:space="preserve">Gen Revenue</t>
  </si>
  <si>
    <t xml:space="preserve">Average Gen.</t>
  </si>
  <si>
    <t xml:space="preserve">No EEPS</t>
  </si>
  <si>
    <t xml:space="preserve">With EEPS</t>
  </si>
  <si>
    <t xml:space="preserve">Per KWh</t>
  </si>
  <si>
    <t xml:space="preserve">Proxy</t>
  </si>
  <si>
    <t xml:space="preserve">kWh</t>
  </si>
  <si>
    <t xml:space="preserve">Energy (2)</t>
  </si>
  <si>
    <t xml:space="preserve">Tier 1 Credit</t>
  </si>
  <si>
    <t xml:space="preserve">Customer</t>
  </si>
  <si>
    <t xml:space="preserve">(1)  All discounts, credits, mimimum charges, rate limiters, and meter charges are excluded from revenues.  Thus, total revenues shown here exceed the revenue requirement.</t>
  </si>
  <si>
    <t xml:space="preserve">(2)  The tier 1 baseline credit is included since it applies to all usage within the baseline allowance, similar to Schedule E-1 in which the Tier 1 rate is discounted.</t>
  </si>
  <si>
    <t xml:space="preserve">Total Residential</t>
  </si>
  <si>
    <t xml:space="preserve">Non-CARE Residential</t>
  </si>
  <si>
    <t xml:space="preserve">Up to 100% Baseline</t>
  </si>
  <si>
    <t xml:space="preserve">100 to 130% Baseline</t>
  </si>
  <si>
    <t xml:space="preserve">130 to 200% Baseline</t>
  </si>
  <si>
    <t xml:space="preserve">200 to 300% Baseline</t>
  </si>
  <si>
    <t xml:space="preserve">Over 300% Baseline</t>
  </si>
  <si>
    <t xml:space="preserve">Subtotal</t>
  </si>
  <si>
    <t xml:space="preserve">CARE Residential</t>
  </si>
  <si>
    <t xml:space="preserve">(1)  All discounts, credits, and meter charges are excluded from revenues.  Thus, total revenues from energy and customer charges will exceed the revenue requirement.</t>
  </si>
  <si>
    <t xml:space="preserve">Unadjusted</t>
  </si>
  <si>
    <t xml:space="preserve">Summer</t>
  </si>
  <si>
    <t xml:space="preserve">Winter</t>
  </si>
  <si>
    <t xml:space="preserve">E-1 Min Bill Sales</t>
  </si>
  <si>
    <t xml:space="preserve">Unadj T1 w/o Min</t>
  </si>
  <si>
    <t xml:space="preserve">Unadj T2</t>
  </si>
  <si>
    <t xml:space="preserve">Unadj T1</t>
  </si>
  <si>
    <t xml:space="preserve">Unad T2</t>
  </si>
  <si>
    <t xml:space="preserve">Unadj T1 &amp; T2</t>
  </si>
  <si>
    <t xml:space="preserve">Annual Unadj Sales</t>
  </si>
  <si>
    <t xml:space="preserve">Min Bill Sales</t>
  </si>
  <si>
    <t xml:space="preserve">T1 w/o Min</t>
  </si>
  <si>
    <t xml:space="preserve">T2</t>
  </si>
  <si>
    <t xml:space="preserve">Total T1&amp;T2</t>
  </si>
  <si>
    <t xml:space="preserve">Total Annual Sales</t>
  </si>
  <si>
    <t xml:space="preserve">Unadjusted Sales</t>
  </si>
  <si>
    <t xml:space="preserve">Unadjusted Customer Mos.</t>
  </si>
  <si>
    <t xml:space="preserve">Annual Unadj Cust Mos</t>
  </si>
  <si>
    <t xml:space="preserve">Sales</t>
  </si>
  <si>
    <t xml:space="preserve">Annual Sales</t>
  </si>
  <si>
    <t xml:space="preserve">Customer Mos.</t>
  </si>
  <si>
    <t xml:space="preserve">Annual Cust Mos</t>
  </si>
  <si>
    <t xml:space="preserve">RDA DR2157(TOURPT)</t>
  </si>
  <si>
    <t xml:space="preserve">On peak</t>
  </si>
  <si>
    <t xml:space="preserve">Off peak</t>
  </si>
  <si>
    <t xml:space="preserve">On Peak Sales</t>
  </si>
  <si>
    <t xml:space="preserve">Off Peak Sales</t>
  </si>
  <si>
    <t xml:space="preserve">`</t>
  </si>
  <si>
    <t xml:space="preserve">Baseline Credits</t>
  </si>
  <si>
    <t xml:space="preserve">E-7 Total</t>
  </si>
</sst>
</file>

<file path=xl/styles.xml><?xml version="1.0" encoding="utf-8"?>
<styleSheet xmlns="http://schemas.openxmlformats.org/spreadsheetml/2006/main">
  <numFmts count="23">
    <numFmt numFmtId="164" formatCode="General"/>
    <numFmt numFmtId="165" formatCode="\$#,##0.00000_);&quot;($&quot;#,##0.00000\)"/>
    <numFmt numFmtId="166" formatCode="0%"/>
    <numFmt numFmtId="167" formatCode="_(* #,##0.00_);_(* \(#,##0.00\);_(* \-??_);_(@_)"/>
    <numFmt numFmtId="168" formatCode="_(* #,##0_);_(* \(#,##0\);_(* \-??_);_(@_)"/>
    <numFmt numFmtId="169" formatCode="\$#,##0.00000"/>
    <numFmt numFmtId="170" formatCode="\$#,##0"/>
    <numFmt numFmtId="171" formatCode="\$#,##0.00000_);[RED]&quot;($&quot;#,##0.00000\)"/>
    <numFmt numFmtId="172" formatCode="#,##0"/>
    <numFmt numFmtId="173" formatCode="\$#,##0.000"/>
    <numFmt numFmtId="174" formatCode="#,##0.00"/>
    <numFmt numFmtId="175" formatCode="0.00"/>
    <numFmt numFmtId="176" formatCode="#,##0.0"/>
    <numFmt numFmtId="177" formatCode="mm/dd/yy"/>
    <numFmt numFmtId="178" formatCode="[$-409]#,##0_);\(#,##0\)"/>
    <numFmt numFmtId="179" formatCode="[$-409]m/d/yyyy"/>
    <numFmt numFmtId="180" formatCode="\$#,##0.00_);[RED]&quot;($&quot;#,##0.00\)"/>
    <numFmt numFmtId="181" formatCode="\$#,##0.00"/>
    <numFmt numFmtId="182" formatCode="0.00000"/>
    <numFmt numFmtId="183" formatCode="0.00_);\(0.00\)"/>
    <numFmt numFmtId="184" formatCode="\$#,##0_);&quot;($&quot;#,##0\)"/>
    <numFmt numFmtId="185" formatCode="0.00000_);\(0.00000\)"/>
    <numFmt numFmtId="186" formatCode="0.0%"/>
  </numFmts>
  <fonts count="2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0"/>
    </font>
    <font>
      <sz val="10"/>
      <name val="Arial"/>
      <family val="2"/>
    </font>
    <font>
      <b val="true"/>
      <sz val="10"/>
      <color rgb="FF008000"/>
      <name val="Arial"/>
      <family val="2"/>
    </font>
    <font>
      <sz val="10"/>
      <color rgb="FF0000FF"/>
      <name val="Arial"/>
      <family val="2"/>
    </font>
    <font>
      <sz val="10"/>
      <color rgb="FF008000"/>
      <name val="Arial"/>
      <family val="2"/>
    </font>
    <font>
      <b val="true"/>
      <sz val="10"/>
      <name val="Arial"/>
      <family val="2"/>
    </font>
    <font>
      <sz val="9"/>
      <name val="Arial"/>
      <family val="2"/>
    </font>
    <font>
      <u val="single"/>
      <sz val="9"/>
      <name val="Arial"/>
      <family val="2"/>
    </font>
    <font>
      <u val="single"/>
      <sz val="10"/>
      <name val="Arial"/>
      <family val="2"/>
    </font>
    <font>
      <sz val="8"/>
      <name val="Arial"/>
      <family val="2"/>
    </font>
    <font>
      <b val="true"/>
      <sz val="8"/>
      <name val="Arial"/>
      <family val="2"/>
    </font>
    <font>
      <sz val="8"/>
      <color rgb="FF000000"/>
      <name val="Tahoma"/>
      <family val="0"/>
    </font>
    <font>
      <b val="true"/>
      <sz val="10"/>
      <name val="Arial"/>
      <family val="0"/>
    </font>
    <font>
      <b val="true"/>
      <sz val="10"/>
      <color rgb="FF0000FF"/>
      <name val="Arial"/>
      <family val="2"/>
    </font>
    <font>
      <b val="true"/>
      <sz val="10"/>
      <color rgb="FF0000FF"/>
      <name val="Times New Roman"/>
      <family val="1"/>
    </font>
    <font>
      <u val="single"/>
      <sz val="8"/>
      <color rgb="FF0000FF"/>
      <name val="Arial"/>
      <family val="2"/>
    </font>
    <font>
      <u val="single"/>
      <sz val="8"/>
      <name val="Arial"/>
      <family val="2"/>
    </font>
    <font>
      <sz val="8"/>
      <color rgb="FF0000FF"/>
      <name val="Arial"/>
      <family val="2"/>
    </font>
    <font>
      <sz val="8"/>
      <color rgb="FF800080"/>
      <name val="Arial"/>
      <family val="2"/>
    </font>
    <font>
      <u val="single"/>
      <sz val="8"/>
      <color rgb="FF800080"/>
      <name val="Arial"/>
      <family val="2"/>
    </font>
    <font>
      <sz val="8"/>
      <color rgb="FF993366"/>
      <name val="Arial"/>
      <family val="2"/>
    </font>
    <font>
      <b val="true"/>
      <sz val="8"/>
      <color rgb="FF993366"/>
      <name val="Arial"/>
      <family val="2"/>
    </font>
    <font>
      <b val="true"/>
      <u val="single"/>
      <sz val="10"/>
      <color rgb="FF0000FF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FFCC"/>
        <bgColor rgb="FFFFFFFF"/>
      </patternFill>
    </fill>
  </fills>
  <borders count="19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 style="thin"/>
      <bottom style="thin"/>
      <diagonal/>
    </border>
  </borders>
  <cellStyleXfs count="24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1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5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5" fillId="0" borderId="0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2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2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7" fillId="0" borderId="0" xfId="2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5" fillId="0" borderId="0" xfId="2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3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2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0" xfId="2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7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0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3" fontId="1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0" xfId="0" applyFont="true" applyBorder="false" applyAlignment="true" applyProtection="false">
      <alignment horizontal="right" vertical="bottom" textRotation="0" wrapText="true" indent="0" shrinkToFit="false"/>
      <protection locked="true" hidden="false"/>
    </xf>
    <xf numFmtId="175" fontId="13" fillId="0" borderId="0" xfId="0" applyFont="true" applyBorder="false" applyAlignment="true" applyProtection="false">
      <alignment horizontal="right" vertical="bottom" textRotation="0" wrapText="true" indent="0" shrinkToFit="false"/>
      <protection locked="true" hidden="false"/>
    </xf>
    <xf numFmtId="175" fontId="13" fillId="0" borderId="4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72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4" borderId="3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72" fontId="9" fillId="4" borderId="3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80" fontId="9" fillId="4" borderId="3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4" borderId="3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79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2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2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2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3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3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3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2" fontId="1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5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5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5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7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8" fontId="1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3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3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3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3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3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3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20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2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20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3" fillId="0" borderId="1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3" fillId="0" borderId="1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3" fillId="0" borderId="1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2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6" fontId="13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20" fillId="0" borderId="1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20" fillId="0" borderId="1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2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22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2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23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2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3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3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3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2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3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3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3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2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5" fontId="6" fillId="0" borderId="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2" fontId="8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5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5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5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4" fontId="5" fillId="0" borderId="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4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5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2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1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8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13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6" fontId="13" fillId="0" borderId="14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10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a1-Practice (2)" xfId="20"/>
    <cellStyle name="Normal_A15 - Practice (2)" xfId="21"/>
    <cellStyle name="Normal_A6-Practice" xfId="22"/>
    <cellStyle name="Normal_e-19s Practice" xfId="23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externalLink" Target="externalLinks/externalLink1.xml"/><Relationship Id="rId12" Type="http://schemas.openxmlformats.org/officeDocument/2006/relationships/externalLink" Target="externalLinks/externalLink2.xml"/><Relationship Id="rId13" Type="http://schemas.openxmlformats.org/officeDocument/2006/relationships/externalLink" Target="externalLinks/externalLink3.xml"/><Relationship Id="rId14" Type="http://schemas.openxmlformats.org/officeDocument/2006/relationships/externalLink" Target="externalLinks/externalLink4.xml"/><Relationship Id="rId15" Type="http://schemas.openxmlformats.org/officeDocument/2006/relationships/externalLink" Target="externalLinks/externalLink5.xml"/><Relationship Id="rId16" Type="http://schemas.openxmlformats.org/officeDocument/2006/relationships/externalLink" Target="externalLinks/externalLink6.xml"/><Relationship Id="rId17" Type="http://schemas.openxmlformats.org/officeDocument/2006/relationships/externalLink" Target="externalLinks/externalLink7.xml"/><Relationship Id="rId18" Type="http://schemas.openxmlformats.org/officeDocument/2006/relationships/externalLink" Target="externalLinks/externalLink8.xml"/><Relationship Id="rId19" Type="http://schemas.openxmlformats.org/officeDocument/2006/relationships/externalLink" Target="externalLinks/externalLink9.xml"/><Relationship Id="rId20" Type="http://schemas.openxmlformats.org/officeDocument/2006/relationships/externalLink" Target="externalLinks/externalLink10.xml"/><Relationship Id="rId21" Type="http://schemas.openxmlformats.org/officeDocument/2006/relationships/externalLink" Target="externalLinks/externalLink11.xml"/><Relationship Id="rId22" Type="http://schemas.openxmlformats.org/officeDocument/2006/relationships/externalLink" Target="externalLinks/externalLink12.xml"/><Relationship Id="rId23" Type="http://schemas.openxmlformats.org/officeDocument/2006/relationships/externalLink" Target="externalLinks/externalLink13.xml"/><Relationship Id="rId24" Type="http://schemas.openxmlformats.org/officeDocument/2006/relationships/externalLink" Target="externalLinks/externalLink14.xml"/><Relationship Id="rId25" Type="http://schemas.openxmlformats.org/officeDocument/2006/relationships/externalLink" Target="externalLinks/externalLink15.xml"/><Relationship Id="rId26" Type="http://schemas.openxmlformats.org/officeDocument/2006/relationships/externalLink" Target="externalLinks/externalLink16.xml"/><Relationship Id="rId27" Type="http://schemas.openxmlformats.org/officeDocument/2006/relationships/externalLink" Target="externalLinks/externalLink17.xml"/><Relationship Id="rId28" Type="http://schemas.openxmlformats.org/officeDocument/2006/relationships/externalLink" Target="externalLinks/externalLink18.xml"/><Relationship Id="rId29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</xdr:col>
      <xdr:colOff>29520</xdr:colOff>
      <xdr:row>12</xdr:row>
      <xdr:rowOff>76320</xdr:rowOff>
    </xdr:from>
    <xdr:to>
      <xdr:col>2</xdr:col>
      <xdr:colOff>593640</xdr:colOff>
      <xdr:row>12</xdr:row>
      <xdr:rowOff>76320</xdr:rowOff>
    </xdr:to>
    <xdr:sp>
      <xdr:nvSpPr>
        <xdr:cNvPr id="0" name="Line 1"/>
        <xdr:cNvSpPr/>
      </xdr:nvSpPr>
      <xdr:spPr>
        <a:xfrm flipH="1">
          <a:off x="2112480" y="1905120"/>
          <a:ext cx="564120" cy="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</xdr:col>
      <xdr:colOff>29520</xdr:colOff>
      <xdr:row>32</xdr:row>
      <xdr:rowOff>75960</xdr:rowOff>
    </xdr:from>
    <xdr:to>
      <xdr:col>2</xdr:col>
      <xdr:colOff>593640</xdr:colOff>
      <xdr:row>32</xdr:row>
      <xdr:rowOff>75960</xdr:rowOff>
    </xdr:to>
    <xdr:sp>
      <xdr:nvSpPr>
        <xdr:cNvPr id="1" name="Line 2"/>
        <xdr:cNvSpPr/>
      </xdr:nvSpPr>
      <xdr:spPr>
        <a:xfrm flipH="1">
          <a:off x="2112480" y="4952880"/>
          <a:ext cx="564120" cy="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</xdr:col>
      <xdr:colOff>29520</xdr:colOff>
      <xdr:row>35</xdr:row>
      <xdr:rowOff>75960</xdr:rowOff>
    </xdr:from>
    <xdr:to>
      <xdr:col>2</xdr:col>
      <xdr:colOff>593640</xdr:colOff>
      <xdr:row>35</xdr:row>
      <xdr:rowOff>75960</xdr:rowOff>
    </xdr:to>
    <xdr:sp>
      <xdr:nvSpPr>
        <xdr:cNvPr id="2" name="Line 3"/>
        <xdr:cNvSpPr/>
      </xdr:nvSpPr>
      <xdr:spPr>
        <a:xfrm flipH="1">
          <a:off x="2112480" y="5410080"/>
          <a:ext cx="564120" cy="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</xdr:col>
      <xdr:colOff>29520</xdr:colOff>
      <xdr:row>77</xdr:row>
      <xdr:rowOff>75960</xdr:rowOff>
    </xdr:from>
    <xdr:to>
      <xdr:col>2</xdr:col>
      <xdr:colOff>593640</xdr:colOff>
      <xdr:row>77</xdr:row>
      <xdr:rowOff>75960</xdr:rowOff>
    </xdr:to>
    <xdr:sp>
      <xdr:nvSpPr>
        <xdr:cNvPr id="3" name="Line 4"/>
        <xdr:cNvSpPr/>
      </xdr:nvSpPr>
      <xdr:spPr>
        <a:xfrm flipH="1">
          <a:off x="2112480" y="11810880"/>
          <a:ext cx="564120" cy="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</xdr:col>
      <xdr:colOff>29520</xdr:colOff>
      <xdr:row>81</xdr:row>
      <xdr:rowOff>76320</xdr:rowOff>
    </xdr:from>
    <xdr:to>
      <xdr:col>2</xdr:col>
      <xdr:colOff>593640</xdr:colOff>
      <xdr:row>81</xdr:row>
      <xdr:rowOff>76320</xdr:rowOff>
    </xdr:to>
    <xdr:sp>
      <xdr:nvSpPr>
        <xdr:cNvPr id="4" name="Line 5"/>
        <xdr:cNvSpPr/>
      </xdr:nvSpPr>
      <xdr:spPr>
        <a:xfrm flipH="1">
          <a:off x="2112480" y="12420720"/>
          <a:ext cx="564120" cy="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</xdr:col>
      <xdr:colOff>29520</xdr:colOff>
      <xdr:row>41</xdr:row>
      <xdr:rowOff>75960</xdr:rowOff>
    </xdr:from>
    <xdr:to>
      <xdr:col>2</xdr:col>
      <xdr:colOff>593640</xdr:colOff>
      <xdr:row>41</xdr:row>
      <xdr:rowOff>75960</xdr:rowOff>
    </xdr:to>
    <xdr:sp>
      <xdr:nvSpPr>
        <xdr:cNvPr id="5" name="Line 6"/>
        <xdr:cNvSpPr/>
      </xdr:nvSpPr>
      <xdr:spPr>
        <a:xfrm flipH="1">
          <a:off x="2112480" y="6324480"/>
          <a:ext cx="564120" cy="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</xdr:col>
      <xdr:colOff>29520</xdr:colOff>
      <xdr:row>44</xdr:row>
      <xdr:rowOff>75960</xdr:rowOff>
    </xdr:from>
    <xdr:to>
      <xdr:col>2</xdr:col>
      <xdr:colOff>593640</xdr:colOff>
      <xdr:row>44</xdr:row>
      <xdr:rowOff>75960</xdr:rowOff>
    </xdr:to>
    <xdr:sp>
      <xdr:nvSpPr>
        <xdr:cNvPr id="6" name="Line 7"/>
        <xdr:cNvSpPr/>
      </xdr:nvSpPr>
      <xdr:spPr>
        <a:xfrm flipH="1">
          <a:off x="2112480" y="6781680"/>
          <a:ext cx="564120" cy="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</xdr:col>
      <xdr:colOff>29520</xdr:colOff>
      <xdr:row>26</xdr:row>
      <xdr:rowOff>75960</xdr:rowOff>
    </xdr:from>
    <xdr:to>
      <xdr:col>2</xdr:col>
      <xdr:colOff>593640</xdr:colOff>
      <xdr:row>26</xdr:row>
      <xdr:rowOff>75960</xdr:rowOff>
    </xdr:to>
    <xdr:sp>
      <xdr:nvSpPr>
        <xdr:cNvPr id="7" name="Line 8"/>
        <xdr:cNvSpPr/>
      </xdr:nvSpPr>
      <xdr:spPr>
        <a:xfrm flipH="1">
          <a:off x="2112480" y="4038480"/>
          <a:ext cx="564120" cy="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</xdr:col>
      <xdr:colOff>29520</xdr:colOff>
      <xdr:row>53</xdr:row>
      <xdr:rowOff>75960</xdr:rowOff>
    </xdr:from>
    <xdr:to>
      <xdr:col>2</xdr:col>
      <xdr:colOff>593640</xdr:colOff>
      <xdr:row>53</xdr:row>
      <xdr:rowOff>75960</xdr:rowOff>
    </xdr:to>
    <xdr:sp>
      <xdr:nvSpPr>
        <xdr:cNvPr id="8" name="Line 9"/>
        <xdr:cNvSpPr/>
      </xdr:nvSpPr>
      <xdr:spPr>
        <a:xfrm flipH="1">
          <a:off x="2112480" y="8153280"/>
          <a:ext cx="564120" cy="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</xdr:col>
      <xdr:colOff>29520</xdr:colOff>
      <xdr:row>57</xdr:row>
      <xdr:rowOff>76320</xdr:rowOff>
    </xdr:from>
    <xdr:to>
      <xdr:col>2</xdr:col>
      <xdr:colOff>593640</xdr:colOff>
      <xdr:row>57</xdr:row>
      <xdr:rowOff>76320</xdr:rowOff>
    </xdr:to>
    <xdr:sp>
      <xdr:nvSpPr>
        <xdr:cNvPr id="9" name="Line 10"/>
        <xdr:cNvSpPr/>
      </xdr:nvSpPr>
      <xdr:spPr>
        <a:xfrm flipH="1">
          <a:off x="2112480" y="8763120"/>
          <a:ext cx="564120" cy="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</xdr:col>
      <xdr:colOff>29520</xdr:colOff>
      <xdr:row>65</xdr:row>
      <xdr:rowOff>75960</xdr:rowOff>
    </xdr:from>
    <xdr:to>
      <xdr:col>2</xdr:col>
      <xdr:colOff>593640</xdr:colOff>
      <xdr:row>65</xdr:row>
      <xdr:rowOff>75960</xdr:rowOff>
    </xdr:to>
    <xdr:sp>
      <xdr:nvSpPr>
        <xdr:cNvPr id="10" name="Line 11"/>
        <xdr:cNvSpPr/>
      </xdr:nvSpPr>
      <xdr:spPr>
        <a:xfrm flipH="1">
          <a:off x="2112480" y="9982080"/>
          <a:ext cx="564120" cy="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</xdr:col>
      <xdr:colOff>29520</xdr:colOff>
      <xdr:row>69</xdr:row>
      <xdr:rowOff>76320</xdr:rowOff>
    </xdr:from>
    <xdr:to>
      <xdr:col>2</xdr:col>
      <xdr:colOff>593640</xdr:colOff>
      <xdr:row>69</xdr:row>
      <xdr:rowOff>76320</xdr:rowOff>
    </xdr:to>
    <xdr:sp>
      <xdr:nvSpPr>
        <xdr:cNvPr id="11" name="Line 12"/>
        <xdr:cNvSpPr/>
      </xdr:nvSpPr>
      <xdr:spPr>
        <a:xfrm flipH="1">
          <a:off x="2112480" y="10591920"/>
          <a:ext cx="564120" cy="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</xdr:col>
      <xdr:colOff>29520</xdr:colOff>
      <xdr:row>12</xdr:row>
      <xdr:rowOff>76320</xdr:rowOff>
    </xdr:from>
    <xdr:to>
      <xdr:col>2</xdr:col>
      <xdr:colOff>593640</xdr:colOff>
      <xdr:row>12</xdr:row>
      <xdr:rowOff>76320</xdr:rowOff>
    </xdr:to>
    <xdr:sp>
      <xdr:nvSpPr>
        <xdr:cNvPr id="12" name="Line 13"/>
        <xdr:cNvSpPr/>
      </xdr:nvSpPr>
      <xdr:spPr>
        <a:xfrm flipH="1">
          <a:off x="2112480" y="1905120"/>
          <a:ext cx="564120" cy="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</xdr:col>
      <xdr:colOff>29520</xdr:colOff>
      <xdr:row>32</xdr:row>
      <xdr:rowOff>75960</xdr:rowOff>
    </xdr:from>
    <xdr:to>
      <xdr:col>2</xdr:col>
      <xdr:colOff>593640</xdr:colOff>
      <xdr:row>32</xdr:row>
      <xdr:rowOff>75960</xdr:rowOff>
    </xdr:to>
    <xdr:sp>
      <xdr:nvSpPr>
        <xdr:cNvPr id="13" name="Line 14"/>
        <xdr:cNvSpPr/>
      </xdr:nvSpPr>
      <xdr:spPr>
        <a:xfrm flipH="1">
          <a:off x="2112480" y="4952880"/>
          <a:ext cx="564120" cy="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</xdr:col>
      <xdr:colOff>29520</xdr:colOff>
      <xdr:row>35</xdr:row>
      <xdr:rowOff>75960</xdr:rowOff>
    </xdr:from>
    <xdr:to>
      <xdr:col>2</xdr:col>
      <xdr:colOff>593640</xdr:colOff>
      <xdr:row>35</xdr:row>
      <xdr:rowOff>75960</xdr:rowOff>
    </xdr:to>
    <xdr:sp>
      <xdr:nvSpPr>
        <xdr:cNvPr id="14" name="Line 15"/>
        <xdr:cNvSpPr/>
      </xdr:nvSpPr>
      <xdr:spPr>
        <a:xfrm flipH="1">
          <a:off x="2112480" y="5410080"/>
          <a:ext cx="564120" cy="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</xdr:col>
      <xdr:colOff>29520</xdr:colOff>
      <xdr:row>77</xdr:row>
      <xdr:rowOff>75960</xdr:rowOff>
    </xdr:from>
    <xdr:to>
      <xdr:col>2</xdr:col>
      <xdr:colOff>593640</xdr:colOff>
      <xdr:row>77</xdr:row>
      <xdr:rowOff>75960</xdr:rowOff>
    </xdr:to>
    <xdr:sp>
      <xdr:nvSpPr>
        <xdr:cNvPr id="15" name="Line 16"/>
        <xdr:cNvSpPr/>
      </xdr:nvSpPr>
      <xdr:spPr>
        <a:xfrm flipH="1">
          <a:off x="2112480" y="11810880"/>
          <a:ext cx="564120" cy="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</xdr:col>
      <xdr:colOff>29520</xdr:colOff>
      <xdr:row>81</xdr:row>
      <xdr:rowOff>76320</xdr:rowOff>
    </xdr:from>
    <xdr:to>
      <xdr:col>2</xdr:col>
      <xdr:colOff>593640</xdr:colOff>
      <xdr:row>81</xdr:row>
      <xdr:rowOff>76320</xdr:rowOff>
    </xdr:to>
    <xdr:sp>
      <xdr:nvSpPr>
        <xdr:cNvPr id="16" name="Line 17"/>
        <xdr:cNvSpPr/>
      </xdr:nvSpPr>
      <xdr:spPr>
        <a:xfrm flipH="1">
          <a:off x="2112480" y="12420720"/>
          <a:ext cx="564120" cy="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</xdr:col>
      <xdr:colOff>29520</xdr:colOff>
      <xdr:row>41</xdr:row>
      <xdr:rowOff>75960</xdr:rowOff>
    </xdr:from>
    <xdr:to>
      <xdr:col>2</xdr:col>
      <xdr:colOff>593640</xdr:colOff>
      <xdr:row>41</xdr:row>
      <xdr:rowOff>75960</xdr:rowOff>
    </xdr:to>
    <xdr:sp>
      <xdr:nvSpPr>
        <xdr:cNvPr id="17" name="Line 18"/>
        <xdr:cNvSpPr/>
      </xdr:nvSpPr>
      <xdr:spPr>
        <a:xfrm flipH="1">
          <a:off x="2112480" y="6324480"/>
          <a:ext cx="564120" cy="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</xdr:col>
      <xdr:colOff>29520</xdr:colOff>
      <xdr:row>44</xdr:row>
      <xdr:rowOff>75960</xdr:rowOff>
    </xdr:from>
    <xdr:to>
      <xdr:col>2</xdr:col>
      <xdr:colOff>593640</xdr:colOff>
      <xdr:row>44</xdr:row>
      <xdr:rowOff>75960</xdr:rowOff>
    </xdr:to>
    <xdr:sp>
      <xdr:nvSpPr>
        <xdr:cNvPr id="18" name="Line 19"/>
        <xdr:cNvSpPr/>
      </xdr:nvSpPr>
      <xdr:spPr>
        <a:xfrm flipH="1">
          <a:off x="2112480" y="6781680"/>
          <a:ext cx="564120" cy="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</xdr:col>
      <xdr:colOff>29520</xdr:colOff>
      <xdr:row>26</xdr:row>
      <xdr:rowOff>75960</xdr:rowOff>
    </xdr:from>
    <xdr:to>
      <xdr:col>2</xdr:col>
      <xdr:colOff>593640</xdr:colOff>
      <xdr:row>26</xdr:row>
      <xdr:rowOff>75960</xdr:rowOff>
    </xdr:to>
    <xdr:sp>
      <xdr:nvSpPr>
        <xdr:cNvPr id="19" name="Line 20"/>
        <xdr:cNvSpPr/>
      </xdr:nvSpPr>
      <xdr:spPr>
        <a:xfrm flipH="1">
          <a:off x="2112480" y="4038480"/>
          <a:ext cx="564120" cy="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</xdr:col>
      <xdr:colOff>29520</xdr:colOff>
      <xdr:row>53</xdr:row>
      <xdr:rowOff>75960</xdr:rowOff>
    </xdr:from>
    <xdr:to>
      <xdr:col>2</xdr:col>
      <xdr:colOff>593640</xdr:colOff>
      <xdr:row>53</xdr:row>
      <xdr:rowOff>75960</xdr:rowOff>
    </xdr:to>
    <xdr:sp>
      <xdr:nvSpPr>
        <xdr:cNvPr id="20" name="Line 21"/>
        <xdr:cNvSpPr/>
      </xdr:nvSpPr>
      <xdr:spPr>
        <a:xfrm flipH="1">
          <a:off x="2112480" y="8153280"/>
          <a:ext cx="564120" cy="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</xdr:col>
      <xdr:colOff>29520</xdr:colOff>
      <xdr:row>57</xdr:row>
      <xdr:rowOff>76320</xdr:rowOff>
    </xdr:from>
    <xdr:to>
      <xdr:col>2</xdr:col>
      <xdr:colOff>593640</xdr:colOff>
      <xdr:row>57</xdr:row>
      <xdr:rowOff>76320</xdr:rowOff>
    </xdr:to>
    <xdr:sp>
      <xdr:nvSpPr>
        <xdr:cNvPr id="21" name="Line 22"/>
        <xdr:cNvSpPr/>
      </xdr:nvSpPr>
      <xdr:spPr>
        <a:xfrm flipH="1">
          <a:off x="2112480" y="8763120"/>
          <a:ext cx="564120" cy="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</xdr:col>
      <xdr:colOff>29520</xdr:colOff>
      <xdr:row>65</xdr:row>
      <xdr:rowOff>75960</xdr:rowOff>
    </xdr:from>
    <xdr:to>
      <xdr:col>2</xdr:col>
      <xdr:colOff>593640</xdr:colOff>
      <xdr:row>65</xdr:row>
      <xdr:rowOff>75960</xdr:rowOff>
    </xdr:to>
    <xdr:sp>
      <xdr:nvSpPr>
        <xdr:cNvPr id="22" name="Line 23"/>
        <xdr:cNvSpPr/>
      </xdr:nvSpPr>
      <xdr:spPr>
        <a:xfrm flipH="1">
          <a:off x="2112480" y="9982080"/>
          <a:ext cx="564120" cy="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</xdr:col>
      <xdr:colOff>29520</xdr:colOff>
      <xdr:row>69</xdr:row>
      <xdr:rowOff>76320</xdr:rowOff>
    </xdr:from>
    <xdr:to>
      <xdr:col>2</xdr:col>
      <xdr:colOff>593640</xdr:colOff>
      <xdr:row>69</xdr:row>
      <xdr:rowOff>76320</xdr:rowOff>
    </xdr:to>
    <xdr:sp>
      <xdr:nvSpPr>
        <xdr:cNvPr id="23" name="Line 24"/>
        <xdr:cNvSpPr/>
      </xdr:nvSpPr>
      <xdr:spPr>
        <a:xfrm flipH="1">
          <a:off x="2112480" y="10591920"/>
          <a:ext cx="564120" cy="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2000%20RAP/94ec/revmodel/040194/smltran.xls" TargetMode="External"/>
</Relationships>
</file>

<file path=xl/externalLinks/_rels/externalLink10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2000%20RAP/94ec/revmodel/040194/agtran.xls" TargetMode="External"/>
</Relationships>
</file>

<file path=xl/externalLinks/_rels/externalLink1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PX_calcs/Px%20Rates/PX_TOU.xls" TargetMode="External"/>
</Relationships>
</file>

<file path=xl/externalLinks/_rels/externalLink1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RES/Tiered%20Rates/BaselineRSPrev3.xls" TargetMode="External"/>
</Relationships>
</file>

<file path=xl/externalLinks/_rels/externalLink13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2000%20RAP/94ec/revmodel/040194/ra351/e1.xls" TargetMode="External"/>
</Relationships>
</file>

<file path=xl/externalLinks/_rels/externalLink14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2000%20RAP/94ec/revmodel/040194/ra351/el1.xls" TargetMode="External"/>
</Relationships>
</file>

<file path=xl/externalLinks/_rels/externalLink15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2000%20RAP/94ec/revmodel/040194/ra351/e8.xls" TargetMode="External"/>
</Relationships>
</file>

<file path=xl/externalLinks/_rels/externalLink16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2000%20RAP/94ec/revmodel/040194/ra351/el8.xls" TargetMode="External"/>
</Relationships>
</file>

<file path=xl/externalLinks/_rels/externalLink17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RES/TIERED~1/BaselineRSPrev3.xls" TargetMode="External"/>
</Relationships>
</file>

<file path=xl/externalLinks/_rels/externalLink18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2000%20RAP/94ec/revmodel/040194/ra351/e7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2000%20RAP/94ec/revmodel/040194/medtrans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2000%20RAP/94ec/revmodel/040194/e19trans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2000%20RAP/94ec/revmodel/040194/ra353/e19rtp.xls" TargetMode="External"/>
</Relationships>
</file>

<file path=xl/externalLinks/_rels/externalLink5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2000%20RAP/94ec/revmodel/040194/e20trans.xls" TargetMode="External"/>
</Relationships>
</file>

<file path=xl/externalLinks/_rels/externalLink6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2000%20RAP/94ec/revmodel/040194/ra356/ames.xls" TargetMode="External"/>
</Relationships>
</file>

<file path=xl/externalLinks/_rels/externalLink7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2000%20RAP/94ec/revmodel/040194/ra359/e20rtp.xls" TargetMode="External"/>
</Relationships>
</file>

<file path=xl/externalLinks/_rels/externalLink8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2000%20RAP/94ec/revmodel/040194/sbytrans.xls" TargetMode="External"/>
</Relationships>
</file>

<file path=xl/externalLinks/_rels/externalLink9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2000%20RAP/94ec/revmodel/040194/strttran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mltran"/>
    </sheetNames>
    <sheetDataSet>
      <sheetData sheetId="0">
        <row r="34">
          <cell r="C34">
            <v>3064293997.94957</v>
          </cell>
          <cell r="D34">
            <v>2842096343.71183</v>
          </cell>
        </row>
        <row r="35">
          <cell r="E35">
            <v>205784594.314227</v>
          </cell>
          <cell r="F35">
            <v>257193227.564539</v>
          </cell>
          <cell r="G35">
            <v>624052813.672496</v>
          </cell>
          <cell r="H35">
            <v>376032221.778082</v>
          </cell>
          <cell r="I35">
            <v>510377690.770313</v>
          </cell>
        </row>
        <row r="36">
          <cell r="C36">
            <v>661848</v>
          </cell>
          <cell r="D36">
            <v>661848</v>
          </cell>
        </row>
        <row r="37">
          <cell r="C37">
            <v>60667065.2301713</v>
          </cell>
          <cell r="D37">
            <v>60667065.2301713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agtran"/>
    </sheetNames>
    <sheetDataSet>
      <sheetData sheetId="0">
        <row r="39">
          <cell r="E39">
            <v>132974447.625</v>
          </cell>
          <cell r="F39">
            <v>46751973.5</v>
          </cell>
        </row>
        <row r="42">
          <cell r="E42">
            <v>187429065.5</v>
          </cell>
          <cell r="F42">
            <v>61497214.5</v>
          </cell>
        </row>
        <row r="43">
          <cell r="G43">
            <v>1600259.7612</v>
          </cell>
        </row>
        <row r="43">
          <cell r="I43">
            <v>21002279.2388</v>
          </cell>
          <cell r="J43">
            <v>2144713.2595</v>
          </cell>
        </row>
        <row r="44">
          <cell r="G44">
            <v>932704.2231</v>
          </cell>
        </row>
        <row r="44">
          <cell r="I44">
            <v>20169201.2769</v>
          </cell>
          <cell r="J44">
            <v>1701603.22335</v>
          </cell>
        </row>
        <row r="45">
          <cell r="G45">
            <v>2491909.385</v>
          </cell>
        </row>
        <row r="45">
          <cell r="I45">
            <v>21701385.615</v>
          </cell>
          <cell r="J45">
            <v>2607967.8654</v>
          </cell>
        </row>
        <row r="46">
          <cell r="G46">
            <v>913942.5614</v>
          </cell>
        </row>
        <row r="46">
          <cell r="I46">
            <v>13639282.9386</v>
          </cell>
          <cell r="J46">
            <v>1556624.859</v>
          </cell>
        </row>
        <row r="47">
          <cell r="G47">
            <v>12217637.8599</v>
          </cell>
        </row>
        <row r="47">
          <cell r="I47">
            <v>95616765.1401</v>
          </cell>
          <cell r="J47">
            <v>9322162.488</v>
          </cell>
        </row>
        <row r="50">
          <cell r="G50">
            <v>44765240.89795</v>
          </cell>
        </row>
        <row r="50">
          <cell r="I50">
            <v>245729508.60205</v>
          </cell>
          <cell r="J50">
            <v>36849071.56375</v>
          </cell>
        </row>
        <row r="51">
          <cell r="G51">
            <v>2930434.894</v>
          </cell>
          <cell r="H51">
            <v>4069744.1612</v>
          </cell>
          <cell r="I51">
            <v>20387062.9448</v>
          </cell>
          <cell r="J51">
            <v>2900926.3822</v>
          </cell>
        </row>
        <row r="52">
          <cell r="G52">
            <v>10732128.84735</v>
          </cell>
        </row>
        <row r="52">
          <cell r="I52">
            <v>48990346.65265</v>
          </cell>
          <cell r="J52">
            <v>8874797.1606</v>
          </cell>
        </row>
        <row r="55">
          <cell r="G55">
            <v>281026612.4796</v>
          </cell>
        </row>
        <row r="55">
          <cell r="I55">
            <v>1164583534.0204</v>
          </cell>
          <cell r="J55">
            <v>276462904.38225</v>
          </cell>
        </row>
        <row r="56">
          <cell r="G56">
            <v>20584780.5051</v>
          </cell>
          <cell r="H56">
            <v>23308901.51325</v>
          </cell>
          <cell r="I56">
            <v>70086276.48165</v>
          </cell>
          <cell r="J56">
            <v>18458496.218</v>
          </cell>
        </row>
        <row r="72">
          <cell r="B72">
            <v>4009413.7405</v>
          </cell>
        </row>
        <row r="73">
          <cell r="B73">
            <v>2969281.27665</v>
          </cell>
        </row>
        <row r="74">
          <cell r="B74">
            <v>4376413.1346</v>
          </cell>
        </row>
        <row r="75">
          <cell r="B75">
            <v>2132059.641</v>
          </cell>
        </row>
        <row r="76">
          <cell r="B76">
            <v>19055805.512</v>
          </cell>
          <cell r="C76">
            <v>1059011.5</v>
          </cell>
          <cell r="D76">
            <v>1003566.5</v>
          </cell>
        </row>
        <row r="79">
          <cell r="B79">
            <v>47880915.93625</v>
          </cell>
          <cell r="C79">
            <v>2568320.5</v>
          </cell>
          <cell r="D79">
            <v>2529345.5</v>
          </cell>
          <cell r="E79">
            <v>1328978.18294186</v>
          </cell>
        </row>
        <row r="80">
          <cell r="B80">
            <v>7164744.6178</v>
          </cell>
        </row>
        <row r="81">
          <cell r="B81">
            <v>14956559.3394</v>
          </cell>
        </row>
        <row r="84">
          <cell r="B84">
            <v>379439597.11775</v>
          </cell>
        </row>
        <row r="85">
          <cell r="B85">
            <v>23877504.282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Data and Calcs 1998"/>
      <sheetName val="Data and Calcs 1999"/>
      <sheetName val="Data and Calcs 2000"/>
      <sheetName val="Data and Cals 2001"/>
      <sheetName val="Summary TOU"/>
    </sheetNames>
    <sheetDataSet>
      <sheetData sheetId="0"/>
      <sheetData sheetId="1"/>
      <sheetData sheetId="2"/>
      <sheetData sheetId="3"/>
      <sheetData sheetId="4">
        <row r="38">
          <cell r="B38">
            <v>3.69763177382989</v>
          </cell>
        </row>
        <row r="41">
          <cell r="D41">
            <v>5.52229219452238</v>
          </cell>
          <cell r="E41">
            <v>4.42632224366799</v>
          </cell>
          <cell r="F41">
            <v>3.19420062104008</v>
          </cell>
        </row>
        <row r="42">
          <cell r="E42">
            <v>3.7336130381217</v>
          </cell>
          <cell r="F42">
            <v>3.07065777082019</v>
          </cell>
        </row>
        <row r="72">
          <cell r="D72">
            <v>19.6331105208825</v>
          </cell>
          <cell r="E72">
            <v>14.5252927722231</v>
          </cell>
          <cell r="F72">
            <v>9.78640789836039</v>
          </cell>
        </row>
        <row r="73">
          <cell r="E73">
            <v>11.0160916995048</v>
          </cell>
          <cell r="F73">
            <v>9.64976110242627</v>
          </cell>
        </row>
        <row r="74">
          <cell r="B74">
            <v>11.7314719497765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Comps"/>
      <sheetName val="Summary"/>
      <sheetName val="TOUcusts"/>
      <sheetName val="TOU"/>
      <sheetName val="CARE"/>
      <sheetName val="ORAbills"/>
      <sheetName val="TierSum"/>
      <sheetName val="Prices"/>
      <sheetName val="BillDet"/>
      <sheetName val="GT200%Rev"/>
      <sheetName val="CARE130%"/>
      <sheetName val="130%Baseline"/>
      <sheetName val="130%-200%"/>
      <sheetName val="200%Baseline"/>
    </sheetNames>
    <sheetDataSet>
      <sheetData sheetId="0"/>
      <sheetData sheetId="1"/>
      <sheetData sheetId="2"/>
      <sheetData sheetId="3"/>
      <sheetData sheetId="4"/>
      <sheetData sheetId="5"/>
      <sheetData sheetId="6">
        <row r="9">
          <cell r="B9">
            <v>3788967</v>
          </cell>
        </row>
        <row r="9">
          <cell r="D9">
            <v>14713813280</v>
          </cell>
          <cell r="E9">
            <v>2844883235</v>
          </cell>
          <cell r="F9">
            <v>4224630177</v>
          </cell>
          <cell r="G9">
            <v>2611748643</v>
          </cell>
          <cell r="H9">
            <v>2018636902</v>
          </cell>
          <cell r="I9">
            <v>26413712237</v>
          </cell>
        </row>
        <row r="21">
          <cell r="B21">
            <v>285279</v>
          </cell>
        </row>
        <row r="21">
          <cell r="D21">
            <v>1407694731</v>
          </cell>
          <cell r="E21">
            <v>412379614</v>
          </cell>
          <cell r="F21">
            <v>0</v>
          </cell>
          <cell r="G21">
            <v>88792674</v>
          </cell>
          <cell r="H21">
            <v>37525124</v>
          </cell>
          <cell r="I21">
            <v>1946392143</v>
          </cell>
        </row>
      </sheetData>
      <sheetData sheetId="7"/>
      <sheetData sheetId="8">
        <row r="9">
          <cell r="D9">
            <v>14937113431.9421</v>
          </cell>
          <cell r="E9">
            <v>2888057825.1993</v>
          </cell>
          <cell r="F9">
            <v>4288744118.26536</v>
          </cell>
          <cell r="G9">
            <v>2651385130.00159</v>
          </cell>
          <cell r="H9">
            <v>2049272191.32675</v>
          </cell>
        </row>
        <row r="21">
          <cell r="D21">
            <v>1470371157.49985</v>
          </cell>
          <cell r="E21">
            <v>430740470.226653</v>
          </cell>
          <cell r="F21">
            <v>0</v>
          </cell>
          <cell r="G21">
            <v>92746093.2912215</v>
          </cell>
          <cell r="H21">
            <v>39195898.653403</v>
          </cell>
        </row>
      </sheetData>
      <sheetData sheetId="9"/>
      <sheetData sheetId="10"/>
      <sheetData sheetId="11"/>
      <sheetData sheetId="12"/>
      <sheetData sheetId="13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e1"/>
    </sheetNames>
    <sheetDataSet>
      <sheetData sheetId="0">
        <row r="89">
          <cell r="BO89">
            <v>6735845562</v>
          </cell>
        </row>
        <row r="90">
          <cell r="BO90">
            <v>7076378038.35672</v>
          </cell>
        </row>
        <row r="94">
          <cell r="BO94">
            <v>4786100707</v>
          </cell>
        </row>
        <row r="95">
          <cell r="BO95">
            <v>4752592915.66475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el1"/>
    </sheetNames>
    <sheetDataSet>
      <sheetData sheetId="0">
        <row r="57">
          <cell r="BO57">
            <v>210083</v>
          </cell>
        </row>
        <row r="58">
          <cell r="BO58">
            <v>240909.795736274</v>
          </cell>
        </row>
        <row r="67">
          <cell r="BO67">
            <v>728142077</v>
          </cell>
        </row>
        <row r="68">
          <cell r="BO68">
            <v>693449630.71976</v>
          </cell>
        </row>
        <row r="72">
          <cell r="BO72">
            <v>260969916</v>
          </cell>
        </row>
        <row r="73">
          <cell r="BO73">
            <v>239382783.966287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e8"/>
    </sheetNames>
    <sheetDataSet>
      <sheetData sheetId="0">
        <row r="48">
          <cell r="BO48">
            <v>692937</v>
          </cell>
        </row>
        <row r="49">
          <cell r="BO49">
            <v>674334.095355996</v>
          </cell>
        </row>
        <row r="54">
          <cell r="BO54">
            <v>1108352630</v>
          </cell>
        </row>
        <row r="55">
          <cell r="BO55">
            <v>1139758621.35793</v>
          </cell>
        </row>
      </sheetData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el8"/>
    </sheetNames>
    <sheetDataSet>
      <sheetData sheetId="0">
        <row r="48">
          <cell r="BO48">
            <v>35264</v>
          </cell>
        </row>
        <row r="49">
          <cell r="BO49">
            <v>33951.8873106705</v>
          </cell>
        </row>
        <row r="54">
          <cell r="BO54">
            <v>48130908</v>
          </cell>
        </row>
        <row r="55">
          <cell r="BO55">
            <v>48681464.189346</v>
          </cell>
        </row>
      </sheetData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Comps"/>
      <sheetName val="Summary"/>
      <sheetName val="TierSum"/>
      <sheetName val="Prices"/>
      <sheetName val="CPUCcomp"/>
      <sheetName val="BillDet"/>
      <sheetName val="GT200%Rev"/>
      <sheetName val="CARE130%"/>
      <sheetName val="130%Baseline"/>
      <sheetName val="130%-200%"/>
      <sheetName val="200%Baseline"/>
    </sheetNames>
    <sheetDataSet>
      <sheetData sheetId="0"/>
      <sheetData sheetId="1"/>
      <sheetData sheetId="2"/>
      <sheetData sheetId="3"/>
      <sheetData sheetId="4"/>
      <sheetData sheetId="5">
        <row r="65">
          <cell r="E65">
            <v>14300</v>
          </cell>
          <cell r="F65">
            <v>13845847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e7"/>
    </sheetNames>
    <sheetDataSet>
      <sheetData sheetId="0">
        <row r="61">
          <cell r="BO61">
            <v>572423</v>
          </cell>
        </row>
        <row r="62">
          <cell r="BO62">
            <v>580916.84</v>
          </cell>
        </row>
        <row r="67">
          <cell r="BO67">
            <v>86240102</v>
          </cell>
        </row>
        <row r="68">
          <cell r="BO68">
            <v>95322279.2658825</v>
          </cell>
        </row>
        <row r="72">
          <cell r="BO72">
            <v>486807130</v>
          </cell>
        </row>
        <row r="73">
          <cell r="BO73">
            <v>544487395.200743</v>
          </cell>
        </row>
        <row r="77">
          <cell r="BO77">
            <v>232129063</v>
          </cell>
        </row>
        <row r="78">
          <cell r="BO78">
            <v>280495005.639452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medtrans"/>
    </sheetNames>
    <sheetDataSet>
      <sheetData sheetId="0">
        <row r="79">
          <cell r="C79">
            <v>319326.690844489</v>
          </cell>
          <cell r="D79">
            <v>171622.096649259</v>
          </cell>
        </row>
        <row r="80">
          <cell r="C80">
            <v>45315928.0946963</v>
          </cell>
          <cell r="D80">
            <v>44840499.2209629</v>
          </cell>
        </row>
        <row r="81">
          <cell r="C81">
            <v>6780013777.41047</v>
          </cell>
          <cell r="D81">
            <v>6079837475.17191</v>
          </cell>
        </row>
        <row r="82">
          <cell r="E82">
            <v>212410.369915944</v>
          </cell>
          <cell r="F82">
            <v>245700.760762687</v>
          </cell>
          <cell r="G82">
            <v>523906.29842883</v>
          </cell>
          <cell r="H82">
            <v>492104.675152304</v>
          </cell>
          <cell r="I82">
            <v>664156.309698035</v>
          </cell>
        </row>
        <row r="83">
          <cell r="E83">
            <v>11153650.5604594</v>
          </cell>
          <cell r="F83">
            <v>12554073.6721478</v>
          </cell>
          <cell r="G83">
            <v>33514403.6355711</v>
          </cell>
          <cell r="H83">
            <v>22306995.418484</v>
          </cell>
          <cell r="I83">
            <v>29832500.6619616</v>
          </cell>
        </row>
        <row r="84">
          <cell r="E84">
            <v>560461878.196196</v>
          </cell>
          <cell r="F84">
            <v>622516713.998017</v>
          </cell>
          <cell r="G84">
            <v>1628670970.42207</v>
          </cell>
          <cell r="H84">
            <v>1084551096.00781</v>
          </cell>
          <cell r="I84">
            <v>1499130970.95256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e19trans"/>
    </sheetNames>
    <sheetDataSet>
      <sheetData sheetId="0">
        <row r="56">
          <cell r="E56">
            <v>1072101.91248267</v>
          </cell>
          <cell r="F56">
            <v>1146946.76297674</v>
          </cell>
          <cell r="G56">
            <v>2838035.81738337</v>
          </cell>
          <cell r="H56">
            <v>1585727.04843168</v>
          </cell>
          <cell r="I56">
            <v>2067180.22738422</v>
          </cell>
        </row>
        <row r="57">
          <cell r="E57">
            <v>70711308.4940508</v>
          </cell>
          <cell r="F57">
            <v>78175122.2203614</v>
          </cell>
          <cell r="G57">
            <v>185493592.886962</v>
          </cell>
          <cell r="H57">
            <v>133728487.198825</v>
          </cell>
          <cell r="I57">
            <v>163896700.187351</v>
          </cell>
        </row>
        <row r="58">
          <cell r="E58">
            <v>584156962.5014</v>
          </cell>
          <cell r="F58">
            <v>607203902.449215</v>
          </cell>
          <cell r="G58">
            <v>1338953058.13348</v>
          </cell>
          <cell r="H58">
            <v>1040354053.16689</v>
          </cell>
          <cell r="I58">
            <v>1183941058.89244</v>
          </cell>
        </row>
        <row r="59"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</row>
        <row r="60">
          <cell r="E60">
            <v>4349811.33755751</v>
          </cell>
          <cell r="F60">
            <v>4948267.93028166</v>
          </cell>
          <cell r="G60">
            <v>12704001.3470193</v>
          </cell>
          <cell r="H60">
            <v>8830702.86809525</v>
          </cell>
          <cell r="I60">
            <v>11753686.1018237</v>
          </cell>
        </row>
        <row r="61">
          <cell r="E61">
            <v>2437121.76940341</v>
          </cell>
          <cell r="F61">
            <v>2766222.15432284</v>
          </cell>
          <cell r="G61">
            <v>7503234.64459182</v>
          </cell>
          <cell r="H61">
            <v>4833084.72157498</v>
          </cell>
          <cell r="I61">
            <v>6969319.97091581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e19rtp"/>
    </sheetNames>
    <sheetDataSet>
      <sheetData sheetId="0">
        <row r="538">
          <cell r="BR538">
            <v>3061074.2024</v>
          </cell>
        </row>
        <row r="539">
          <cell r="BR539">
            <v>4203175.7176</v>
          </cell>
        </row>
        <row r="540">
          <cell r="BR540">
            <v>12914222.08</v>
          </cell>
        </row>
        <row r="544">
          <cell r="BR544">
            <v>10234077.3568</v>
          </cell>
        </row>
        <row r="545">
          <cell r="BR545">
            <v>15714394.6432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e20trans"/>
    </sheetNames>
    <sheetDataSet>
      <sheetData sheetId="0">
        <row r="87">
          <cell r="E87">
            <v>403932060.200433</v>
          </cell>
          <cell r="F87">
            <v>458300607.192993</v>
          </cell>
          <cell r="G87">
            <v>1253257336.70228</v>
          </cell>
          <cell r="H87">
            <v>803924755.455528</v>
          </cell>
          <cell r="I87">
            <v>1157827766.6844</v>
          </cell>
        </row>
        <row r="88">
          <cell r="E88">
            <v>547608608.706375</v>
          </cell>
          <cell r="F88">
            <v>608823943.504076</v>
          </cell>
          <cell r="G88">
            <v>1545115522.89116</v>
          </cell>
          <cell r="H88">
            <v>1080068304.68739</v>
          </cell>
          <cell r="I88">
            <v>1429680024.19723</v>
          </cell>
        </row>
        <row r="89">
          <cell r="E89">
            <v>350498409.586065</v>
          </cell>
          <cell r="F89">
            <v>362678838.795957</v>
          </cell>
          <cell r="G89">
            <v>856583608.338793</v>
          </cell>
          <cell r="H89">
            <v>666267080.281984</v>
          </cell>
          <cell r="I89">
            <v>789308841.262709</v>
          </cell>
        </row>
        <row r="90">
          <cell r="E90">
            <v>277297446.387214</v>
          </cell>
          <cell r="F90">
            <v>322081985.146268</v>
          </cell>
          <cell r="G90">
            <v>937706366.473671</v>
          </cell>
          <cell r="H90">
            <v>562296745.248202</v>
          </cell>
          <cell r="I90">
            <v>865505666.524499</v>
          </cell>
        </row>
        <row r="91">
          <cell r="E91">
            <v>107976559.363145</v>
          </cell>
          <cell r="F91">
            <v>124169865.290545</v>
          </cell>
          <cell r="G91">
            <v>313950241.523684</v>
          </cell>
          <cell r="H91">
            <v>215950921.235639</v>
          </cell>
          <cell r="I91">
            <v>287602180.245064</v>
          </cell>
        </row>
        <row r="92">
          <cell r="E92">
            <v>17526990.0172216</v>
          </cell>
          <cell r="F92">
            <v>20188464.7146949</v>
          </cell>
          <cell r="G92">
            <v>46508428.0995183</v>
          </cell>
          <cell r="H92">
            <v>35286279.6236344</v>
          </cell>
          <cell r="I92">
            <v>42746183.0557871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mes"/>
    </sheetNames>
    <sheetDataSet>
      <sheetData sheetId="0">
        <row r="236">
          <cell r="BR236">
            <v>330252</v>
          </cell>
        </row>
        <row r="237">
          <cell r="BR237">
            <v>374970</v>
          </cell>
        </row>
        <row r="238">
          <cell r="BR238">
            <v>1034778</v>
          </cell>
        </row>
        <row r="242">
          <cell r="BR242">
            <v>707484</v>
          </cell>
        </row>
        <row r="243">
          <cell r="BR243">
            <v>1032516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e20rtp"/>
    </sheetNames>
    <sheetDataSet>
      <sheetData sheetId="0">
        <row r="538">
          <cell r="BR538">
            <v>40207457.682</v>
          </cell>
        </row>
        <row r="539">
          <cell r="BR539">
            <v>38883164.43295</v>
          </cell>
        </row>
        <row r="540">
          <cell r="BR540">
            <v>80462781.38505</v>
          </cell>
        </row>
        <row r="544">
          <cell r="BR544">
            <v>96907702.4741</v>
          </cell>
        </row>
        <row r="545">
          <cell r="BR545">
            <v>95905076.0259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sbytrans"/>
    </sheetNames>
    <sheetDataSet>
      <sheetData sheetId="0">
        <row r="68">
          <cell r="E68">
            <v>5797421.77036667</v>
          </cell>
          <cell r="F68">
            <v>7543843.95226667</v>
          </cell>
          <cell r="G68">
            <v>35757741.9440333</v>
          </cell>
          <cell r="H68">
            <v>31391299.53925</v>
          </cell>
          <cell r="I68">
            <v>48795704.7940833</v>
          </cell>
        </row>
        <row r="70">
          <cell r="E70">
            <v>2088517.69456667</v>
          </cell>
          <cell r="F70">
            <v>3360498.41538333</v>
          </cell>
          <cell r="G70">
            <v>10633181.64005</v>
          </cell>
          <cell r="H70">
            <v>5499662.00743333</v>
          </cell>
          <cell r="I70">
            <v>8146583.24256667</v>
          </cell>
        </row>
        <row r="72">
          <cell r="E72">
            <v>690904.405591667</v>
          </cell>
          <cell r="F72">
            <v>753862.22745</v>
          </cell>
          <cell r="G72">
            <v>2144602.11695833</v>
          </cell>
          <cell r="H72">
            <v>1549348.187</v>
          </cell>
          <cell r="I72">
            <v>2213368.063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strttran"/>
    </sheetNames>
    <sheetDataSet>
      <sheetData sheetId="0">
        <row r="40">
          <cell r="C40">
            <v>7098467.91562168</v>
          </cell>
          <cell r="D40">
            <v>7098467.91562168</v>
          </cell>
        </row>
        <row r="42">
          <cell r="C42">
            <v>175645927.415622</v>
          </cell>
          <cell r="D42">
            <v>175645927.415622</v>
          </cell>
        </row>
      </sheetData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vmlDrawing" Target="../drawings/vmlDrawing1.vm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24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9.14"/>
    <col collapsed="false" customWidth="true" hidden="false" outlineLevel="0" max="2" min="2" style="1" width="9.99"/>
    <col collapsed="false" customWidth="true" hidden="false" outlineLevel="0" max="3" min="3" style="1" width="4.56"/>
    <col collapsed="false" customWidth="true" hidden="false" outlineLevel="0" max="4" min="4" style="1" width="7.85"/>
    <col collapsed="false" customWidth="true" hidden="false" outlineLevel="0" max="5" min="5" style="1" width="16.28"/>
    <col collapsed="false" customWidth="true" hidden="false" outlineLevel="0" max="6" min="6" style="2" width="13.56"/>
    <col collapsed="false" customWidth="true" hidden="false" outlineLevel="0" max="7" min="7" style="1" width="11.85"/>
    <col collapsed="false" customWidth="true" hidden="false" outlineLevel="0" max="8" min="8" style="1" width="13.14"/>
    <col collapsed="false" customWidth="true" hidden="false" outlineLevel="0" max="9" min="9" style="1" width="1.7"/>
    <col collapsed="false" customWidth="true" hidden="false" outlineLevel="0" max="10" min="10" style="1" width="11.56"/>
    <col collapsed="false" customWidth="true" hidden="false" outlineLevel="0" max="11" min="11" style="1" width="14.85"/>
    <col collapsed="false" customWidth="true" hidden="false" outlineLevel="0" max="12" min="12" style="3" width="1.7"/>
    <col collapsed="false" customWidth="true" hidden="false" outlineLevel="0" max="13" min="13" style="4" width="6.99"/>
    <col collapsed="false" customWidth="true" hidden="false" outlineLevel="0" max="14" min="14" style="1" width="11.28"/>
    <col collapsed="false" customWidth="true" hidden="false" outlineLevel="0" max="15" min="15" style="1" width="17.85"/>
    <col collapsed="false" customWidth="true" hidden="false" outlineLevel="0" max="16" min="16" style="1" width="13.14"/>
    <col collapsed="false" customWidth="true" hidden="false" outlineLevel="0" max="17" min="17" style="0" width="15.13"/>
  </cols>
  <sheetData>
    <row r="1" customFormat="false" ht="12.75" hidden="false" customHeight="false" outlineLevel="0" collapsed="false">
      <c r="E1" s="5" t="s">
        <v>0</v>
      </c>
      <c r="F1" s="6" t="s">
        <v>1</v>
      </c>
      <c r="G1" s="5" t="s">
        <v>2</v>
      </c>
      <c r="H1" s="6" t="s">
        <v>3</v>
      </c>
      <c r="I1" s="6"/>
      <c r="J1" s="7" t="s">
        <v>4</v>
      </c>
      <c r="K1" s="8" t="n">
        <v>0.03</v>
      </c>
      <c r="L1" s="4"/>
      <c r="M1" s="4" t="s">
        <v>5</v>
      </c>
      <c r="N1" s="9" t="n">
        <v>0.55</v>
      </c>
      <c r="O1" s="5" t="s">
        <v>0</v>
      </c>
      <c r="P1" s="1" t="s">
        <v>6</v>
      </c>
      <c r="Q1" s="0" t="s">
        <v>7</v>
      </c>
    </row>
    <row r="2" customFormat="false" ht="13.5" hidden="false" customHeight="false" outlineLevel="0" collapsed="false">
      <c r="A2" s="1" t="s">
        <v>8</v>
      </c>
      <c r="E2" s="5" t="s">
        <v>9</v>
      </c>
      <c r="H2" s="5" t="s">
        <v>10</v>
      </c>
      <c r="I2" s="6"/>
      <c r="J2" s="7" t="s">
        <v>11</v>
      </c>
      <c r="K2" s="7" t="s">
        <v>12</v>
      </c>
      <c r="L2" s="4"/>
      <c r="M2" s="4" t="s">
        <v>13</v>
      </c>
      <c r="N2" s="10" t="n">
        <v>0.45</v>
      </c>
      <c r="O2" s="5" t="s">
        <v>9</v>
      </c>
    </row>
    <row r="4" customFormat="false" ht="12.75" hidden="false" customHeight="false" outlineLevel="0" collapsed="false">
      <c r="A4" s="1" t="s">
        <v>14</v>
      </c>
      <c r="B4" s="11" t="s">
        <v>15</v>
      </c>
      <c r="C4" s="12" t="s">
        <v>16</v>
      </c>
      <c r="E4" s="13" t="n">
        <f aca="false">[1]smltran!$C$34</f>
        <v>3064293997.94957</v>
      </c>
      <c r="F4" s="14" t="n">
        <v>0.148704728872307</v>
      </c>
      <c r="G4" s="15" t="n">
        <f aca="false">0.01</f>
        <v>0.01</v>
      </c>
      <c r="H4" s="16" t="n">
        <f aca="false">F4+G4</f>
        <v>0.158704728872307</v>
      </c>
      <c r="I4" s="16"/>
      <c r="M4" s="17" t="s">
        <v>16</v>
      </c>
      <c r="N4" s="11" t="s">
        <v>17</v>
      </c>
      <c r="O4" s="18" t="n">
        <f aca="false">$E$4*N1</f>
        <v>1685361698.87226</v>
      </c>
      <c r="P4" s="11"/>
    </row>
    <row r="5" customFormat="false" ht="12.75" hidden="false" customHeight="false" outlineLevel="0" collapsed="false">
      <c r="B5" s="11"/>
      <c r="C5" s="12"/>
      <c r="E5" s="13"/>
      <c r="F5" s="14"/>
      <c r="M5" s="17"/>
      <c r="N5" s="11" t="s">
        <v>18</v>
      </c>
      <c r="O5" s="18" t="n">
        <f aca="false">$E$4*N2</f>
        <v>1378932299.07731</v>
      </c>
      <c r="P5" s="11"/>
    </row>
    <row r="6" customFormat="false" ht="12.75" hidden="false" customHeight="false" outlineLevel="0" collapsed="false">
      <c r="B6" s="11"/>
      <c r="C6" s="12" t="s">
        <v>19</v>
      </c>
      <c r="E6" s="13" t="n">
        <f aca="false">[1]smltran!$D$34</f>
        <v>2842096343.71183</v>
      </c>
      <c r="F6" s="14" t="n">
        <v>0.101934168481942</v>
      </c>
      <c r="G6" s="19" t="n">
        <f aca="false">$G$4</f>
        <v>0.01</v>
      </c>
      <c r="H6" s="16" t="n">
        <f aca="false">F6+G6</f>
        <v>0.111934168481942</v>
      </c>
      <c r="I6" s="16"/>
      <c r="M6" s="17" t="s">
        <v>19</v>
      </c>
      <c r="N6" s="11" t="s">
        <v>17</v>
      </c>
      <c r="O6" s="18" t="n">
        <f aca="false">E6*N1</f>
        <v>1563152989.0415</v>
      </c>
      <c r="P6" s="11"/>
    </row>
    <row r="7" customFormat="false" ht="12.75" hidden="false" customHeight="false" outlineLevel="0" collapsed="false">
      <c r="B7" s="11"/>
      <c r="C7" s="12"/>
      <c r="E7" s="13"/>
      <c r="F7" s="14"/>
      <c r="G7" s="19"/>
      <c r="H7" s="16"/>
      <c r="I7" s="16"/>
      <c r="M7" s="17"/>
      <c r="N7" s="11" t="s">
        <v>18</v>
      </c>
      <c r="O7" s="18" t="n">
        <f aca="false">E6*N2</f>
        <v>1278943354.67032</v>
      </c>
      <c r="P7" s="11"/>
    </row>
    <row r="8" customFormat="false" ht="12.75" hidden="false" customHeight="false" outlineLevel="0" collapsed="false">
      <c r="F8" s="20"/>
      <c r="M8" s="5"/>
      <c r="P8" s="11"/>
    </row>
    <row r="9" customFormat="false" ht="12.75" hidden="false" customHeight="false" outlineLevel="0" collapsed="false">
      <c r="B9" s="21" t="s">
        <v>20</v>
      </c>
      <c r="E9" s="22" t="n">
        <f aca="false">SUM(E4:E7)</f>
        <v>5906390341.6614</v>
      </c>
      <c r="F9" s="20"/>
      <c r="J9" s="23"/>
      <c r="K9" s="24" t="n">
        <f aca="false">E9*$K$1</f>
        <v>177191710.249842</v>
      </c>
      <c r="M9" s="5"/>
      <c r="O9" s="22" t="n">
        <f aca="false">SUM(O4:O7)</f>
        <v>5906390341.6614</v>
      </c>
    </row>
    <row r="10" customFormat="false" ht="12.75" hidden="false" customHeight="false" outlineLevel="0" collapsed="false">
      <c r="F10" s="20"/>
      <c r="M10" s="5"/>
    </row>
    <row r="11" customFormat="false" ht="12.75" hidden="false" customHeight="false" outlineLevel="0" collapsed="false">
      <c r="A11" s="1" t="s">
        <v>21</v>
      </c>
      <c r="B11" s="25" t="s">
        <v>15</v>
      </c>
      <c r="C11" s="26" t="s">
        <v>16</v>
      </c>
      <c r="D11" s="25" t="s">
        <v>22</v>
      </c>
      <c r="E11" s="13" t="n">
        <f aca="false">[1]smltran!$E$35</f>
        <v>205784594.314227</v>
      </c>
      <c r="F11" s="27" t="n">
        <v>0.23258219019613</v>
      </c>
      <c r="G11" s="19" t="n">
        <f aca="false">$G$4</f>
        <v>0.01</v>
      </c>
      <c r="H11" s="16" t="n">
        <f aca="false">F11+G11</f>
        <v>0.24258219019613</v>
      </c>
      <c r="I11" s="16"/>
      <c r="M11" s="28" t="s">
        <v>16</v>
      </c>
      <c r="N11" s="25" t="s">
        <v>22</v>
      </c>
      <c r="O11" s="29" t="n">
        <f aca="false">E11</f>
        <v>205784594.314227</v>
      </c>
      <c r="P11" s="25"/>
    </row>
    <row r="12" customFormat="false" ht="12.75" hidden="false" customHeight="false" outlineLevel="0" collapsed="false">
      <c r="B12" s="25"/>
      <c r="C12" s="30"/>
      <c r="D12" s="25" t="s">
        <v>23</v>
      </c>
      <c r="E12" s="13" t="n">
        <f aca="false">[1]smltran!$F$35</f>
        <v>257193227.564539</v>
      </c>
      <c r="F12" s="27" t="n">
        <v>0.102882757483991</v>
      </c>
      <c r="G12" s="19" t="n">
        <f aca="false">$G$4</f>
        <v>0.01</v>
      </c>
      <c r="H12" s="16" t="n">
        <f aca="false">F12+G12</f>
        <v>0.112882757483991</v>
      </c>
      <c r="I12" s="16"/>
      <c r="M12" s="30"/>
      <c r="N12" s="25" t="s">
        <v>23</v>
      </c>
      <c r="O12" s="29" t="n">
        <f aca="false">E12</f>
        <v>257193227.564539</v>
      </c>
      <c r="P12" s="25"/>
    </row>
    <row r="13" customFormat="false" ht="12.75" hidden="false" customHeight="false" outlineLevel="0" collapsed="false">
      <c r="B13" s="25"/>
      <c r="C13" s="30"/>
      <c r="D13" s="25" t="s">
        <v>24</v>
      </c>
      <c r="E13" s="13" t="n">
        <f aca="false">[1]smltran!$G$35</f>
        <v>624052813.672496</v>
      </c>
      <c r="F13" s="27" t="n">
        <v>0.0561797686605692</v>
      </c>
      <c r="G13" s="19" t="n">
        <f aca="false">$G$4</f>
        <v>0.01</v>
      </c>
      <c r="H13" s="16" t="n">
        <f aca="false">F13+G13</f>
        <v>0.0661797686605692</v>
      </c>
      <c r="I13" s="16"/>
      <c r="M13" s="30"/>
      <c r="N13" s="25" t="s">
        <v>24</v>
      </c>
      <c r="O13" s="29" t="n">
        <f aca="false">E13</f>
        <v>624052813.672496</v>
      </c>
      <c r="P13" s="25"/>
    </row>
    <row r="14" customFormat="false" ht="12.75" hidden="false" customHeight="false" outlineLevel="0" collapsed="false">
      <c r="B14" s="25"/>
      <c r="C14" s="26" t="s">
        <v>19</v>
      </c>
      <c r="D14" s="25" t="s">
        <v>25</v>
      </c>
      <c r="E14" s="13" t="n">
        <f aca="false">[1]smltran!$H$35</f>
        <v>376032221.778082</v>
      </c>
      <c r="F14" s="27" t="n">
        <v>0.115624176044565</v>
      </c>
      <c r="G14" s="19" t="n">
        <f aca="false">$G$4</f>
        <v>0.01</v>
      </c>
      <c r="H14" s="16" t="n">
        <f aca="false">F14+G14</f>
        <v>0.125624176044565</v>
      </c>
      <c r="I14" s="16"/>
      <c r="M14" s="28" t="s">
        <v>19</v>
      </c>
      <c r="N14" s="25" t="s">
        <v>25</v>
      </c>
      <c r="O14" s="29" t="n">
        <f aca="false">E14</f>
        <v>376032221.778082</v>
      </c>
      <c r="P14" s="25"/>
    </row>
    <row r="15" customFormat="false" ht="12.75" hidden="false" customHeight="false" outlineLevel="0" collapsed="false">
      <c r="B15" s="25"/>
      <c r="C15" s="30"/>
      <c r="D15" s="25" t="s">
        <v>24</v>
      </c>
      <c r="E15" s="13" t="n">
        <f aca="false">[1]smltran!$I$35</f>
        <v>510377690.770313</v>
      </c>
      <c r="F15" s="27" t="n">
        <v>0.0716914663664511</v>
      </c>
      <c r="G15" s="19" t="n">
        <f aca="false">$G$4</f>
        <v>0.01</v>
      </c>
      <c r="H15" s="16" t="n">
        <f aca="false">F15+G15</f>
        <v>0.0816914663664511</v>
      </c>
      <c r="I15" s="16"/>
      <c r="M15" s="30"/>
      <c r="N15" s="25" t="s">
        <v>24</v>
      </c>
      <c r="O15" s="29" t="n">
        <f aca="false">E15</f>
        <v>510377690.770313</v>
      </c>
      <c r="P15" s="25"/>
    </row>
    <row r="16" customFormat="false" ht="12.75" hidden="false" customHeight="false" outlineLevel="0" collapsed="false">
      <c r="F16" s="20"/>
      <c r="M16" s="5"/>
    </row>
    <row r="17" customFormat="false" ht="12.75" hidden="false" customHeight="false" outlineLevel="0" collapsed="false">
      <c r="B17" s="21" t="s">
        <v>20</v>
      </c>
      <c r="E17" s="22" t="n">
        <f aca="false">SUM(E11:E15)</f>
        <v>1973440548.09966</v>
      </c>
      <c r="F17" s="20"/>
      <c r="J17" s="23"/>
      <c r="K17" s="24" t="n">
        <f aca="false">E17*$K$1</f>
        <v>59203216.4429897</v>
      </c>
      <c r="M17" s="5"/>
    </row>
    <row r="18" customFormat="false" ht="12.75" hidden="false" customHeight="false" outlineLevel="0" collapsed="false">
      <c r="F18" s="20"/>
      <c r="M18" s="5"/>
    </row>
    <row r="19" customFormat="false" ht="12.75" hidden="false" customHeight="false" outlineLevel="0" collapsed="false">
      <c r="A19" s="1" t="s">
        <v>26</v>
      </c>
      <c r="B19" s="31" t="s">
        <v>15</v>
      </c>
      <c r="C19" s="32" t="s">
        <v>16</v>
      </c>
      <c r="D19" s="31"/>
      <c r="E19" s="13" t="n">
        <f aca="false">[1]smltran!$C$36</f>
        <v>661848</v>
      </c>
      <c r="F19" s="27" t="n">
        <v>0.179852058105772</v>
      </c>
      <c r="G19" s="19" t="n">
        <f aca="false">$G$4</f>
        <v>0.01</v>
      </c>
      <c r="H19" s="16" t="n">
        <f aca="false">F19+G19</f>
        <v>0.189852058105772</v>
      </c>
      <c r="I19" s="16"/>
      <c r="M19" s="32" t="s">
        <v>16</v>
      </c>
      <c r="N19" s="11" t="s">
        <v>17</v>
      </c>
      <c r="O19" s="18" t="n">
        <f aca="false">E19*N1</f>
        <v>364016.4</v>
      </c>
      <c r="P19" s="11"/>
    </row>
    <row r="20" customFormat="false" ht="12.75" hidden="false" customHeight="false" outlineLevel="0" collapsed="false">
      <c r="B20" s="31"/>
      <c r="C20" s="32"/>
      <c r="D20" s="31"/>
      <c r="E20" s="13"/>
      <c r="F20" s="27"/>
      <c r="M20" s="32"/>
      <c r="N20" s="11" t="s">
        <v>18</v>
      </c>
      <c r="O20" s="18" t="n">
        <f aca="false">E19*N2</f>
        <v>297831.6</v>
      </c>
      <c r="P20" s="11"/>
    </row>
    <row r="21" customFormat="false" ht="12.75" hidden="false" customHeight="false" outlineLevel="0" collapsed="false">
      <c r="B21" s="31"/>
      <c r="C21" s="32" t="s">
        <v>19</v>
      </c>
      <c r="D21" s="31"/>
      <c r="E21" s="13" t="n">
        <f aca="false">[1]smltran!$D$36</f>
        <v>661848</v>
      </c>
      <c r="F21" s="27" t="n">
        <v>0.144523649572065</v>
      </c>
      <c r="G21" s="19" t="n">
        <f aca="false">$G$4</f>
        <v>0.01</v>
      </c>
      <c r="H21" s="16" t="n">
        <f aca="false">F21+G21</f>
        <v>0.154523649572065</v>
      </c>
      <c r="I21" s="16"/>
      <c r="M21" s="32" t="s">
        <v>19</v>
      </c>
      <c r="N21" s="11" t="s">
        <v>17</v>
      </c>
      <c r="O21" s="18" t="n">
        <f aca="false">E21*N1</f>
        <v>364016.4</v>
      </c>
      <c r="P21" s="11"/>
    </row>
    <row r="22" customFormat="false" ht="12.75" hidden="false" customHeight="false" outlineLevel="0" collapsed="false">
      <c r="B22" s="31"/>
      <c r="C22" s="32"/>
      <c r="D22" s="31"/>
      <c r="E22" s="13"/>
      <c r="F22" s="27"/>
      <c r="G22" s="19"/>
      <c r="H22" s="16"/>
      <c r="I22" s="16"/>
      <c r="M22" s="32"/>
      <c r="N22" s="11" t="s">
        <v>18</v>
      </c>
      <c r="O22" s="18" t="n">
        <f aca="false">E21*N2</f>
        <v>297831.6</v>
      </c>
      <c r="P22" s="11"/>
    </row>
    <row r="23" customFormat="false" ht="12.75" hidden="false" customHeight="false" outlineLevel="0" collapsed="false">
      <c r="B23" s="31"/>
      <c r="C23" s="32"/>
      <c r="D23" s="31"/>
      <c r="E23" s="13"/>
      <c r="F23" s="27"/>
      <c r="G23" s="19"/>
      <c r="H23" s="16"/>
      <c r="I23" s="16"/>
      <c r="M23" s="32"/>
      <c r="P23" s="11"/>
    </row>
    <row r="24" customFormat="false" ht="12.75" hidden="false" customHeight="false" outlineLevel="0" collapsed="false">
      <c r="B24" s="21" t="s">
        <v>20</v>
      </c>
      <c r="E24" s="22" t="n">
        <f aca="false">SUM(E19:E22)</f>
        <v>1323696</v>
      </c>
      <c r="J24" s="23"/>
      <c r="K24" s="24" t="n">
        <f aca="false">E24*$K$1</f>
        <v>39710.88</v>
      </c>
      <c r="M24" s="5"/>
      <c r="O24" s="22" t="n">
        <f aca="false">SUM(O19:O22)</f>
        <v>1323696</v>
      </c>
      <c r="P24" s="11"/>
    </row>
    <row r="25" customFormat="false" ht="12.75" hidden="false" customHeight="false" outlineLevel="0" collapsed="false">
      <c r="M25" s="5"/>
    </row>
    <row r="26" customFormat="false" ht="12.75" hidden="false" customHeight="false" outlineLevel="0" collapsed="false">
      <c r="A26" s="1" t="s">
        <v>27</v>
      </c>
      <c r="B26" s="26" t="s">
        <v>15</v>
      </c>
      <c r="C26" s="28" t="s">
        <v>16</v>
      </c>
      <c r="E26" s="13" t="n">
        <f aca="false">[1]smltran!$C$37</f>
        <v>60667065.2301713</v>
      </c>
      <c r="F26" s="20" t="n">
        <v>0.101307464520154</v>
      </c>
      <c r="G26" s="19" t="n">
        <f aca="false">$G$4</f>
        <v>0.01</v>
      </c>
      <c r="H26" s="16" t="n">
        <f aca="false">F26+G26</f>
        <v>0.111307464520154</v>
      </c>
      <c r="I26" s="16"/>
      <c r="M26" s="28" t="s">
        <v>16</v>
      </c>
      <c r="N26" s="11" t="s">
        <v>17</v>
      </c>
      <c r="O26" s="18" t="n">
        <f aca="false">E26*$N$1</f>
        <v>33366885.8765942</v>
      </c>
      <c r="P26" s="11"/>
    </row>
    <row r="27" customFormat="false" ht="12.75" hidden="false" customHeight="false" outlineLevel="0" collapsed="false">
      <c r="B27" s="26"/>
      <c r="C27" s="28"/>
      <c r="E27" s="13"/>
      <c r="F27" s="20"/>
      <c r="M27" s="28"/>
      <c r="N27" s="11" t="s">
        <v>18</v>
      </c>
      <c r="O27" s="18" t="n">
        <f aca="false">E26*$N$2</f>
        <v>27300179.3535771</v>
      </c>
      <c r="P27" s="11"/>
    </row>
    <row r="28" customFormat="false" ht="12.75" hidden="false" customHeight="false" outlineLevel="0" collapsed="false">
      <c r="C28" s="28" t="s">
        <v>19</v>
      </c>
      <c r="E28" s="13" t="n">
        <f aca="false">[1]smltran!$D$37</f>
        <v>60667065.2301713</v>
      </c>
      <c r="F28" s="20" t="n">
        <v>0.101307464520154</v>
      </c>
      <c r="G28" s="19" t="n">
        <f aca="false">$G$4</f>
        <v>0.01</v>
      </c>
      <c r="H28" s="16" t="n">
        <f aca="false">F28+G28</f>
        <v>0.111307464520154</v>
      </c>
      <c r="I28" s="16"/>
      <c r="M28" s="28" t="s">
        <v>19</v>
      </c>
      <c r="N28" s="11" t="s">
        <v>17</v>
      </c>
      <c r="O28" s="18" t="n">
        <f aca="false">E28*$N$1</f>
        <v>33366885.8765942</v>
      </c>
      <c r="P28" s="11"/>
    </row>
    <row r="29" customFormat="false" ht="12.75" hidden="false" customHeight="false" outlineLevel="0" collapsed="false">
      <c r="C29" s="28"/>
      <c r="E29" s="13"/>
      <c r="F29" s="20"/>
      <c r="G29" s="19"/>
      <c r="H29" s="16"/>
      <c r="I29" s="16"/>
      <c r="M29" s="28"/>
      <c r="N29" s="11" t="s">
        <v>18</v>
      </c>
      <c r="O29" s="18" t="n">
        <f aca="false">E28*$N$2</f>
        <v>27300179.3535771</v>
      </c>
      <c r="P29" s="11"/>
    </row>
    <row r="30" customFormat="false" ht="12.75" hidden="false" customHeight="false" outlineLevel="0" collapsed="false">
      <c r="P30" s="11"/>
    </row>
    <row r="31" customFormat="false" ht="12.75" hidden="false" customHeight="false" outlineLevel="0" collapsed="false">
      <c r="B31" s="21" t="s">
        <v>20</v>
      </c>
      <c r="E31" s="22" t="n">
        <f aca="false">SUM(E26:E29)</f>
        <v>121334130.460343</v>
      </c>
      <c r="J31" s="23"/>
      <c r="K31" s="24" t="n">
        <f aca="false">E31*$K$1</f>
        <v>3640023.91381028</v>
      </c>
      <c r="O31" s="22" t="n">
        <f aca="false">SUM(O26:O29)</f>
        <v>121334130.460343</v>
      </c>
    </row>
    <row r="33" customFormat="false" ht="12.75" hidden="false" customHeight="false" outlineLevel="0" collapsed="false">
      <c r="A33" s="1" t="s">
        <v>28</v>
      </c>
      <c r="B33" s="33" t="s">
        <v>15</v>
      </c>
      <c r="C33" s="32" t="s">
        <v>16</v>
      </c>
      <c r="D33" s="33"/>
      <c r="E33" s="34" t="n">
        <f aca="false">[2]medtrans!$C$79</f>
        <v>319326.690844489</v>
      </c>
      <c r="F33" s="20" t="n">
        <v>0.0891490320832931</v>
      </c>
      <c r="G33" s="19" t="n">
        <f aca="false">$G$4</f>
        <v>0.01</v>
      </c>
      <c r="H33" s="16" t="n">
        <f aca="false">F33+G33</f>
        <v>0.0991490320832931</v>
      </c>
      <c r="I33" s="16"/>
      <c r="M33" s="32" t="s">
        <v>16</v>
      </c>
      <c r="N33" s="11" t="s">
        <v>17</v>
      </c>
      <c r="O33" s="18" t="n">
        <f aca="false">E33*$N$1</f>
        <v>175629.679964469</v>
      </c>
      <c r="P33" s="11"/>
    </row>
    <row r="34" customFormat="false" ht="12.75" hidden="false" customHeight="false" outlineLevel="0" collapsed="false">
      <c r="B34" s="33"/>
      <c r="C34" s="32"/>
      <c r="D34" s="33"/>
      <c r="E34" s="34"/>
      <c r="F34" s="20"/>
      <c r="M34" s="32"/>
      <c r="N34" s="11" t="s">
        <v>18</v>
      </c>
      <c r="O34" s="18" t="n">
        <f aca="false">E33*$N$2</f>
        <v>143697.01088002</v>
      </c>
      <c r="P34" s="11"/>
    </row>
    <row r="35" customFormat="false" ht="12.75" hidden="false" customHeight="false" outlineLevel="0" collapsed="false">
      <c r="B35" s="33"/>
      <c r="C35" s="32" t="s">
        <v>19</v>
      </c>
      <c r="D35" s="33"/>
      <c r="E35" s="34" t="n">
        <f aca="false">[2]medtrans!$D$79</f>
        <v>171622.096649259</v>
      </c>
      <c r="F35" s="20" t="n">
        <v>0.0727923280508959</v>
      </c>
      <c r="G35" s="19" t="n">
        <f aca="false">$G$4</f>
        <v>0.01</v>
      </c>
      <c r="H35" s="16" t="n">
        <f aca="false">F35+G35</f>
        <v>0.0827923280508959</v>
      </c>
      <c r="I35" s="16"/>
      <c r="M35" s="32" t="s">
        <v>19</v>
      </c>
      <c r="N35" s="11" t="s">
        <v>17</v>
      </c>
      <c r="O35" s="18" t="n">
        <f aca="false">E35*$N$1</f>
        <v>94392.1531570926</v>
      </c>
      <c r="P35" s="11"/>
    </row>
    <row r="36" customFormat="false" ht="12.75" hidden="false" customHeight="false" outlineLevel="0" collapsed="false">
      <c r="M36" s="1"/>
      <c r="N36" s="11" t="s">
        <v>18</v>
      </c>
      <c r="O36" s="18" t="n">
        <f aca="false">E35*$N$2</f>
        <v>77229.9434921667</v>
      </c>
      <c r="P36" s="11"/>
    </row>
    <row r="37" customFormat="false" ht="12.75" hidden="false" customHeight="false" outlineLevel="0" collapsed="false">
      <c r="M37" s="1"/>
    </row>
    <row r="38" customFormat="false" ht="12.75" hidden="false" customHeight="false" outlineLevel="0" collapsed="false">
      <c r="B38" s="21" t="s">
        <v>20</v>
      </c>
      <c r="E38" s="22" t="n">
        <f aca="false">SUM(E33:E36)</f>
        <v>490948.787493748</v>
      </c>
      <c r="J38" s="23"/>
      <c r="K38" s="24" t="n">
        <f aca="false">E38*$K$1</f>
        <v>14728.4636248125</v>
      </c>
      <c r="M38" s="1"/>
      <c r="O38" s="22" t="n">
        <f aca="false">SUM(O33:O36)</f>
        <v>490948.787493749</v>
      </c>
    </row>
    <row r="39" customFormat="false" ht="12.75" hidden="false" customHeight="false" outlineLevel="0" collapsed="false">
      <c r="M39" s="1"/>
    </row>
    <row r="40" customFormat="false" ht="12.75" hidden="false" customHeight="false" outlineLevel="0" collapsed="false">
      <c r="A40" s="1" t="s">
        <v>29</v>
      </c>
      <c r="B40" s="33" t="s">
        <v>15</v>
      </c>
      <c r="C40" s="32" t="s">
        <v>16</v>
      </c>
      <c r="E40" s="34" t="n">
        <f aca="false">[2]medtrans!$C$80</f>
        <v>45315928.0946963</v>
      </c>
      <c r="F40" s="20" t="n">
        <v>0.0891490320832931</v>
      </c>
      <c r="G40" s="19" t="n">
        <f aca="false">$G$4</f>
        <v>0.01</v>
      </c>
      <c r="H40" s="16" t="n">
        <f aca="false">F40+G40</f>
        <v>0.0991490320832931</v>
      </c>
      <c r="I40" s="16"/>
      <c r="M40" s="32" t="s">
        <v>16</v>
      </c>
      <c r="N40" s="11" t="s">
        <v>17</v>
      </c>
      <c r="O40" s="18" t="n">
        <f aca="false">E40*$N$1</f>
        <v>24923760.452083</v>
      </c>
      <c r="P40" s="11"/>
    </row>
    <row r="41" customFormat="false" ht="12.75" hidden="false" customHeight="false" outlineLevel="0" collapsed="false">
      <c r="B41" s="33"/>
      <c r="C41" s="32"/>
      <c r="E41" s="34"/>
      <c r="F41" s="20"/>
      <c r="M41" s="32"/>
      <c r="N41" s="11" t="s">
        <v>18</v>
      </c>
      <c r="O41" s="18" t="n">
        <f aca="false">E40*$N$2</f>
        <v>20392167.6426133</v>
      </c>
      <c r="P41" s="11"/>
    </row>
    <row r="42" customFormat="false" ht="12.75" hidden="false" customHeight="false" outlineLevel="0" collapsed="false">
      <c r="B42" s="33"/>
      <c r="C42" s="32" t="s">
        <v>19</v>
      </c>
      <c r="E42" s="34" t="n">
        <f aca="false">[2]medtrans!$D$80</f>
        <v>44840499.2209629</v>
      </c>
      <c r="F42" s="20" t="n">
        <v>0.0727923280508959</v>
      </c>
      <c r="G42" s="19" t="n">
        <f aca="false">$G$4</f>
        <v>0.01</v>
      </c>
      <c r="H42" s="16" t="n">
        <f aca="false">F42+G42</f>
        <v>0.0827923280508959</v>
      </c>
      <c r="I42" s="16"/>
      <c r="M42" s="32" t="s">
        <v>19</v>
      </c>
      <c r="N42" s="11" t="s">
        <v>17</v>
      </c>
      <c r="O42" s="18" t="n">
        <f aca="false">E42*$N$1</f>
        <v>24662274.5715296</v>
      </c>
      <c r="P42" s="11"/>
    </row>
    <row r="43" customFormat="false" ht="12.75" hidden="false" customHeight="false" outlineLevel="0" collapsed="false">
      <c r="E43" s="26"/>
      <c r="M43" s="1"/>
      <c r="N43" s="11" t="s">
        <v>18</v>
      </c>
      <c r="O43" s="18" t="n">
        <f aca="false">E42*$N$2</f>
        <v>20178224.6494333</v>
      </c>
      <c r="P43" s="11"/>
    </row>
    <row r="44" customFormat="false" ht="12.75" hidden="false" customHeight="false" outlineLevel="0" collapsed="false">
      <c r="E44" s="26"/>
      <c r="M44" s="1"/>
    </row>
    <row r="45" customFormat="false" ht="12.75" hidden="false" customHeight="false" outlineLevel="0" collapsed="false">
      <c r="B45" s="21" t="s">
        <v>20</v>
      </c>
      <c r="E45" s="22" t="n">
        <f aca="false">SUM(E40:E43)</f>
        <v>90156427.3156591</v>
      </c>
      <c r="J45" s="23"/>
      <c r="K45" s="24" t="n">
        <f aca="false">E45*$K$1</f>
        <v>2704692.81946977</v>
      </c>
      <c r="M45" s="1"/>
      <c r="O45" s="22" t="n">
        <f aca="false">SUM(O40:O43)</f>
        <v>90156427.3156591</v>
      </c>
    </row>
    <row r="46" customFormat="false" ht="12.75" hidden="false" customHeight="false" outlineLevel="0" collapsed="false">
      <c r="E46" s="26"/>
      <c r="M46" s="1"/>
    </row>
    <row r="47" customFormat="false" ht="12.75" hidden="false" customHeight="false" outlineLevel="0" collapsed="false">
      <c r="A47" s="1" t="s">
        <v>30</v>
      </c>
      <c r="B47" s="33" t="s">
        <v>15</v>
      </c>
      <c r="C47" s="32" t="s">
        <v>16</v>
      </c>
      <c r="E47" s="34" t="n">
        <f aca="false">[2]medtrans!$C$81</f>
        <v>6780013777.41047</v>
      </c>
      <c r="F47" s="20" t="n">
        <v>0.0891490320832931</v>
      </c>
      <c r="G47" s="19" t="n">
        <f aca="false">$G$4</f>
        <v>0.01</v>
      </c>
      <c r="H47" s="16" t="n">
        <f aca="false">F47+G47</f>
        <v>0.0991490320832931</v>
      </c>
      <c r="I47" s="16"/>
      <c r="M47" s="32" t="s">
        <v>16</v>
      </c>
      <c r="N47" s="11" t="s">
        <v>17</v>
      </c>
      <c r="O47" s="18" t="n">
        <f aca="false">E47*$N$1</f>
        <v>3729007577.57576</v>
      </c>
      <c r="P47" s="11"/>
    </row>
    <row r="48" customFormat="false" ht="12.75" hidden="false" customHeight="false" outlineLevel="0" collapsed="false">
      <c r="B48" s="33"/>
      <c r="C48" s="32"/>
      <c r="E48" s="34"/>
      <c r="F48" s="20"/>
      <c r="M48" s="32"/>
      <c r="N48" s="11" t="s">
        <v>18</v>
      </c>
      <c r="O48" s="18" t="n">
        <f aca="false">E47*$N$2</f>
        <v>3051006199.83471</v>
      </c>
      <c r="P48" s="11"/>
    </row>
    <row r="49" customFormat="false" ht="12.75" hidden="false" customHeight="false" outlineLevel="0" collapsed="false">
      <c r="B49" s="33"/>
      <c r="C49" s="32" t="s">
        <v>19</v>
      </c>
      <c r="E49" s="34" t="n">
        <f aca="false">[2]medtrans!$D$81</f>
        <v>6079837475.17191</v>
      </c>
      <c r="F49" s="20" t="n">
        <v>0.0727923280508959</v>
      </c>
      <c r="G49" s="19" t="n">
        <f aca="false">$G$4</f>
        <v>0.01</v>
      </c>
      <c r="H49" s="16" t="n">
        <f aca="false">F49+G49</f>
        <v>0.0827923280508959</v>
      </c>
      <c r="I49" s="16"/>
      <c r="M49" s="32" t="s">
        <v>19</v>
      </c>
      <c r="N49" s="11" t="s">
        <v>17</v>
      </c>
      <c r="O49" s="18" t="n">
        <f aca="false">E49*$N$1</f>
        <v>3343910611.34455</v>
      </c>
      <c r="P49" s="11"/>
    </row>
    <row r="50" customFormat="false" ht="12.75" hidden="false" customHeight="false" outlineLevel="0" collapsed="false">
      <c r="N50" s="11" t="s">
        <v>18</v>
      </c>
      <c r="O50" s="18" t="n">
        <f aca="false">E49*$N$2</f>
        <v>2735926863.82736</v>
      </c>
      <c r="P50" s="11"/>
    </row>
    <row r="52" customFormat="false" ht="12.75" hidden="false" customHeight="false" outlineLevel="0" collapsed="false">
      <c r="B52" s="21" t="s">
        <v>20</v>
      </c>
      <c r="E52" s="22" t="n">
        <f aca="false">SUM(E47:E50)</f>
        <v>12859851252.5824</v>
      </c>
      <c r="J52" s="23"/>
      <c r="K52" s="24" t="n">
        <f aca="false">E52*$K$1</f>
        <v>385795537.577471</v>
      </c>
      <c r="O52" s="22" t="n">
        <f aca="false">SUM(O47:O50)</f>
        <v>12859851252.5824</v>
      </c>
    </row>
    <row r="54" customFormat="false" ht="12.75" hidden="false" customHeight="false" outlineLevel="0" collapsed="false">
      <c r="A54" s="1" t="s">
        <v>31</v>
      </c>
      <c r="B54" s="35" t="s">
        <v>15</v>
      </c>
      <c r="C54" s="32" t="s">
        <v>16</v>
      </c>
      <c r="D54" s="35" t="s">
        <v>32</v>
      </c>
      <c r="E54" s="36" t="n">
        <f aca="false">[3]e19trans!$E$56+[3]e19trans!$E$59+[2]medtrans!$E$82</f>
        <v>1284512.28239861</v>
      </c>
      <c r="F54" s="20" t="n">
        <v>0.0867582006008623</v>
      </c>
      <c r="G54" s="19" t="n">
        <f aca="false">$G$4</f>
        <v>0.01</v>
      </c>
      <c r="H54" s="16" t="n">
        <f aca="false">F54+G54</f>
        <v>0.0967582006008623</v>
      </c>
      <c r="I54" s="16"/>
      <c r="M54" s="32" t="s">
        <v>16</v>
      </c>
      <c r="N54" s="35" t="s">
        <v>32</v>
      </c>
      <c r="O54" s="37" t="n">
        <f aca="false">E54</f>
        <v>1284512.28239861</v>
      </c>
    </row>
    <row r="55" customFormat="false" ht="12.75" hidden="false" customHeight="false" outlineLevel="0" collapsed="false">
      <c r="A55" s="1" t="s">
        <v>33</v>
      </c>
      <c r="B55" s="35"/>
      <c r="C55" s="38"/>
      <c r="D55" s="35" t="s">
        <v>34</v>
      </c>
      <c r="E55" s="36" t="n">
        <f aca="false">[3]e19trans!$F$56+[3]e19trans!$F$59+[2]medtrans!$F$82</f>
        <v>1392647.52373943</v>
      </c>
      <c r="F55" s="20" t="n">
        <v>0.0657991508922964</v>
      </c>
      <c r="G55" s="19" t="n">
        <f aca="false">$G$4</f>
        <v>0.01</v>
      </c>
      <c r="H55" s="16" t="n">
        <f aca="false">F55+G55</f>
        <v>0.0757991508922964</v>
      </c>
      <c r="I55" s="16"/>
      <c r="M55" s="38"/>
      <c r="N55" s="35" t="s">
        <v>34</v>
      </c>
      <c r="O55" s="37" t="n">
        <f aca="false">E55</f>
        <v>1392647.52373943</v>
      </c>
    </row>
    <row r="56" customFormat="false" ht="12.75" hidden="false" customHeight="false" outlineLevel="0" collapsed="false">
      <c r="B56" s="35"/>
      <c r="C56" s="35"/>
      <c r="D56" s="35" t="s">
        <v>35</v>
      </c>
      <c r="E56" s="36" t="n">
        <f aca="false">[3]e19trans!$G$56+[3]e19trans!$G$59+[2]medtrans!$G$82</f>
        <v>3361942.1158122</v>
      </c>
      <c r="F56" s="20" t="n">
        <v>0.0618039447731506</v>
      </c>
      <c r="G56" s="19" t="n">
        <f aca="false">$G$4</f>
        <v>0.01</v>
      </c>
      <c r="H56" s="16" t="n">
        <f aca="false">F56+G56</f>
        <v>0.0718039447731506</v>
      </c>
      <c r="I56" s="16"/>
      <c r="M56" s="35"/>
      <c r="N56" s="35" t="s">
        <v>35</v>
      </c>
      <c r="O56" s="37" t="n">
        <f aca="false">E56</f>
        <v>3361942.1158122</v>
      </c>
    </row>
    <row r="57" customFormat="false" ht="12.75" hidden="false" customHeight="false" outlineLevel="0" collapsed="false">
      <c r="B57" s="35"/>
      <c r="C57" s="32" t="s">
        <v>19</v>
      </c>
      <c r="D57" s="35" t="s">
        <v>25</v>
      </c>
      <c r="E57" s="36" t="n">
        <f aca="false">[3]e19trans!$H$56+[3]e19trans!$H$59+[2]medtrans!$H$82</f>
        <v>2077831.72358399</v>
      </c>
      <c r="F57" s="20" t="n">
        <v>0.0811396601669395</v>
      </c>
      <c r="G57" s="19" t="n">
        <f aca="false">$G$4</f>
        <v>0.01</v>
      </c>
      <c r="H57" s="16" t="n">
        <f aca="false">F57+G57</f>
        <v>0.0911396601669395</v>
      </c>
      <c r="I57" s="16"/>
      <c r="M57" s="32" t="s">
        <v>19</v>
      </c>
      <c r="N57" s="35" t="s">
        <v>25</v>
      </c>
      <c r="O57" s="37" t="n">
        <f aca="false">E57</f>
        <v>2077831.72358399</v>
      </c>
    </row>
    <row r="58" customFormat="false" ht="12.75" hidden="false" customHeight="false" outlineLevel="0" collapsed="false">
      <c r="B58" s="35"/>
      <c r="C58" s="35"/>
      <c r="D58" s="35" t="s">
        <v>35</v>
      </c>
      <c r="E58" s="36" t="n">
        <f aca="false">[3]e19trans!$I$56+[3]e19trans!$I$59+[2]medtrans!$I$82</f>
        <v>2731336.53708226</v>
      </c>
      <c r="F58" s="20" t="n">
        <v>0.0667911885291046</v>
      </c>
      <c r="G58" s="19" t="n">
        <f aca="false">$G$4</f>
        <v>0.01</v>
      </c>
      <c r="H58" s="16" t="n">
        <f aca="false">F58+G58</f>
        <v>0.0767911885291046</v>
      </c>
      <c r="I58" s="16"/>
      <c r="M58" s="35"/>
      <c r="N58" s="35" t="s">
        <v>35</v>
      </c>
      <c r="O58" s="37" t="n">
        <f aca="false">E58</f>
        <v>2731336.53708226</v>
      </c>
    </row>
    <row r="59" customFormat="false" ht="12.75" hidden="false" customHeight="false" outlineLevel="0" collapsed="false">
      <c r="B59" s="35"/>
      <c r="C59" s="35"/>
      <c r="D59" s="35"/>
      <c r="E59" s="36"/>
      <c r="F59" s="20"/>
      <c r="G59" s="19"/>
      <c r="H59" s="16"/>
      <c r="I59" s="16"/>
      <c r="M59" s="35"/>
      <c r="N59" s="35"/>
      <c r="O59" s="35"/>
    </row>
    <row r="60" customFormat="false" ht="12.75" hidden="false" customHeight="false" outlineLevel="0" collapsed="false">
      <c r="B60" s="21" t="s">
        <v>20</v>
      </c>
      <c r="D60" s="3"/>
      <c r="E60" s="39" t="n">
        <f aca="false">SUM(E54:E58)</f>
        <v>10848270.1826165</v>
      </c>
      <c r="J60" s="23"/>
      <c r="K60" s="24" t="n">
        <f aca="false">E60*$K$1</f>
        <v>325448.105478495</v>
      </c>
      <c r="M60" s="1"/>
      <c r="N60" s="3"/>
      <c r="O60" s="39" t="n">
        <f aca="false">SUM(O54:O58)</f>
        <v>10848270.1826165</v>
      </c>
    </row>
    <row r="61" customFormat="false" ht="12.75" hidden="false" customHeight="false" outlineLevel="0" collapsed="false">
      <c r="M61" s="1"/>
    </row>
    <row r="62" customFormat="false" ht="12.75" hidden="false" customHeight="false" outlineLevel="0" collapsed="false">
      <c r="A62" s="1" t="s">
        <v>36</v>
      </c>
      <c r="B62" s="35" t="s">
        <v>15</v>
      </c>
      <c r="C62" s="32" t="s">
        <v>16</v>
      </c>
      <c r="D62" s="35" t="s">
        <v>32</v>
      </c>
      <c r="E62" s="36" t="n">
        <f aca="false">[2]medtrans!$E$83+[3]e19trans!$E$57+[3]e19trans!$E$60</f>
        <v>86214770.3920677</v>
      </c>
      <c r="F62" s="20" t="n">
        <v>0.0627050875265293</v>
      </c>
      <c r="G62" s="19" t="n">
        <f aca="false">$G$4</f>
        <v>0.01</v>
      </c>
      <c r="H62" s="16" t="n">
        <f aca="false">F62+G62</f>
        <v>0.0727050875265293</v>
      </c>
      <c r="I62" s="16"/>
      <c r="M62" s="32" t="s">
        <v>16</v>
      </c>
      <c r="N62" s="35" t="s">
        <v>32</v>
      </c>
      <c r="O62" s="37" t="n">
        <f aca="false">E62</f>
        <v>86214770.3920677</v>
      </c>
    </row>
    <row r="63" customFormat="false" ht="12.75" hidden="false" customHeight="false" outlineLevel="0" collapsed="false">
      <c r="A63" s="1" t="s">
        <v>33</v>
      </c>
      <c r="B63" s="35"/>
      <c r="C63" s="38"/>
      <c r="D63" s="35" t="s">
        <v>34</v>
      </c>
      <c r="E63" s="36" t="n">
        <f aca="false">[2]medtrans!$F$83+[3]e19trans!$F$57+[3]e19trans!$F$60</f>
        <v>95677463.8227909</v>
      </c>
      <c r="F63" s="20" t="n">
        <v>0.0486822069826665</v>
      </c>
      <c r="G63" s="19" t="n">
        <f aca="false">$G$4</f>
        <v>0.01</v>
      </c>
      <c r="H63" s="16" t="n">
        <f aca="false">F63+G63</f>
        <v>0.0586822069826665</v>
      </c>
      <c r="I63" s="16"/>
      <c r="M63" s="38"/>
      <c r="N63" s="35" t="s">
        <v>34</v>
      </c>
      <c r="O63" s="37" t="n">
        <f aca="false">E63</f>
        <v>95677463.8227909</v>
      </c>
    </row>
    <row r="64" customFormat="false" ht="12.75" hidden="false" customHeight="false" outlineLevel="0" collapsed="false">
      <c r="B64" s="35"/>
      <c r="C64" s="35"/>
      <c r="D64" s="35" t="s">
        <v>35</v>
      </c>
      <c r="E64" s="36" t="n">
        <f aca="false">[2]medtrans!$G$83+[3]e19trans!$G$57+[3]e19trans!$G$60</f>
        <v>231711997.869552</v>
      </c>
      <c r="F64" s="20" t="n">
        <v>0.0468254573520163</v>
      </c>
      <c r="G64" s="19" t="n">
        <f aca="false">$G$4</f>
        <v>0.01</v>
      </c>
      <c r="H64" s="16" t="n">
        <f aca="false">F64+G64</f>
        <v>0.0568254573520163</v>
      </c>
      <c r="I64" s="16"/>
      <c r="M64" s="35"/>
      <c r="N64" s="35" t="s">
        <v>35</v>
      </c>
      <c r="O64" s="37" t="n">
        <f aca="false">E64</f>
        <v>231711997.869552</v>
      </c>
    </row>
    <row r="65" customFormat="false" ht="12.75" hidden="false" customHeight="false" outlineLevel="0" collapsed="false">
      <c r="B65" s="35"/>
      <c r="C65" s="32" t="s">
        <v>19</v>
      </c>
      <c r="D65" s="35" t="s">
        <v>25</v>
      </c>
      <c r="E65" s="36" t="n">
        <f aca="false">[2]medtrans!$H$83+[3]e19trans!$H$57+[3]e19trans!$H$60</f>
        <v>164866185.485404</v>
      </c>
      <c r="F65" s="20" t="n">
        <v>0.0570022136609609</v>
      </c>
      <c r="G65" s="19" t="n">
        <f aca="false">$G$4</f>
        <v>0.01</v>
      </c>
      <c r="H65" s="16" t="n">
        <f aca="false">F65+G65</f>
        <v>0.0670022136609609</v>
      </c>
      <c r="I65" s="16"/>
      <c r="M65" s="32" t="s">
        <v>19</v>
      </c>
      <c r="N65" s="35" t="s">
        <v>25</v>
      </c>
      <c r="O65" s="37" t="n">
        <f aca="false">E65</f>
        <v>164866185.485404</v>
      </c>
    </row>
    <row r="66" customFormat="false" ht="12.75" hidden="false" customHeight="false" outlineLevel="0" collapsed="false">
      <c r="B66" s="35"/>
      <c r="C66" s="35"/>
      <c r="D66" s="35" t="s">
        <v>35</v>
      </c>
      <c r="E66" s="36" t="n">
        <f aca="false">[2]medtrans!$I$83+[3]e19trans!$I$57+[3]e19trans!$I$60</f>
        <v>205482886.951136</v>
      </c>
      <c r="F66" s="20" t="n">
        <v>0.0478245654866042</v>
      </c>
      <c r="G66" s="19" t="n">
        <f aca="false">$G$4</f>
        <v>0.01</v>
      </c>
      <c r="H66" s="16" t="n">
        <f aca="false">F66+G66</f>
        <v>0.0578245654866042</v>
      </c>
      <c r="I66" s="16"/>
      <c r="M66" s="35"/>
      <c r="N66" s="35" t="s">
        <v>35</v>
      </c>
      <c r="O66" s="37" t="n">
        <f aca="false">E66</f>
        <v>205482886.951136</v>
      </c>
    </row>
    <row r="67" customFormat="false" ht="12.75" hidden="false" customHeight="false" outlineLevel="0" collapsed="false">
      <c r="B67" s="35"/>
      <c r="C67" s="35"/>
      <c r="D67" s="35"/>
      <c r="E67" s="36"/>
      <c r="F67" s="20"/>
      <c r="G67" s="19"/>
      <c r="H67" s="16"/>
      <c r="I67" s="16"/>
      <c r="M67" s="35"/>
      <c r="N67" s="35"/>
      <c r="O67" s="35"/>
    </row>
    <row r="68" customFormat="false" ht="12.75" hidden="false" customHeight="false" outlineLevel="0" collapsed="false">
      <c r="B68" s="21" t="s">
        <v>20</v>
      </c>
      <c r="D68" s="3"/>
      <c r="E68" s="39" t="n">
        <f aca="false">SUM(E62:E66)</f>
        <v>783953304.520951</v>
      </c>
      <c r="J68" s="23"/>
      <c r="K68" s="24" t="n">
        <f aca="false">E68*$K$1</f>
        <v>23518599.1356285</v>
      </c>
      <c r="M68" s="1"/>
      <c r="N68" s="3"/>
      <c r="O68" s="39" t="n">
        <f aca="false">SUM(O62:O66)</f>
        <v>783953304.520951</v>
      </c>
    </row>
    <row r="69" customFormat="false" ht="12.75" hidden="false" customHeight="false" outlineLevel="0" collapsed="false">
      <c r="M69" s="1"/>
    </row>
    <row r="70" customFormat="false" ht="12.75" hidden="false" customHeight="false" outlineLevel="0" collapsed="false">
      <c r="A70" s="1" t="s">
        <v>37</v>
      </c>
      <c r="B70" s="35" t="s">
        <v>15</v>
      </c>
      <c r="C70" s="32" t="s">
        <v>16</v>
      </c>
      <c r="D70" s="35" t="s">
        <v>32</v>
      </c>
      <c r="E70" s="36" t="n">
        <f aca="false">[2]medtrans!$E$84+[3]e19trans!$E$58+[3]e19trans!$E$61</f>
        <v>1147055962.467</v>
      </c>
      <c r="F70" s="20" t="n">
        <v>0.0877316660546519</v>
      </c>
      <c r="G70" s="19" t="n">
        <f aca="false">$G$4</f>
        <v>0.01</v>
      </c>
      <c r="H70" s="16" t="n">
        <f aca="false">F70+G70</f>
        <v>0.0977316660546519</v>
      </c>
      <c r="I70" s="16"/>
      <c r="M70" s="32" t="s">
        <v>16</v>
      </c>
      <c r="N70" s="35" t="s">
        <v>32</v>
      </c>
      <c r="O70" s="37" t="n">
        <f aca="false">E70</f>
        <v>1147055962.467</v>
      </c>
    </row>
    <row r="71" customFormat="false" ht="12.75" hidden="false" customHeight="false" outlineLevel="0" collapsed="false">
      <c r="A71" s="1" t="s">
        <v>33</v>
      </c>
      <c r="B71" s="35"/>
      <c r="C71" s="38"/>
      <c r="D71" s="35" t="s">
        <v>34</v>
      </c>
      <c r="E71" s="36" t="n">
        <f aca="false">[2]medtrans!$F$84+[3]e19trans!$F$58+[3]e19trans!$F$61</f>
        <v>1232486838.60156</v>
      </c>
      <c r="F71" s="20" t="n">
        <v>0.0581012032610171</v>
      </c>
      <c r="G71" s="19" t="n">
        <f aca="false">$G$4</f>
        <v>0.01</v>
      </c>
      <c r="H71" s="16" t="n">
        <f aca="false">F71+G71</f>
        <v>0.0681012032610171</v>
      </c>
      <c r="I71" s="16"/>
      <c r="M71" s="38"/>
      <c r="N71" s="35" t="s">
        <v>34</v>
      </c>
      <c r="O71" s="37" t="n">
        <f aca="false">E71</f>
        <v>1232486838.60156</v>
      </c>
    </row>
    <row r="72" customFormat="false" ht="12.75" hidden="false" customHeight="false" outlineLevel="0" collapsed="false">
      <c r="B72" s="35"/>
      <c r="C72" s="35"/>
      <c r="D72" s="35" t="s">
        <v>35</v>
      </c>
      <c r="E72" s="36" t="n">
        <f aca="false">[2]medtrans!$G$84+[3]e19trans!$G$58+[3]e19trans!$G$61</f>
        <v>2975127263.20014</v>
      </c>
      <c r="F72" s="20" t="n">
        <v>0.0505939930880258</v>
      </c>
      <c r="G72" s="19" t="n">
        <f aca="false">$G$4</f>
        <v>0.01</v>
      </c>
      <c r="H72" s="16" t="n">
        <f aca="false">F72+G72</f>
        <v>0.0605939930880258</v>
      </c>
      <c r="I72" s="16"/>
      <c r="M72" s="35"/>
      <c r="N72" s="35" t="s">
        <v>35</v>
      </c>
      <c r="O72" s="37" t="n">
        <f aca="false">E72</f>
        <v>2975127263.20014</v>
      </c>
    </row>
    <row r="73" customFormat="false" ht="12.75" hidden="false" customHeight="false" outlineLevel="0" collapsed="false">
      <c r="B73" s="35"/>
      <c r="C73" s="32" t="s">
        <v>19</v>
      </c>
      <c r="D73" s="35" t="s">
        <v>25</v>
      </c>
      <c r="E73" s="36" t="n">
        <f aca="false">[2]medtrans!$H$84+[3]e19trans!$H$58+[3]e19trans!$H$61</f>
        <v>2129738233.89628</v>
      </c>
      <c r="F73" s="20" t="n">
        <v>0.0639175205766485</v>
      </c>
      <c r="G73" s="19" t="n">
        <f aca="false">$G$4</f>
        <v>0.01</v>
      </c>
      <c r="H73" s="16" t="n">
        <f aca="false">F73+G73</f>
        <v>0.0739175205766485</v>
      </c>
      <c r="I73" s="16"/>
      <c r="M73" s="32" t="s">
        <v>19</v>
      </c>
      <c r="N73" s="35" t="s">
        <v>25</v>
      </c>
      <c r="O73" s="37" t="n">
        <f aca="false">E73</f>
        <v>2129738233.89628</v>
      </c>
    </row>
    <row r="74" customFormat="false" ht="12.75" hidden="false" customHeight="false" outlineLevel="0" collapsed="false">
      <c r="B74" s="35"/>
      <c r="C74" s="35"/>
      <c r="D74" s="35" t="s">
        <v>35</v>
      </c>
      <c r="E74" s="36" t="n">
        <f aca="false">[2]medtrans!$I$84+[3]e19trans!$I$58+[3]e19trans!$I$61</f>
        <v>2690041349.81591</v>
      </c>
      <c r="F74" s="20" t="n">
        <v>0.0503815248755826</v>
      </c>
      <c r="G74" s="19" t="n">
        <f aca="false">$G$4</f>
        <v>0.01</v>
      </c>
      <c r="H74" s="16" t="n">
        <f aca="false">F74+G74</f>
        <v>0.0603815248755826</v>
      </c>
      <c r="I74" s="16"/>
      <c r="M74" s="35"/>
      <c r="N74" s="35" t="s">
        <v>35</v>
      </c>
      <c r="O74" s="37" t="n">
        <f aca="false">E74</f>
        <v>2690041349.81591</v>
      </c>
    </row>
    <row r="75" customFormat="false" ht="12.75" hidden="false" customHeight="false" outlineLevel="0" collapsed="false">
      <c r="D75" s="3"/>
    </row>
    <row r="76" customFormat="false" ht="12.75" hidden="false" customHeight="false" outlineLevel="0" collapsed="false">
      <c r="B76" s="21" t="s">
        <v>20</v>
      </c>
      <c r="D76" s="3"/>
      <c r="E76" s="39" t="n">
        <f aca="false">SUM(E70:E74)</f>
        <v>10174449647.9809</v>
      </c>
      <c r="J76" s="23"/>
      <c r="K76" s="24" t="n">
        <f aca="false">E76*$K$1</f>
        <v>305233489.439427</v>
      </c>
      <c r="O76" s="39" t="n">
        <f aca="false">SUM(O70:O74)</f>
        <v>10174449647.9809</v>
      </c>
    </row>
    <row r="78" customFormat="false" ht="12.75" hidden="false" customHeight="false" outlineLevel="0" collapsed="false">
      <c r="A78" s="1" t="s">
        <v>38</v>
      </c>
      <c r="B78" s="35" t="s">
        <v>15</v>
      </c>
      <c r="C78" s="38" t="s">
        <v>16</v>
      </c>
      <c r="D78" s="35" t="s">
        <v>32</v>
      </c>
      <c r="E78" s="36" t="n">
        <f aca="false">[4]e19rtp!$BR$538</f>
        <v>3061074.2024</v>
      </c>
      <c r="F78" s="27" t="n">
        <v>0.0565538233</v>
      </c>
      <c r="G78" s="19" t="n">
        <f aca="false">$G$4</f>
        <v>0.01</v>
      </c>
      <c r="H78" s="16" t="n">
        <f aca="false">F78+G78</f>
        <v>0.0665538233</v>
      </c>
      <c r="I78" s="16"/>
      <c r="M78" s="38" t="s">
        <v>16</v>
      </c>
      <c r="N78" s="35" t="s">
        <v>32</v>
      </c>
      <c r="O78" s="37" t="n">
        <f aca="false">E78</f>
        <v>3061074.2024</v>
      </c>
    </row>
    <row r="79" customFormat="false" ht="12.75" hidden="false" customHeight="false" outlineLevel="0" collapsed="false">
      <c r="A79" s="1" t="s">
        <v>37</v>
      </c>
      <c r="B79" s="35"/>
      <c r="C79" s="38"/>
      <c r="D79" s="35" t="s">
        <v>34</v>
      </c>
      <c r="E79" s="36" t="n">
        <f aca="false">[4]e19rtp!$BR$539</f>
        <v>4203175.7176</v>
      </c>
      <c r="F79" s="27" t="n">
        <v>0.0453908722</v>
      </c>
      <c r="G79" s="19" t="n">
        <f aca="false">$G$4</f>
        <v>0.01</v>
      </c>
      <c r="H79" s="16" t="n">
        <f aca="false">F79+G79</f>
        <v>0.0553908722</v>
      </c>
      <c r="I79" s="16"/>
      <c r="M79" s="38"/>
      <c r="N79" s="35" t="s">
        <v>34</v>
      </c>
      <c r="O79" s="37" t="n">
        <f aca="false">E79</f>
        <v>4203175.7176</v>
      </c>
    </row>
    <row r="80" customFormat="false" ht="12.75" hidden="false" customHeight="false" outlineLevel="0" collapsed="false">
      <c r="B80" s="35"/>
      <c r="C80" s="38"/>
      <c r="D80" s="35" t="s">
        <v>35</v>
      </c>
      <c r="E80" s="36" t="n">
        <f aca="false">[4]e19rtp!$BR$540</f>
        <v>12914222.08</v>
      </c>
      <c r="F80" s="27" t="n">
        <v>0.0434600797</v>
      </c>
      <c r="G80" s="19" t="n">
        <f aca="false">$G$4</f>
        <v>0.01</v>
      </c>
      <c r="H80" s="16" t="n">
        <f aca="false">F80+G80</f>
        <v>0.0534600797</v>
      </c>
      <c r="I80" s="16"/>
      <c r="M80" s="38"/>
      <c r="N80" s="35" t="s">
        <v>35</v>
      </c>
      <c r="O80" s="37" t="n">
        <f aca="false">E80</f>
        <v>12914222.08</v>
      </c>
    </row>
    <row r="81" customFormat="false" ht="12.75" hidden="false" customHeight="false" outlineLevel="0" collapsed="false">
      <c r="B81" s="35"/>
      <c r="C81" s="38" t="s">
        <v>19</v>
      </c>
      <c r="D81" s="35" t="s">
        <v>25</v>
      </c>
      <c r="E81" s="36" t="n">
        <f aca="false">[4]e19rtp!$BR$544</f>
        <v>10234077.3568</v>
      </c>
      <c r="F81" s="27" t="n">
        <v>0.0657367805</v>
      </c>
      <c r="G81" s="19" t="n">
        <f aca="false">$G$4</f>
        <v>0.01</v>
      </c>
      <c r="H81" s="16" t="n">
        <f aca="false">F81+G81</f>
        <v>0.0757367805</v>
      </c>
      <c r="I81" s="16"/>
      <c r="M81" s="38" t="s">
        <v>19</v>
      </c>
      <c r="N81" s="35" t="s">
        <v>25</v>
      </c>
      <c r="O81" s="37" t="n">
        <f aca="false">E81</f>
        <v>10234077.3568</v>
      </c>
    </row>
    <row r="82" customFormat="false" ht="12.75" hidden="false" customHeight="false" outlineLevel="0" collapsed="false">
      <c r="B82" s="35"/>
      <c r="C82" s="35"/>
      <c r="D82" s="35" t="s">
        <v>35</v>
      </c>
      <c r="E82" s="36" t="n">
        <f aca="false">[4]e19rtp!$BR$545</f>
        <v>15714394.6432</v>
      </c>
      <c r="F82" s="27" t="n">
        <v>0.0548368805</v>
      </c>
      <c r="G82" s="19" t="n">
        <f aca="false">$G$4</f>
        <v>0.01</v>
      </c>
      <c r="H82" s="16" t="n">
        <f aca="false">F82+G82</f>
        <v>0.0648368805</v>
      </c>
      <c r="I82" s="16"/>
      <c r="N82" s="35" t="s">
        <v>35</v>
      </c>
      <c r="O82" s="37" t="n">
        <f aca="false">E82</f>
        <v>15714394.6432</v>
      </c>
    </row>
    <row r="84" customFormat="false" ht="12.75" hidden="false" customHeight="false" outlineLevel="0" collapsed="false">
      <c r="B84" s="21" t="s">
        <v>20</v>
      </c>
      <c r="D84" s="3"/>
      <c r="E84" s="39" t="n">
        <f aca="false">SUM(E78:E82)</f>
        <v>46126944</v>
      </c>
      <c r="J84" s="23"/>
      <c r="K84" s="24" t="n">
        <f aca="false">E84*$K$1</f>
        <v>1383808.32</v>
      </c>
      <c r="O84" s="39" t="n">
        <f aca="false">SUM(O78:O82)</f>
        <v>46126944</v>
      </c>
    </row>
    <row r="86" customFormat="false" ht="12.75" hidden="false" customHeight="false" outlineLevel="0" collapsed="false">
      <c r="A86" s="1" t="s">
        <v>39</v>
      </c>
      <c r="B86" s="35" t="s">
        <v>15</v>
      </c>
      <c r="C86" s="38" t="s">
        <v>16</v>
      </c>
      <c r="D86" s="35" t="s">
        <v>32</v>
      </c>
      <c r="E86" s="36" t="n">
        <f aca="false">[5]e20trans!$E$87+[5]e20trans!$E$90</f>
        <v>681229506.587647</v>
      </c>
      <c r="F86" s="20" t="n">
        <v>0.057504080324451</v>
      </c>
      <c r="G86" s="19" t="n">
        <f aca="false">$G$4</f>
        <v>0.01</v>
      </c>
      <c r="H86" s="16" t="n">
        <f aca="false">F86+G86</f>
        <v>0.067504080324451</v>
      </c>
      <c r="I86" s="16"/>
      <c r="M86" s="38" t="s">
        <v>16</v>
      </c>
      <c r="N86" s="35" t="s">
        <v>32</v>
      </c>
      <c r="O86" s="37" t="n">
        <f aca="false">E86</f>
        <v>681229506.587647</v>
      </c>
    </row>
    <row r="87" customFormat="false" ht="12.75" hidden="false" customHeight="false" outlineLevel="0" collapsed="false">
      <c r="A87" s="1" t="s">
        <v>40</v>
      </c>
      <c r="B87" s="35"/>
      <c r="C87" s="38"/>
      <c r="D87" s="35" t="s">
        <v>34</v>
      </c>
      <c r="E87" s="36" t="n">
        <f aca="false">[5]e20trans!$F$87+[5]e20trans!$F$90</f>
        <v>780382592.339261</v>
      </c>
      <c r="F87" s="20" t="n">
        <v>0.0436110222994384</v>
      </c>
      <c r="G87" s="19" t="n">
        <f aca="false">$G$4</f>
        <v>0.01</v>
      </c>
      <c r="H87" s="16" t="n">
        <f aca="false">F87+G87</f>
        <v>0.0536110222994384</v>
      </c>
      <c r="I87" s="16"/>
      <c r="M87" s="38"/>
      <c r="N87" s="35" t="s">
        <v>34</v>
      </c>
      <c r="O87" s="37" t="n">
        <f aca="false">E87</f>
        <v>780382592.339261</v>
      </c>
    </row>
    <row r="88" customFormat="false" ht="12.75" hidden="false" customHeight="false" outlineLevel="0" collapsed="false">
      <c r="B88" s="35"/>
      <c r="C88" s="35"/>
      <c r="D88" s="35" t="s">
        <v>35</v>
      </c>
      <c r="E88" s="36" t="n">
        <f aca="false">[5]e20trans!$G$87+[5]e20trans!$G$90</f>
        <v>2190963703.17596</v>
      </c>
      <c r="F88" s="20" t="n">
        <v>0.0409660151510767</v>
      </c>
      <c r="G88" s="19" t="n">
        <f aca="false">$G$4</f>
        <v>0.01</v>
      </c>
      <c r="H88" s="16" t="n">
        <f aca="false">F88+G88</f>
        <v>0.0509660151510767</v>
      </c>
      <c r="I88" s="16"/>
      <c r="M88" s="35"/>
      <c r="N88" s="35" t="s">
        <v>35</v>
      </c>
      <c r="O88" s="37" t="n">
        <f aca="false">E88</f>
        <v>2190963703.17596</v>
      </c>
    </row>
    <row r="89" customFormat="false" ht="12.75" hidden="false" customHeight="false" outlineLevel="0" collapsed="false">
      <c r="B89" s="35"/>
      <c r="C89" s="38" t="s">
        <v>19</v>
      </c>
      <c r="D89" s="35" t="s">
        <v>25</v>
      </c>
      <c r="E89" s="36" t="n">
        <f aca="false">[5]e20trans!$H$87+[5]e20trans!$H$90</f>
        <v>1366221500.70373</v>
      </c>
      <c r="F89" s="20" t="n">
        <v>0.053694547844558</v>
      </c>
      <c r="G89" s="19" t="n">
        <f aca="false">$G$4</f>
        <v>0.01</v>
      </c>
      <c r="H89" s="16" t="n">
        <f aca="false">F89+G89</f>
        <v>0.063694547844558</v>
      </c>
      <c r="I89" s="16"/>
      <c r="M89" s="38" t="s">
        <v>19</v>
      </c>
      <c r="N89" s="35" t="s">
        <v>25</v>
      </c>
      <c r="O89" s="37" t="n">
        <f aca="false">E89</f>
        <v>1366221500.70373</v>
      </c>
    </row>
    <row r="90" customFormat="false" ht="12.75" hidden="false" customHeight="false" outlineLevel="0" collapsed="false">
      <c r="B90" s="35"/>
      <c r="C90" s="35"/>
      <c r="D90" s="35" t="s">
        <v>35</v>
      </c>
      <c r="E90" s="36" t="n">
        <f aca="false">[5]e20trans!$I$87+[5]e20trans!$I$90</f>
        <v>2023333433.2089</v>
      </c>
      <c r="F90" s="20" t="n">
        <v>0.0441977986292798</v>
      </c>
      <c r="G90" s="19" t="n">
        <f aca="false">$G$4</f>
        <v>0.01</v>
      </c>
      <c r="H90" s="16" t="n">
        <f aca="false">F90+G90</f>
        <v>0.0541977986292798</v>
      </c>
      <c r="I90" s="16"/>
      <c r="M90" s="35"/>
      <c r="N90" s="35" t="s">
        <v>35</v>
      </c>
      <c r="O90" s="37" t="n">
        <f aca="false">E90</f>
        <v>2023333433.2089</v>
      </c>
    </row>
    <row r="91" customFormat="false" ht="12.75" hidden="false" customHeight="false" outlineLevel="0" collapsed="false">
      <c r="D91" s="3"/>
      <c r="M91" s="1"/>
      <c r="N91" s="3"/>
      <c r="O91" s="3"/>
    </row>
    <row r="92" customFormat="false" ht="12.75" hidden="false" customHeight="false" outlineLevel="0" collapsed="false">
      <c r="B92" s="21" t="s">
        <v>20</v>
      </c>
      <c r="D92" s="3"/>
      <c r="E92" s="39" t="n">
        <f aca="false">SUM(E86:E90)</f>
        <v>7042130736.01549</v>
      </c>
      <c r="J92" s="23"/>
      <c r="K92" s="24" t="n">
        <f aca="false">E92*$K$1</f>
        <v>211263922.080465</v>
      </c>
      <c r="M92" s="1"/>
      <c r="N92" s="3"/>
      <c r="O92" s="39" t="n">
        <f aca="false">SUM(O86:O90)</f>
        <v>7042130736.01549</v>
      </c>
    </row>
    <row r="93" customFormat="false" ht="12.75" hidden="false" customHeight="false" outlineLevel="0" collapsed="false">
      <c r="M93" s="1"/>
    </row>
    <row r="94" customFormat="false" ht="12.75" hidden="false" customHeight="false" outlineLevel="0" collapsed="false">
      <c r="A94" s="1" t="s">
        <v>41</v>
      </c>
      <c r="B94" s="35" t="s">
        <v>15</v>
      </c>
      <c r="C94" s="38" t="s">
        <v>16</v>
      </c>
      <c r="D94" s="35" t="s">
        <v>32</v>
      </c>
      <c r="E94" s="36" t="n">
        <f aca="false">[5]e20trans!$E$88+[5]e20trans!$E$91</f>
        <v>655585168.069521</v>
      </c>
      <c r="F94" s="20" t="n">
        <v>0.0620960085892953</v>
      </c>
      <c r="G94" s="19" t="n">
        <f aca="false">$G$4</f>
        <v>0.01</v>
      </c>
      <c r="H94" s="16" t="n">
        <f aca="false">F94+G94</f>
        <v>0.0720960085892953</v>
      </c>
      <c r="I94" s="16"/>
      <c r="M94" s="38" t="s">
        <v>16</v>
      </c>
      <c r="N94" s="35" t="s">
        <v>32</v>
      </c>
      <c r="O94" s="37" t="n">
        <f aca="false">E94</f>
        <v>655585168.069521</v>
      </c>
    </row>
    <row r="95" customFormat="false" ht="12.75" hidden="false" customHeight="false" outlineLevel="0" collapsed="false">
      <c r="A95" s="1" t="s">
        <v>40</v>
      </c>
      <c r="B95" s="35"/>
      <c r="C95" s="38"/>
      <c r="D95" s="35" t="s">
        <v>34</v>
      </c>
      <c r="E95" s="36" t="n">
        <f aca="false">[5]e20trans!$F$88+[5]e20trans!$F$91</f>
        <v>732993808.79462</v>
      </c>
      <c r="F95" s="20" t="n">
        <v>0.0482116795818933</v>
      </c>
      <c r="G95" s="19" t="n">
        <f aca="false">$G$4</f>
        <v>0.01</v>
      </c>
      <c r="H95" s="16" t="n">
        <f aca="false">F95+G95</f>
        <v>0.0582116795818933</v>
      </c>
      <c r="I95" s="16"/>
      <c r="M95" s="38"/>
      <c r="N95" s="35" t="s">
        <v>34</v>
      </c>
      <c r="O95" s="37" t="n">
        <f aca="false">E95</f>
        <v>732993808.79462</v>
      </c>
    </row>
    <row r="96" customFormat="false" ht="12.75" hidden="false" customHeight="false" outlineLevel="0" collapsed="false">
      <c r="B96" s="35"/>
      <c r="C96" s="35"/>
      <c r="D96" s="35" t="s">
        <v>35</v>
      </c>
      <c r="E96" s="36" t="n">
        <f aca="false">[5]e20trans!$G$88+[5]e20trans!$G$91</f>
        <v>1859065764.41484</v>
      </c>
      <c r="F96" s="20" t="n">
        <v>0.0463692511612285</v>
      </c>
      <c r="G96" s="19" t="n">
        <f aca="false">$G$4</f>
        <v>0.01</v>
      </c>
      <c r="H96" s="16" t="n">
        <f aca="false">F96+G96</f>
        <v>0.0563692511612285</v>
      </c>
      <c r="I96" s="16"/>
      <c r="M96" s="35"/>
      <c r="N96" s="35" t="s">
        <v>35</v>
      </c>
      <c r="O96" s="37" t="n">
        <f aca="false">E96</f>
        <v>1859065764.41484</v>
      </c>
    </row>
    <row r="97" customFormat="false" ht="12.75" hidden="false" customHeight="false" outlineLevel="0" collapsed="false">
      <c r="B97" s="35"/>
      <c r="C97" s="38" t="s">
        <v>19</v>
      </c>
      <c r="D97" s="35" t="s">
        <v>25</v>
      </c>
      <c r="E97" s="36" t="n">
        <f aca="false">[5]e20trans!$H$88+[5]e20trans!$H$91</f>
        <v>1296019225.92302</v>
      </c>
      <c r="F97" s="20" t="n">
        <v>0.0562425517887144</v>
      </c>
      <c r="G97" s="19" t="n">
        <f aca="false">$G$4</f>
        <v>0.01</v>
      </c>
      <c r="H97" s="16" t="n">
        <f aca="false">F97+G97</f>
        <v>0.0662425517887144</v>
      </c>
      <c r="I97" s="16"/>
      <c r="M97" s="38" t="s">
        <v>19</v>
      </c>
      <c r="N97" s="35" t="s">
        <v>25</v>
      </c>
      <c r="O97" s="37" t="n">
        <f aca="false">E97</f>
        <v>1296019225.92302</v>
      </c>
    </row>
    <row r="98" customFormat="false" ht="12.75" hidden="false" customHeight="false" outlineLevel="0" collapsed="false">
      <c r="B98" s="35"/>
      <c r="C98" s="35"/>
      <c r="D98" s="35" t="s">
        <v>35</v>
      </c>
      <c r="E98" s="36" t="n">
        <f aca="false">[5]e20trans!$I$88+[5]e20trans!$I$91</f>
        <v>1717282204.4423</v>
      </c>
      <c r="F98" s="20" t="n">
        <v>0.0471890877311894</v>
      </c>
      <c r="G98" s="19" t="n">
        <f aca="false">$G$4</f>
        <v>0.01</v>
      </c>
      <c r="H98" s="16" t="n">
        <f aca="false">F98+G98</f>
        <v>0.0571890877311894</v>
      </c>
      <c r="I98" s="16"/>
      <c r="M98" s="35"/>
      <c r="N98" s="35" t="s">
        <v>35</v>
      </c>
      <c r="O98" s="37" t="n">
        <f aca="false">E98</f>
        <v>1717282204.4423</v>
      </c>
    </row>
    <row r="99" customFormat="false" ht="12.75" hidden="false" customHeight="false" outlineLevel="0" collapsed="false">
      <c r="D99" s="3"/>
      <c r="M99" s="1"/>
      <c r="N99" s="3"/>
      <c r="O99" s="3"/>
    </row>
    <row r="100" customFormat="false" ht="12.75" hidden="false" customHeight="false" outlineLevel="0" collapsed="false">
      <c r="B100" s="21" t="s">
        <v>20</v>
      </c>
      <c r="D100" s="3"/>
      <c r="E100" s="39" t="n">
        <f aca="false">SUM(E94:E98)</f>
        <v>6260946171.6443</v>
      </c>
      <c r="J100" s="23"/>
      <c r="K100" s="24" t="n">
        <f aca="false">E100*$K$1</f>
        <v>187828385.149329</v>
      </c>
      <c r="M100" s="1"/>
      <c r="N100" s="3"/>
      <c r="O100" s="39" t="n">
        <f aca="false">SUM(O94:O98)</f>
        <v>6260946171.6443</v>
      </c>
    </row>
    <row r="101" customFormat="false" ht="12.75" hidden="false" customHeight="false" outlineLevel="0" collapsed="false">
      <c r="M101" s="1"/>
    </row>
    <row r="102" customFormat="false" ht="12.75" hidden="false" customHeight="false" outlineLevel="0" collapsed="false">
      <c r="A102" s="1" t="s">
        <v>42</v>
      </c>
      <c r="B102" s="35" t="s">
        <v>15</v>
      </c>
      <c r="C102" s="38" t="s">
        <v>16</v>
      </c>
      <c r="D102" s="35" t="s">
        <v>32</v>
      </c>
      <c r="E102" s="36" t="n">
        <f aca="false">[5]e20trans!$E$89+[5]e20trans!$E$92</f>
        <v>368025399.603286</v>
      </c>
      <c r="F102" s="20" t="n">
        <v>0.0870830459205395</v>
      </c>
      <c r="G102" s="19" t="n">
        <f aca="false">$G$4</f>
        <v>0.01</v>
      </c>
      <c r="H102" s="16" t="n">
        <f aca="false">F102+G102</f>
        <v>0.0970830459205395</v>
      </c>
      <c r="I102" s="16"/>
      <c r="M102" s="38" t="s">
        <v>16</v>
      </c>
      <c r="N102" s="35" t="s">
        <v>32</v>
      </c>
      <c r="O102" s="37" t="n">
        <f aca="false">E102</f>
        <v>368025399.603286</v>
      </c>
    </row>
    <row r="103" customFormat="false" ht="12.75" hidden="false" customHeight="false" outlineLevel="0" collapsed="false">
      <c r="A103" s="1" t="s">
        <v>40</v>
      </c>
      <c r="B103" s="35"/>
      <c r="C103" s="38"/>
      <c r="D103" s="35" t="s">
        <v>34</v>
      </c>
      <c r="E103" s="36" t="n">
        <f aca="false">[5]e20trans!$F$89+[5]e20trans!$F$92</f>
        <v>382867303.510652</v>
      </c>
      <c r="F103" s="20" t="n">
        <v>0.0576716478684663</v>
      </c>
      <c r="G103" s="19" t="n">
        <f aca="false">$G$4</f>
        <v>0.01</v>
      </c>
      <c r="H103" s="16" t="n">
        <f aca="false">F103+G103</f>
        <v>0.0676716478684662</v>
      </c>
      <c r="I103" s="16"/>
      <c r="M103" s="38"/>
      <c r="N103" s="35" t="s">
        <v>34</v>
      </c>
      <c r="O103" s="37" t="n">
        <f aca="false">E103</f>
        <v>382867303.510652</v>
      </c>
    </row>
    <row r="104" customFormat="false" ht="12.75" hidden="false" customHeight="false" outlineLevel="0" collapsed="false">
      <c r="B104" s="35"/>
      <c r="C104" s="35"/>
      <c r="D104" s="35" t="s">
        <v>35</v>
      </c>
      <c r="E104" s="36" t="n">
        <f aca="false">[5]e20trans!$G$89+[5]e20trans!$G$92</f>
        <v>903092036.438311</v>
      </c>
      <c r="F104" s="20" t="n">
        <v>0.0502199402054373</v>
      </c>
      <c r="G104" s="19" t="n">
        <f aca="false">$G$4</f>
        <v>0.01</v>
      </c>
      <c r="H104" s="16" t="n">
        <f aca="false">F104+G104</f>
        <v>0.0602199402054373</v>
      </c>
      <c r="I104" s="16"/>
      <c r="M104" s="35"/>
      <c r="N104" s="35" t="s">
        <v>35</v>
      </c>
      <c r="O104" s="37" t="n">
        <f aca="false">E104</f>
        <v>903092036.438311</v>
      </c>
    </row>
    <row r="105" customFormat="false" ht="12.75" hidden="false" customHeight="false" outlineLevel="0" collapsed="false">
      <c r="B105" s="35"/>
      <c r="C105" s="38" t="s">
        <v>19</v>
      </c>
      <c r="D105" s="35" t="s">
        <v>25</v>
      </c>
      <c r="E105" s="36" t="n">
        <f aca="false">[5]e20trans!$H$89+[5]e20trans!$H$92</f>
        <v>701553359.905618</v>
      </c>
      <c r="F105" s="20" t="n">
        <v>0.0634449638290913</v>
      </c>
      <c r="G105" s="19" t="n">
        <f aca="false">$G$4</f>
        <v>0.01</v>
      </c>
      <c r="H105" s="16" t="n">
        <f aca="false">F105+G105</f>
        <v>0.0734449638290913</v>
      </c>
      <c r="I105" s="16"/>
      <c r="M105" s="38" t="s">
        <v>19</v>
      </c>
      <c r="N105" s="35" t="s">
        <v>25</v>
      </c>
      <c r="O105" s="37" t="n">
        <f aca="false">E105</f>
        <v>701553359.905618</v>
      </c>
    </row>
    <row r="106" customFormat="false" ht="12.75" hidden="false" customHeight="false" outlineLevel="0" collapsed="false">
      <c r="B106" s="35"/>
      <c r="C106" s="35"/>
      <c r="D106" s="35" t="s">
        <v>35</v>
      </c>
      <c r="E106" s="36" t="n">
        <f aca="false">[5]e20trans!$I$89+[5]e20trans!$I$92</f>
        <v>832055024.318496</v>
      </c>
      <c r="F106" s="20" t="n">
        <v>0.0500090428187478</v>
      </c>
      <c r="G106" s="19" t="n">
        <f aca="false">$G$4</f>
        <v>0.01</v>
      </c>
      <c r="H106" s="16" t="n">
        <f aca="false">F106+G106</f>
        <v>0.0600090428187478</v>
      </c>
      <c r="I106" s="16"/>
      <c r="M106" s="35"/>
      <c r="N106" s="35" t="s">
        <v>35</v>
      </c>
      <c r="O106" s="37" t="n">
        <f aca="false">E106</f>
        <v>832055024.318496</v>
      </c>
    </row>
    <row r="107" customFormat="false" ht="12.75" hidden="false" customHeight="false" outlineLevel="0" collapsed="false">
      <c r="D107" s="3"/>
    </row>
    <row r="108" customFormat="false" ht="12.75" hidden="false" customHeight="false" outlineLevel="0" collapsed="false">
      <c r="B108" s="21" t="s">
        <v>20</v>
      </c>
      <c r="D108" s="3"/>
      <c r="E108" s="39" t="n">
        <f aca="false">SUM(E102:E106)</f>
        <v>3187593123.77636</v>
      </c>
      <c r="J108" s="23"/>
      <c r="K108" s="24" t="n">
        <f aca="false">E108*$K$1</f>
        <v>95627793.7132909</v>
      </c>
      <c r="O108" s="39" t="n">
        <f aca="false">SUM(O102:O106)</f>
        <v>3187593123.77636</v>
      </c>
    </row>
    <row r="110" customFormat="false" ht="12.75" hidden="false" customHeight="false" outlineLevel="0" collapsed="false">
      <c r="A110" s="1" t="s">
        <v>38</v>
      </c>
      <c r="B110" s="35" t="s">
        <v>15</v>
      </c>
      <c r="C110" s="38" t="s">
        <v>16</v>
      </c>
      <c r="D110" s="35" t="s">
        <v>32</v>
      </c>
      <c r="E110" s="36" t="n">
        <f aca="false">[6]ames!$BR$236</f>
        <v>330252</v>
      </c>
      <c r="F110" s="27" t="n">
        <v>0.0565538233</v>
      </c>
      <c r="G110" s="19" t="n">
        <f aca="false">$G$4</f>
        <v>0.01</v>
      </c>
      <c r="H110" s="16" t="n">
        <f aca="false">F110+G110</f>
        <v>0.0665538233</v>
      </c>
      <c r="I110" s="16"/>
      <c r="M110" s="38" t="s">
        <v>16</v>
      </c>
      <c r="N110" s="35" t="s">
        <v>32</v>
      </c>
      <c r="O110" s="37" t="n">
        <f aca="false">E110</f>
        <v>330252</v>
      </c>
    </row>
    <row r="111" customFormat="false" ht="12.75" hidden="false" customHeight="false" outlineLevel="0" collapsed="false">
      <c r="A111" s="1" t="s">
        <v>39</v>
      </c>
      <c r="B111" s="35"/>
      <c r="C111" s="38"/>
      <c r="D111" s="35" t="s">
        <v>34</v>
      </c>
      <c r="E111" s="36" t="n">
        <f aca="false">[6]ames!$BR$237</f>
        <v>374970</v>
      </c>
      <c r="F111" s="27" t="n">
        <v>0.0453908722</v>
      </c>
      <c r="G111" s="19" t="n">
        <f aca="false">$G$4</f>
        <v>0.01</v>
      </c>
      <c r="H111" s="16" t="n">
        <f aca="false">F111+G111</f>
        <v>0.0553908722</v>
      </c>
      <c r="I111" s="16"/>
      <c r="M111" s="38"/>
      <c r="N111" s="35" t="s">
        <v>34</v>
      </c>
      <c r="O111" s="37" t="n">
        <f aca="false">E111</f>
        <v>374970</v>
      </c>
    </row>
    <row r="112" customFormat="false" ht="12.75" hidden="false" customHeight="false" outlineLevel="0" collapsed="false">
      <c r="B112" s="35"/>
      <c r="C112" s="38"/>
      <c r="D112" s="35" t="s">
        <v>35</v>
      </c>
      <c r="E112" s="36" t="n">
        <f aca="false">[6]ames!$BR$238</f>
        <v>1034778</v>
      </c>
      <c r="F112" s="27" t="n">
        <v>0.0434600797</v>
      </c>
      <c r="G112" s="19" t="n">
        <f aca="false">$G$4</f>
        <v>0.01</v>
      </c>
      <c r="H112" s="16" t="n">
        <f aca="false">F112+G112</f>
        <v>0.0534600797</v>
      </c>
      <c r="I112" s="16"/>
      <c r="M112" s="38"/>
      <c r="N112" s="35" t="s">
        <v>35</v>
      </c>
      <c r="O112" s="37" t="n">
        <f aca="false">E112</f>
        <v>1034778</v>
      </c>
    </row>
    <row r="113" customFormat="false" ht="12.75" hidden="false" customHeight="false" outlineLevel="0" collapsed="false">
      <c r="B113" s="35"/>
      <c r="C113" s="38" t="s">
        <v>19</v>
      </c>
      <c r="D113" s="35" t="s">
        <v>25</v>
      </c>
      <c r="E113" s="36" t="n">
        <f aca="false">[6]ames!$BR$242</f>
        <v>707484</v>
      </c>
      <c r="F113" s="27" t="n">
        <v>0.0657367805</v>
      </c>
      <c r="G113" s="19" t="n">
        <f aca="false">$G$4</f>
        <v>0.01</v>
      </c>
      <c r="H113" s="16" t="n">
        <f aca="false">F113+G113</f>
        <v>0.0757367805</v>
      </c>
      <c r="I113" s="16"/>
      <c r="M113" s="38" t="s">
        <v>19</v>
      </c>
      <c r="N113" s="35" t="s">
        <v>25</v>
      </c>
      <c r="O113" s="37" t="n">
        <f aca="false">E113</f>
        <v>707484</v>
      </c>
    </row>
    <row r="114" customFormat="false" ht="12.75" hidden="false" customHeight="false" outlineLevel="0" collapsed="false">
      <c r="B114" s="35"/>
      <c r="C114" s="35"/>
      <c r="D114" s="35" t="s">
        <v>35</v>
      </c>
      <c r="E114" s="36" t="n">
        <f aca="false">[6]ames!$BR$243</f>
        <v>1032516</v>
      </c>
      <c r="F114" s="27" t="n">
        <v>0.0548368805</v>
      </c>
      <c r="G114" s="19" t="n">
        <f aca="false">$G$4</f>
        <v>0.01</v>
      </c>
      <c r="H114" s="16" t="n">
        <f aca="false">F114+G114</f>
        <v>0.0648368805</v>
      </c>
      <c r="I114" s="16"/>
      <c r="M114" s="35"/>
      <c r="N114" s="35" t="s">
        <v>35</v>
      </c>
      <c r="O114" s="37" t="n">
        <f aca="false">E114</f>
        <v>1032516</v>
      </c>
    </row>
    <row r="115" customFormat="false" ht="12.75" hidden="false" customHeight="false" outlineLevel="0" collapsed="false">
      <c r="B115" s="35"/>
      <c r="C115" s="35"/>
      <c r="D115" s="35"/>
      <c r="E115" s="36"/>
      <c r="F115" s="27"/>
      <c r="G115" s="19"/>
      <c r="H115" s="16"/>
      <c r="I115" s="16"/>
      <c r="M115" s="35"/>
      <c r="N115" s="35"/>
      <c r="O115" s="35"/>
    </row>
    <row r="116" customFormat="false" ht="12.75" hidden="false" customHeight="false" outlineLevel="0" collapsed="false">
      <c r="B116" s="21" t="s">
        <v>20</v>
      </c>
      <c r="D116" s="3"/>
      <c r="E116" s="39" t="n">
        <f aca="false">SUM(E110:E114)</f>
        <v>3480000</v>
      </c>
      <c r="F116" s="27"/>
      <c r="G116" s="19"/>
      <c r="H116" s="16"/>
      <c r="I116" s="16"/>
      <c r="J116" s="23"/>
      <c r="K116" s="24" t="n">
        <f aca="false">E116*$K$1</f>
        <v>104400</v>
      </c>
      <c r="M116" s="1"/>
      <c r="N116" s="3"/>
      <c r="O116" s="39" t="n">
        <f aca="false">SUM(O110:O114)</f>
        <v>3480000</v>
      </c>
    </row>
    <row r="117" customFormat="false" ht="12.75" hidden="false" customHeight="false" outlineLevel="0" collapsed="false">
      <c r="M117" s="1"/>
    </row>
    <row r="118" customFormat="false" ht="12.75" hidden="false" customHeight="false" outlineLevel="0" collapsed="false">
      <c r="A118" s="1" t="s">
        <v>38</v>
      </c>
      <c r="B118" s="35" t="s">
        <v>15</v>
      </c>
      <c r="C118" s="38" t="s">
        <v>16</v>
      </c>
      <c r="D118" s="35" t="s">
        <v>32</v>
      </c>
      <c r="E118" s="36" t="n">
        <f aca="false">[7]e20rtp!$BR$538</f>
        <v>40207457.682</v>
      </c>
      <c r="F118" s="27" t="n">
        <v>0.0565538233</v>
      </c>
      <c r="G118" s="19" t="n">
        <f aca="false">$G$4</f>
        <v>0.01</v>
      </c>
      <c r="H118" s="16" t="n">
        <f aca="false">F118+G118</f>
        <v>0.0665538233</v>
      </c>
      <c r="I118" s="16"/>
      <c r="M118" s="38" t="s">
        <v>16</v>
      </c>
      <c r="N118" s="35" t="s">
        <v>32</v>
      </c>
      <c r="O118" s="37" t="n">
        <f aca="false">E118</f>
        <v>40207457.682</v>
      </c>
    </row>
    <row r="119" customFormat="false" ht="12.75" hidden="false" customHeight="false" outlineLevel="0" collapsed="false">
      <c r="A119" s="1" t="s">
        <v>42</v>
      </c>
      <c r="B119" s="35"/>
      <c r="C119" s="38"/>
      <c r="D119" s="35" t="s">
        <v>34</v>
      </c>
      <c r="E119" s="36" t="n">
        <f aca="false">[7]e20rtp!$BR$539</f>
        <v>38883164.43295</v>
      </c>
      <c r="F119" s="27" t="n">
        <v>0.0453908722</v>
      </c>
      <c r="G119" s="19" t="n">
        <f aca="false">$G$4</f>
        <v>0.01</v>
      </c>
      <c r="H119" s="16" t="n">
        <f aca="false">F119+G119</f>
        <v>0.0553908722</v>
      </c>
      <c r="I119" s="16"/>
      <c r="M119" s="38"/>
      <c r="N119" s="35" t="s">
        <v>34</v>
      </c>
      <c r="O119" s="37" t="n">
        <f aca="false">E119</f>
        <v>38883164.43295</v>
      </c>
    </row>
    <row r="120" customFormat="false" ht="12.75" hidden="false" customHeight="false" outlineLevel="0" collapsed="false">
      <c r="B120" s="35"/>
      <c r="C120" s="38"/>
      <c r="D120" s="35" t="s">
        <v>35</v>
      </c>
      <c r="E120" s="36" t="n">
        <f aca="false">[7]e20rtp!$BR$540</f>
        <v>80462781.38505</v>
      </c>
      <c r="F120" s="27" t="n">
        <v>0.0434600797</v>
      </c>
      <c r="G120" s="19" t="n">
        <f aca="false">$G$4</f>
        <v>0.01</v>
      </c>
      <c r="H120" s="16" t="n">
        <f aca="false">F120+G120</f>
        <v>0.0534600797</v>
      </c>
      <c r="I120" s="16"/>
      <c r="M120" s="38"/>
      <c r="N120" s="35" t="s">
        <v>35</v>
      </c>
      <c r="O120" s="37" t="n">
        <f aca="false">E120</f>
        <v>80462781.38505</v>
      </c>
    </row>
    <row r="121" customFormat="false" ht="12.75" hidden="false" customHeight="false" outlineLevel="0" collapsed="false">
      <c r="B121" s="35"/>
      <c r="C121" s="38" t="s">
        <v>19</v>
      </c>
      <c r="D121" s="35" t="s">
        <v>25</v>
      </c>
      <c r="E121" s="36" t="n">
        <f aca="false">[7]e20rtp!$BR$544</f>
        <v>96907702.4741</v>
      </c>
      <c r="F121" s="27" t="n">
        <v>0.0657367805</v>
      </c>
      <c r="G121" s="19" t="n">
        <f aca="false">$G$4</f>
        <v>0.01</v>
      </c>
      <c r="H121" s="16" t="n">
        <f aca="false">F121+G121</f>
        <v>0.0757367805</v>
      </c>
      <c r="I121" s="16"/>
      <c r="M121" s="38" t="s">
        <v>19</v>
      </c>
      <c r="N121" s="35" t="s">
        <v>25</v>
      </c>
      <c r="O121" s="37" t="n">
        <f aca="false">E121</f>
        <v>96907702.4741</v>
      </c>
    </row>
    <row r="122" customFormat="false" ht="12.75" hidden="false" customHeight="false" outlineLevel="0" collapsed="false">
      <c r="B122" s="35"/>
      <c r="C122" s="35"/>
      <c r="D122" s="35" t="s">
        <v>35</v>
      </c>
      <c r="E122" s="36" t="n">
        <f aca="false">[7]e20rtp!$BR$545</f>
        <v>95905076.0259</v>
      </c>
      <c r="F122" s="27" t="n">
        <v>0.0548368805</v>
      </c>
      <c r="G122" s="19" t="n">
        <f aca="false">$G$4</f>
        <v>0.01</v>
      </c>
      <c r="H122" s="16" t="n">
        <f aca="false">F122+G122</f>
        <v>0.0648368805</v>
      </c>
      <c r="I122" s="16"/>
      <c r="M122" s="35"/>
      <c r="N122" s="35" t="s">
        <v>35</v>
      </c>
      <c r="O122" s="37" t="n">
        <f aca="false">E122</f>
        <v>95905076.0259</v>
      </c>
    </row>
    <row r="123" customFormat="false" ht="12.75" hidden="false" customHeight="false" outlineLevel="0" collapsed="false">
      <c r="B123" s="35"/>
      <c r="C123" s="35"/>
      <c r="D123" s="35"/>
      <c r="E123" s="36"/>
      <c r="F123" s="27"/>
      <c r="G123" s="19"/>
      <c r="H123" s="16"/>
      <c r="I123" s="16"/>
    </row>
    <row r="124" customFormat="false" ht="12.75" hidden="false" customHeight="false" outlineLevel="0" collapsed="false">
      <c r="B124" s="21" t="s">
        <v>20</v>
      </c>
      <c r="D124" s="3"/>
      <c r="E124" s="39" t="n">
        <f aca="false">SUM(E118:E122)</f>
        <v>352366182</v>
      </c>
      <c r="J124" s="23"/>
      <c r="K124" s="24" t="n">
        <f aca="false">E124*$K$1</f>
        <v>10570985.46</v>
      </c>
      <c r="O124" s="39" t="n">
        <f aca="false">SUM(O118:O122)</f>
        <v>352366182</v>
      </c>
    </row>
    <row r="126" customFormat="false" ht="12.75" hidden="false" customHeight="false" outlineLevel="0" collapsed="false">
      <c r="A126" s="1" t="s">
        <v>43</v>
      </c>
      <c r="B126" s="26" t="s">
        <v>15</v>
      </c>
      <c r="C126" s="28" t="s">
        <v>16</v>
      </c>
      <c r="D126" s="35" t="s">
        <v>32</v>
      </c>
      <c r="E126" s="13" t="n">
        <f aca="false">[8]sbytrans!$E$68</f>
        <v>5797421.77036667</v>
      </c>
      <c r="F126" s="20" t="n">
        <v>0.301683220428091</v>
      </c>
      <c r="G126" s="19" t="n">
        <f aca="false">$G$4</f>
        <v>0.01</v>
      </c>
      <c r="H126" s="16" t="n">
        <f aca="false">F126+G126</f>
        <v>0.311683220428091</v>
      </c>
      <c r="M126" s="28" t="s">
        <v>16</v>
      </c>
      <c r="N126" s="35" t="s">
        <v>32</v>
      </c>
      <c r="O126" s="37" t="n">
        <f aca="false">E126</f>
        <v>5797421.77036667</v>
      </c>
    </row>
    <row r="127" customFormat="false" ht="12.75" hidden="false" customHeight="false" outlineLevel="0" collapsed="false">
      <c r="B127" s="26"/>
      <c r="C127" s="28"/>
      <c r="D127" s="35" t="s">
        <v>34</v>
      </c>
      <c r="E127" s="13" t="n">
        <f aca="false">[8]sbytrans!$F$68</f>
        <v>7543843.95226667</v>
      </c>
      <c r="F127" s="20" t="n">
        <v>0.0595355486537035</v>
      </c>
      <c r="G127" s="19" t="n">
        <f aca="false">$G$4</f>
        <v>0.01</v>
      </c>
      <c r="H127" s="16" t="n">
        <f aca="false">F127+G127</f>
        <v>0.0695355486537035</v>
      </c>
      <c r="M127" s="28"/>
      <c r="N127" s="35" t="s">
        <v>34</v>
      </c>
      <c r="O127" s="37" t="n">
        <f aca="false">E127</f>
        <v>7543843.95226667</v>
      </c>
    </row>
    <row r="128" customFormat="false" ht="12.75" hidden="false" customHeight="false" outlineLevel="0" collapsed="false">
      <c r="B128" s="26"/>
      <c r="C128" s="26"/>
      <c r="D128" s="35" t="s">
        <v>35</v>
      </c>
      <c r="E128" s="13" t="n">
        <f aca="false">[8]sbytrans!$G$68</f>
        <v>35757741.9440333</v>
      </c>
      <c r="F128" s="20" t="n">
        <v>0.0401354187868661</v>
      </c>
      <c r="G128" s="19" t="n">
        <f aca="false">$G$4</f>
        <v>0.01</v>
      </c>
      <c r="H128" s="16" t="n">
        <f aca="false">F128+G128</f>
        <v>0.0501354187868661</v>
      </c>
      <c r="M128" s="26"/>
      <c r="N128" s="35" t="s">
        <v>35</v>
      </c>
      <c r="O128" s="37" t="n">
        <f aca="false">E128</f>
        <v>35757741.9440333</v>
      </c>
    </row>
    <row r="129" customFormat="false" ht="12.75" hidden="false" customHeight="false" outlineLevel="0" collapsed="false">
      <c r="B129" s="26"/>
      <c r="C129" s="28" t="s">
        <v>19</v>
      </c>
      <c r="D129" s="35" t="s">
        <v>25</v>
      </c>
      <c r="E129" s="13" t="n">
        <f aca="false">[8]sbytrans!$H$68</f>
        <v>31391299.53925</v>
      </c>
      <c r="F129" s="20" t="n">
        <v>0.0713638033531148</v>
      </c>
      <c r="G129" s="19" t="n">
        <f aca="false">$G$4</f>
        <v>0.01</v>
      </c>
      <c r="H129" s="16" t="n">
        <f aca="false">F129+G129</f>
        <v>0.0813638033531148</v>
      </c>
      <c r="M129" s="28" t="s">
        <v>19</v>
      </c>
      <c r="N129" s="35" t="s">
        <v>25</v>
      </c>
      <c r="O129" s="37" t="n">
        <f aca="false">E129</f>
        <v>31391299.53925</v>
      </c>
    </row>
    <row r="130" customFormat="false" ht="12.75" hidden="false" customHeight="false" outlineLevel="0" collapsed="false">
      <c r="B130" s="26"/>
      <c r="C130" s="26"/>
      <c r="D130" s="35" t="s">
        <v>35</v>
      </c>
      <c r="E130" s="13" t="n">
        <f aca="false">[8]sbytrans!$I$68</f>
        <v>48795704.7940833</v>
      </c>
      <c r="F130" s="20" t="n">
        <v>0.0499385329089539</v>
      </c>
      <c r="G130" s="19" t="n">
        <f aca="false">$G$4</f>
        <v>0.01</v>
      </c>
      <c r="H130" s="16" t="n">
        <f aca="false">F130+G130</f>
        <v>0.0599385329089539</v>
      </c>
      <c r="M130" s="26"/>
      <c r="N130" s="35" t="s">
        <v>35</v>
      </c>
      <c r="O130" s="37" t="n">
        <f aca="false">E130</f>
        <v>48795704.7940833</v>
      </c>
    </row>
    <row r="131" customFormat="false" ht="12.75" hidden="false" customHeight="false" outlineLevel="0" collapsed="false">
      <c r="B131" s="26"/>
      <c r="C131" s="26"/>
      <c r="D131" s="35"/>
      <c r="E131" s="13"/>
      <c r="F131" s="20"/>
      <c r="G131" s="19"/>
      <c r="H131" s="16"/>
      <c r="M131" s="26"/>
      <c r="N131" s="35"/>
      <c r="O131" s="35"/>
    </row>
    <row r="132" customFormat="false" ht="12.75" hidden="false" customHeight="false" outlineLevel="0" collapsed="false">
      <c r="B132" s="21" t="s">
        <v>20</v>
      </c>
      <c r="D132" s="3"/>
      <c r="E132" s="39" t="n">
        <f aca="false">SUM(E126:E130)</f>
        <v>129286012</v>
      </c>
      <c r="J132" s="23"/>
      <c r="K132" s="24" t="n">
        <f aca="false">E132*$K$1</f>
        <v>3878580.36</v>
      </c>
      <c r="M132" s="1"/>
      <c r="N132" s="3"/>
      <c r="O132" s="39" t="n">
        <f aca="false">SUM(O126:O130)</f>
        <v>129286012</v>
      </c>
    </row>
    <row r="133" customFormat="false" ht="12.75" hidden="false" customHeight="false" outlineLevel="0" collapsed="false">
      <c r="M133" s="1"/>
    </row>
    <row r="134" customFormat="false" ht="12.75" hidden="false" customHeight="false" outlineLevel="0" collapsed="false">
      <c r="A134" s="1" t="s">
        <v>44</v>
      </c>
      <c r="B134" s="26" t="s">
        <v>15</v>
      </c>
      <c r="C134" s="28" t="s">
        <v>16</v>
      </c>
      <c r="D134" s="35" t="s">
        <v>32</v>
      </c>
      <c r="E134" s="13" t="n">
        <f aca="false">[8]sbytrans!$E$70</f>
        <v>2088517.69456667</v>
      </c>
      <c r="F134" s="20" t="n">
        <v>0.366323919827406</v>
      </c>
      <c r="G134" s="19" t="n">
        <f aca="false">$G$4</f>
        <v>0.01</v>
      </c>
      <c r="H134" s="16" t="n">
        <f aca="false">F134+G134</f>
        <v>0.376323919827406</v>
      </c>
      <c r="M134" s="28" t="s">
        <v>16</v>
      </c>
      <c r="N134" s="35" t="s">
        <v>32</v>
      </c>
      <c r="O134" s="37" t="n">
        <f aca="false">E134</f>
        <v>2088517.69456667</v>
      </c>
    </row>
    <row r="135" customFormat="false" ht="12.75" hidden="false" customHeight="false" outlineLevel="0" collapsed="false">
      <c r="B135" s="26"/>
      <c r="C135" s="28"/>
      <c r="D135" s="35" t="s">
        <v>34</v>
      </c>
      <c r="E135" s="13" t="n">
        <f aca="false">[8]sbytrans!$F$70</f>
        <v>3360498.41538333</v>
      </c>
      <c r="F135" s="20" t="n">
        <v>0.108142651621275</v>
      </c>
      <c r="G135" s="19" t="n">
        <f aca="false">$G$4</f>
        <v>0.01</v>
      </c>
      <c r="H135" s="16" t="n">
        <f aca="false">F135+G135</f>
        <v>0.118142651621275</v>
      </c>
      <c r="M135" s="28"/>
      <c r="N135" s="35" t="s">
        <v>34</v>
      </c>
      <c r="O135" s="37" t="n">
        <f aca="false">E135</f>
        <v>3360498.41538333</v>
      </c>
    </row>
    <row r="136" customFormat="false" ht="12.75" hidden="false" customHeight="false" outlineLevel="0" collapsed="false">
      <c r="B136" s="26"/>
      <c r="C136" s="26"/>
      <c r="D136" s="35" t="s">
        <v>35</v>
      </c>
      <c r="E136" s="13" t="n">
        <f aca="false">[8]sbytrans!$G$70</f>
        <v>10633181.64005</v>
      </c>
      <c r="F136" s="20" t="n">
        <v>0.0391168520029584</v>
      </c>
      <c r="G136" s="19" t="n">
        <f aca="false">$G$4</f>
        <v>0.01</v>
      </c>
      <c r="H136" s="16" t="n">
        <f aca="false">F136+G136</f>
        <v>0.0491168520029584</v>
      </c>
      <c r="M136" s="26"/>
      <c r="N136" s="35" t="s">
        <v>35</v>
      </c>
      <c r="O136" s="37" t="n">
        <f aca="false">E136</f>
        <v>10633181.64005</v>
      </c>
    </row>
    <row r="137" customFormat="false" ht="12.75" hidden="false" customHeight="false" outlineLevel="0" collapsed="false">
      <c r="B137" s="26"/>
      <c r="C137" s="28" t="s">
        <v>19</v>
      </c>
      <c r="D137" s="35" t="s">
        <v>25</v>
      </c>
      <c r="E137" s="13" t="n">
        <f aca="false">[8]sbytrans!$H$70</f>
        <v>5499662.00743333</v>
      </c>
      <c r="F137" s="20" t="n">
        <v>0.0947325945040617</v>
      </c>
      <c r="G137" s="19" t="n">
        <f aca="false">$G$4</f>
        <v>0.01</v>
      </c>
      <c r="H137" s="16" t="n">
        <f aca="false">F137+G137</f>
        <v>0.104732594504062</v>
      </c>
      <c r="M137" s="28" t="s">
        <v>19</v>
      </c>
      <c r="N137" s="35" t="s">
        <v>25</v>
      </c>
      <c r="O137" s="37" t="n">
        <f aca="false">E137</f>
        <v>5499662.00743333</v>
      </c>
    </row>
    <row r="138" customFormat="false" ht="12.75" hidden="false" customHeight="false" outlineLevel="0" collapsed="false">
      <c r="B138" s="26"/>
      <c r="C138" s="26"/>
      <c r="D138" s="35" t="s">
        <v>35</v>
      </c>
      <c r="E138" s="13" t="n">
        <f aca="false">[8]sbytrans!$I$70</f>
        <v>8146583.24256667</v>
      </c>
      <c r="F138" s="20" t="n">
        <v>0.0499570667138147</v>
      </c>
      <c r="G138" s="19" t="n">
        <f aca="false">$G$4</f>
        <v>0.01</v>
      </c>
      <c r="H138" s="16" t="n">
        <f aca="false">F138+G138</f>
        <v>0.0599570667138147</v>
      </c>
      <c r="M138" s="26"/>
      <c r="N138" s="35" t="s">
        <v>35</v>
      </c>
      <c r="O138" s="37" t="n">
        <f aca="false">E138</f>
        <v>8146583.24256667</v>
      </c>
    </row>
    <row r="139" customFormat="false" ht="12.75" hidden="false" customHeight="false" outlineLevel="0" collapsed="false">
      <c r="B139" s="26"/>
      <c r="C139" s="26"/>
      <c r="D139" s="35"/>
      <c r="E139" s="13"/>
      <c r="F139" s="20"/>
      <c r="G139" s="19"/>
      <c r="H139" s="16"/>
      <c r="M139" s="26"/>
      <c r="N139" s="35"/>
      <c r="O139" s="35"/>
    </row>
    <row r="140" customFormat="false" ht="12.75" hidden="false" customHeight="false" outlineLevel="0" collapsed="false">
      <c r="B140" s="21" t="s">
        <v>20</v>
      </c>
      <c r="D140" s="3"/>
      <c r="E140" s="39" t="n">
        <f aca="false">SUM(E134:E138)</f>
        <v>29728443</v>
      </c>
      <c r="J140" s="23"/>
      <c r="K140" s="24" t="n">
        <f aca="false">E140*$K$1</f>
        <v>891853.29</v>
      </c>
      <c r="M140" s="1"/>
      <c r="N140" s="3"/>
      <c r="O140" s="39" t="n">
        <f aca="false">SUM(O134:O138)</f>
        <v>29728443</v>
      </c>
    </row>
    <row r="141" customFormat="false" ht="12.75" hidden="false" customHeight="false" outlineLevel="0" collapsed="false">
      <c r="M141" s="1"/>
    </row>
    <row r="142" customFormat="false" ht="12.75" hidden="false" customHeight="false" outlineLevel="0" collapsed="false">
      <c r="A142" s="1" t="s">
        <v>45</v>
      </c>
      <c r="B142" s="26" t="s">
        <v>15</v>
      </c>
      <c r="C142" s="28" t="s">
        <v>16</v>
      </c>
      <c r="D142" s="35" t="s">
        <v>32</v>
      </c>
      <c r="E142" s="13" t="n">
        <f aca="false">[8]sbytrans!$E$72</f>
        <v>690904.405591667</v>
      </c>
      <c r="F142" s="20" t="n">
        <v>0.391585051235972</v>
      </c>
      <c r="G142" s="19" t="n">
        <f aca="false">$G$4</f>
        <v>0.01</v>
      </c>
      <c r="H142" s="16" t="n">
        <f aca="false">F142+G142</f>
        <v>0.401585051235972</v>
      </c>
      <c r="M142" s="28" t="s">
        <v>16</v>
      </c>
      <c r="N142" s="35" t="s">
        <v>32</v>
      </c>
      <c r="O142" s="37" t="n">
        <f aca="false">E142</f>
        <v>690904.405591667</v>
      </c>
    </row>
    <row r="143" customFormat="false" ht="12.75" hidden="false" customHeight="false" outlineLevel="0" collapsed="false">
      <c r="B143" s="26"/>
      <c r="C143" s="28"/>
      <c r="D143" s="35" t="s">
        <v>34</v>
      </c>
      <c r="E143" s="13" t="n">
        <f aca="false">[8]sbytrans!$F$72</f>
        <v>753862.22745</v>
      </c>
      <c r="F143" s="20" t="n">
        <v>0.116483371659281</v>
      </c>
      <c r="G143" s="19" t="n">
        <f aca="false">$G$4</f>
        <v>0.01</v>
      </c>
      <c r="H143" s="16" t="n">
        <f aca="false">F143+G143</f>
        <v>0.126483371659281</v>
      </c>
      <c r="M143" s="28"/>
      <c r="N143" s="35" t="s">
        <v>34</v>
      </c>
      <c r="O143" s="37" t="n">
        <f aca="false">E143</f>
        <v>753862.22745</v>
      </c>
    </row>
    <row r="144" customFormat="false" ht="12.75" hidden="false" customHeight="false" outlineLevel="0" collapsed="false">
      <c r="B144" s="26"/>
      <c r="C144" s="26"/>
      <c r="D144" s="35" t="s">
        <v>35</v>
      </c>
      <c r="E144" s="13" t="n">
        <f aca="false">[8]sbytrans!$G$72</f>
        <v>2144602.11695833</v>
      </c>
      <c r="F144" s="20" t="n">
        <v>0.0429632070406279</v>
      </c>
      <c r="G144" s="19" t="n">
        <f aca="false">$G$4</f>
        <v>0.01</v>
      </c>
      <c r="H144" s="16" t="n">
        <f aca="false">F144+G144</f>
        <v>0.0529632070406279</v>
      </c>
      <c r="M144" s="26"/>
      <c r="N144" s="35" t="s">
        <v>35</v>
      </c>
      <c r="O144" s="37" t="n">
        <f aca="false">E144</f>
        <v>2144602.11695833</v>
      </c>
    </row>
    <row r="145" customFormat="false" ht="12.75" hidden="false" customHeight="false" outlineLevel="0" collapsed="false">
      <c r="B145" s="26"/>
      <c r="C145" s="28" t="s">
        <v>19</v>
      </c>
      <c r="D145" s="35" t="s">
        <v>25</v>
      </c>
      <c r="E145" s="13" t="n">
        <f aca="false">[8]sbytrans!$H$72</f>
        <v>1549348.187</v>
      </c>
      <c r="F145" s="20" t="n">
        <v>0.102910418191222</v>
      </c>
      <c r="G145" s="19" t="n">
        <f aca="false">$G$4</f>
        <v>0.01</v>
      </c>
      <c r="H145" s="16" t="n">
        <f aca="false">F145+G145</f>
        <v>0.112910418191222</v>
      </c>
      <c r="M145" s="28" t="s">
        <v>19</v>
      </c>
      <c r="N145" s="35" t="s">
        <v>25</v>
      </c>
      <c r="O145" s="37" t="n">
        <f aca="false">E145</f>
        <v>1549348.187</v>
      </c>
    </row>
    <row r="146" customFormat="false" ht="12.75" hidden="false" customHeight="false" outlineLevel="0" collapsed="false">
      <c r="B146" s="26"/>
      <c r="C146" s="26"/>
      <c r="D146" s="35" t="s">
        <v>35</v>
      </c>
      <c r="E146" s="13" t="n">
        <f aca="false">[8]sbytrans!$I$72</f>
        <v>2213368.063</v>
      </c>
      <c r="F146" s="20" t="n">
        <v>0.0548885250811338</v>
      </c>
      <c r="G146" s="19" t="n">
        <f aca="false">$G$4</f>
        <v>0.01</v>
      </c>
      <c r="H146" s="16" t="n">
        <f aca="false">F146+G146</f>
        <v>0.0648885250811338</v>
      </c>
      <c r="M146" s="26"/>
      <c r="N146" s="35" t="s">
        <v>35</v>
      </c>
      <c r="O146" s="37" t="n">
        <f aca="false">E146</f>
        <v>2213368.063</v>
      </c>
    </row>
    <row r="147" customFormat="false" ht="12.75" hidden="false" customHeight="false" outlineLevel="0" collapsed="false">
      <c r="B147" s="26"/>
      <c r="C147" s="26"/>
      <c r="D147" s="35"/>
      <c r="E147" s="13"/>
      <c r="F147" s="20"/>
      <c r="G147" s="19"/>
      <c r="H147" s="16"/>
    </row>
    <row r="148" customFormat="false" ht="12.75" hidden="false" customHeight="false" outlineLevel="0" collapsed="false">
      <c r="B148" s="21" t="s">
        <v>20</v>
      </c>
      <c r="D148" s="3"/>
      <c r="E148" s="39" t="n">
        <f aca="false">SUM(E142:E146)</f>
        <v>7352085</v>
      </c>
      <c r="J148" s="23"/>
      <c r="K148" s="24" t="n">
        <f aca="false">E148*$K$1</f>
        <v>220562.55</v>
      </c>
      <c r="O148" s="39" t="n">
        <f aca="false">SUM(O142:O146)</f>
        <v>7352085</v>
      </c>
    </row>
    <row r="150" customFormat="false" ht="12.75" hidden="false" customHeight="false" outlineLevel="0" collapsed="false">
      <c r="A150" s="1" t="s">
        <v>46</v>
      </c>
      <c r="B150" s="26" t="s">
        <v>15</v>
      </c>
      <c r="C150" s="28" t="s">
        <v>16</v>
      </c>
      <c r="E150" s="13" t="n">
        <f aca="false">[9]strttran!$C$42</f>
        <v>175645927.415622</v>
      </c>
      <c r="F150" s="20" t="n">
        <v>0.0709728831987009</v>
      </c>
      <c r="G150" s="19" t="n">
        <f aca="false">$G$4</f>
        <v>0.01</v>
      </c>
      <c r="H150" s="16" t="n">
        <f aca="false">F150+G150</f>
        <v>0.0809728831987009</v>
      </c>
      <c r="M150" s="28" t="s">
        <v>16</v>
      </c>
      <c r="N150" s="11" t="s">
        <v>17</v>
      </c>
      <c r="O150" s="37" t="n">
        <f aca="false">E150*N1</f>
        <v>96605260.0785919</v>
      </c>
      <c r="P150" s="11"/>
    </row>
    <row r="151" customFormat="false" ht="12.75" hidden="false" customHeight="false" outlineLevel="0" collapsed="false">
      <c r="A151" s="1" t="s">
        <v>47</v>
      </c>
      <c r="B151" s="26"/>
      <c r="C151" s="28"/>
      <c r="E151" s="13"/>
      <c r="F151" s="20"/>
      <c r="M151" s="28"/>
      <c r="N151" s="11" t="s">
        <v>18</v>
      </c>
      <c r="O151" s="37" t="n">
        <f aca="false">E150*N2</f>
        <v>79040667.3370298</v>
      </c>
      <c r="P151" s="11"/>
    </row>
    <row r="152" customFormat="false" ht="12.75" hidden="false" customHeight="false" outlineLevel="0" collapsed="false">
      <c r="C152" s="28" t="s">
        <v>19</v>
      </c>
      <c r="E152" s="13" t="n">
        <f aca="false">[9]strttran!$D$42</f>
        <v>175645927.415622</v>
      </c>
      <c r="F152" s="20" t="n">
        <v>0.0709728831987009</v>
      </c>
      <c r="G152" s="19" t="n">
        <f aca="false">$G$4</f>
        <v>0.01</v>
      </c>
      <c r="H152" s="16" t="n">
        <f aca="false">F152+G152</f>
        <v>0.0809728831987009</v>
      </c>
      <c r="M152" s="28" t="s">
        <v>19</v>
      </c>
      <c r="N152" s="11" t="s">
        <v>17</v>
      </c>
      <c r="O152" s="37" t="n">
        <f aca="false">E152*N1</f>
        <v>96605260.0785919</v>
      </c>
      <c r="P152" s="11"/>
    </row>
    <row r="153" customFormat="false" ht="12.75" hidden="false" customHeight="false" outlineLevel="0" collapsed="false">
      <c r="C153" s="28"/>
      <c r="E153" s="13"/>
      <c r="F153" s="20"/>
      <c r="G153" s="19"/>
      <c r="H153" s="16"/>
      <c r="N153" s="11" t="s">
        <v>18</v>
      </c>
      <c r="O153" s="37" t="n">
        <f aca="false">E152*N2</f>
        <v>79040667.3370298</v>
      </c>
      <c r="P153" s="11"/>
    </row>
    <row r="154" customFormat="false" ht="12.75" hidden="false" customHeight="false" outlineLevel="0" collapsed="false">
      <c r="A154" s="1" t="s">
        <v>47</v>
      </c>
      <c r="B154" s="26" t="s">
        <v>15</v>
      </c>
      <c r="C154" s="28" t="s">
        <v>16</v>
      </c>
      <c r="E154" s="13" t="n">
        <f aca="false">[9]strttran!$C$40</f>
        <v>7098467.91562168</v>
      </c>
      <c r="F154" s="27" t="n">
        <v>0.000450000000000006</v>
      </c>
      <c r="G154" s="19"/>
      <c r="H154" s="16" t="n">
        <f aca="false">F154+G154</f>
        <v>0.000450000000000006</v>
      </c>
      <c r="N154" s="11"/>
      <c r="O154" s="11"/>
      <c r="P154" s="11"/>
    </row>
    <row r="155" customFormat="false" ht="12.75" hidden="false" customHeight="false" outlineLevel="0" collapsed="false">
      <c r="B155" s="27"/>
      <c r="C155" s="28" t="s">
        <v>19</v>
      </c>
      <c r="E155" s="13" t="n">
        <f aca="false">[9]strttran!$D$40</f>
        <v>7098467.91562168</v>
      </c>
      <c r="F155" s="20" t="n">
        <v>0.000450000000000006</v>
      </c>
      <c r="G155" s="19"/>
      <c r="H155" s="16" t="n">
        <f aca="false">F155+G155</f>
        <v>0.000450000000000006</v>
      </c>
      <c r="N155" s="11"/>
      <c r="O155" s="11"/>
      <c r="P155" s="11"/>
    </row>
    <row r="156" customFormat="false" ht="12.75" hidden="false" customHeight="false" outlineLevel="0" collapsed="false">
      <c r="B156" s="27"/>
      <c r="C156" s="28"/>
      <c r="E156" s="13"/>
      <c r="F156" s="20"/>
      <c r="G156" s="19"/>
      <c r="H156" s="16"/>
      <c r="N156" s="11"/>
      <c r="O156" s="11"/>
      <c r="P156" s="11"/>
    </row>
    <row r="157" customFormat="false" ht="12.75" hidden="false" customHeight="false" outlineLevel="0" collapsed="false">
      <c r="B157" s="21" t="s">
        <v>20</v>
      </c>
      <c r="E157" s="22" t="n">
        <f aca="false">SUM(E150:E153)</f>
        <v>351291854.831243</v>
      </c>
      <c r="J157" s="23"/>
      <c r="K157" s="24" t="n">
        <f aca="false">E157*$K$1</f>
        <v>10538755.6449373</v>
      </c>
      <c r="N157" s="11"/>
      <c r="O157" s="22" t="n">
        <f aca="false">SUM(O150:O153)</f>
        <v>351291854.831243</v>
      </c>
      <c r="P157" s="11"/>
    </row>
    <row r="159" customFormat="false" ht="12.75" hidden="false" customHeight="false" outlineLevel="0" collapsed="false">
      <c r="A159" s="1" t="s">
        <v>48</v>
      </c>
      <c r="B159" s="26" t="s">
        <v>15</v>
      </c>
      <c r="C159" s="28" t="s">
        <v>16</v>
      </c>
      <c r="E159" s="13" t="n">
        <f aca="false">[10]agtran!$E$39</f>
        <v>132974447.625</v>
      </c>
      <c r="F159" s="20" t="n">
        <v>0.135476911959583</v>
      </c>
      <c r="G159" s="19" t="n">
        <f aca="false">$G$4</f>
        <v>0.01</v>
      </c>
      <c r="H159" s="16" t="n">
        <f aca="false">F159+G159</f>
        <v>0.145476911959583</v>
      </c>
      <c r="M159" s="28" t="s">
        <v>16</v>
      </c>
      <c r="N159" s="11" t="s">
        <v>17</v>
      </c>
      <c r="O159" s="18" t="n">
        <f aca="false">E159*N1</f>
        <v>73135946.19375</v>
      </c>
      <c r="P159" s="11"/>
    </row>
    <row r="160" customFormat="false" ht="12.75" hidden="false" customHeight="false" outlineLevel="0" collapsed="false">
      <c r="B160" s="26"/>
      <c r="C160" s="28"/>
      <c r="E160" s="13"/>
      <c r="F160" s="20"/>
      <c r="M160" s="28"/>
      <c r="N160" s="11" t="s">
        <v>18</v>
      </c>
      <c r="O160" s="18" t="n">
        <f aca="false">E159*N2</f>
        <v>59838501.43125</v>
      </c>
      <c r="P160" s="11"/>
    </row>
    <row r="161" customFormat="false" ht="12.75" hidden="false" customHeight="false" outlineLevel="0" collapsed="false">
      <c r="B161" s="26"/>
      <c r="C161" s="28" t="s">
        <v>19</v>
      </c>
      <c r="E161" s="13" t="n">
        <f aca="false">[10]agtran!$F$39</f>
        <v>46751973.5</v>
      </c>
      <c r="F161" s="20" t="n">
        <v>0.135476911959583</v>
      </c>
      <c r="G161" s="19" t="n">
        <f aca="false">$G$4</f>
        <v>0.01</v>
      </c>
      <c r="H161" s="16" t="n">
        <f aca="false">F161+G161</f>
        <v>0.145476911959583</v>
      </c>
      <c r="M161" s="28" t="s">
        <v>19</v>
      </c>
      <c r="N161" s="11" t="s">
        <v>17</v>
      </c>
      <c r="O161" s="18" t="n">
        <f aca="false">E161*N1</f>
        <v>25713585.425</v>
      </c>
      <c r="P161" s="11"/>
    </row>
    <row r="162" customFormat="false" ht="12.75" hidden="false" customHeight="false" outlineLevel="0" collapsed="false">
      <c r="B162" s="26"/>
      <c r="N162" s="11" t="s">
        <v>18</v>
      </c>
      <c r="O162" s="18" t="n">
        <f aca="false">E161*N2</f>
        <v>21038388.075</v>
      </c>
      <c r="P162" s="11"/>
    </row>
    <row r="163" customFormat="false" ht="12.75" hidden="false" customHeight="false" outlineLevel="0" collapsed="false">
      <c r="B163" s="26"/>
      <c r="N163" s="11"/>
      <c r="O163" s="18"/>
      <c r="P163" s="11"/>
    </row>
    <row r="164" customFormat="false" ht="12.75" hidden="false" customHeight="false" outlineLevel="0" collapsed="false">
      <c r="B164" s="21" t="s">
        <v>20</v>
      </c>
      <c r="E164" s="22" t="n">
        <f aca="false">SUM(E159:E162)</f>
        <v>179726421.125</v>
      </c>
      <c r="J164" s="23"/>
      <c r="K164" s="24" t="n">
        <f aca="false">E164*$K$1</f>
        <v>5391792.63375</v>
      </c>
      <c r="O164" s="22" t="n">
        <f aca="false">SUM(O159:O162)</f>
        <v>179726421.125</v>
      </c>
    </row>
    <row r="166" customFormat="false" ht="12.75" hidden="false" customHeight="false" outlineLevel="0" collapsed="false">
      <c r="A166" s="1" t="s">
        <v>49</v>
      </c>
      <c r="B166" s="26" t="s">
        <v>15</v>
      </c>
      <c r="C166" s="28" t="s">
        <v>16</v>
      </c>
      <c r="D166" s="35" t="s">
        <v>32</v>
      </c>
      <c r="E166" s="13" t="n">
        <f aca="false">[10]agtran!$G$43</f>
        <v>1600259.7612</v>
      </c>
      <c r="F166" s="20" t="n">
        <v>0.329021816701654</v>
      </c>
      <c r="G166" s="19" t="n">
        <f aca="false">$G$4</f>
        <v>0.01</v>
      </c>
      <c r="H166" s="16" t="n">
        <f aca="false">F166+G166</f>
        <v>0.339021816701654</v>
      </c>
      <c r="M166" s="28" t="s">
        <v>16</v>
      </c>
      <c r="N166" s="35" t="s">
        <v>32</v>
      </c>
      <c r="O166" s="40" t="n">
        <f aca="false">E166</f>
        <v>1600259.7612</v>
      </c>
    </row>
    <row r="167" customFormat="false" ht="12.75" hidden="false" customHeight="false" outlineLevel="0" collapsed="false">
      <c r="B167" s="26"/>
      <c r="C167" s="26"/>
      <c r="D167" s="35" t="s">
        <v>35</v>
      </c>
      <c r="E167" s="13" t="n">
        <f aca="false">[10]agtran!$I$43</f>
        <v>21002279.2388</v>
      </c>
      <c r="F167" s="20" t="n">
        <v>0.0767302986317901</v>
      </c>
      <c r="G167" s="19" t="n">
        <f aca="false">$G$4</f>
        <v>0.01</v>
      </c>
      <c r="H167" s="16" t="n">
        <f aca="false">F167+G167</f>
        <v>0.0867302986317901</v>
      </c>
      <c r="M167" s="26"/>
      <c r="N167" s="35" t="s">
        <v>35</v>
      </c>
      <c r="O167" s="40" t="n">
        <f aca="false">E167</f>
        <v>21002279.2388</v>
      </c>
    </row>
    <row r="168" customFormat="false" ht="12.75" hidden="false" customHeight="false" outlineLevel="0" collapsed="false">
      <c r="B168" s="26"/>
      <c r="C168" s="28" t="s">
        <v>19</v>
      </c>
      <c r="D168" s="35" t="s">
        <v>34</v>
      </c>
      <c r="E168" s="13" t="n">
        <f aca="false">[10]agtran!$J$43</f>
        <v>2144713.2595</v>
      </c>
      <c r="F168" s="20" t="n">
        <v>0.0723771457792384</v>
      </c>
      <c r="G168" s="19" t="n">
        <f aca="false">$G$4</f>
        <v>0.01</v>
      </c>
      <c r="H168" s="16" t="n">
        <f aca="false">F168+G168</f>
        <v>0.0823771457792384</v>
      </c>
      <c r="M168" s="28" t="s">
        <v>19</v>
      </c>
      <c r="N168" s="35" t="s">
        <v>34</v>
      </c>
      <c r="O168" s="40" t="n">
        <f aca="false">E168</f>
        <v>2144713.2595</v>
      </c>
    </row>
    <row r="169" customFormat="false" ht="12.75" hidden="false" customHeight="false" outlineLevel="0" collapsed="false">
      <c r="B169" s="26"/>
      <c r="C169" s="26"/>
      <c r="D169" s="35" t="s">
        <v>35</v>
      </c>
      <c r="E169" s="13" t="n">
        <f aca="false">[10]agtran!$B$72</f>
        <v>4009413.7405</v>
      </c>
      <c r="F169" s="20" t="n">
        <v>0.0575572913427493</v>
      </c>
      <c r="G169" s="19" t="n">
        <f aca="false">$G$4</f>
        <v>0.01</v>
      </c>
      <c r="H169" s="16" t="n">
        <f aca="false">F169+G169</f>
        <v>0.0675572913427493</v>
      </c>
      <c r="M169" s="26"/>
      <c r="N169" s="35" t="s">
        <v>35</v>
      </c>
      <c r="O169" s="40" t="n">
        <f aca="false">E169</f>
        <v>4009413.7405</v>
      </c>
    </row>
    <row r="170" customFormat="false" ht="12.75" hidden="false" customHeight="false" outlineLevel="0" collapsed="false">
      <c r="M170" s="1"/>
    </row>
    <row r="171" customFormat="false" ht="12.75" hidden="false" customHeight="false" outlineLevel="0" collapsed="false">
      <c r="B171" s="21" t="s">
        <v>20</v>
      </c>
      <c r="D171" s="3"/>
      <c r="E171" s="39" t="n">
        <f aca="false">SUM(E166:E169)</f>
        <v>28756666</v>
      </c>
      <c r="J171" s="23"/>
      <c r="K171" s="24" t="n">
        <f aca="false">E171*$K$1</f>
        <v>862699.98</v>
      </c>
      <c r="M171" s="1"/>
      <c r="N171" s="3"/>
      <c r="O171" s="3"/>
    </row>
    <row r="172" customFormat="false" ht="12.75" hidden="false" customHeight="false" outlineLevel="0" collapsed="false">
      <c r="M172" s="1"/>
    </row>
    <row r="173" customFormat="false" ht="12.75" hidden="false" customHeight="false" outlineLevel="0" collapsed="false">
      <c r="A173" s="1" t="s">
        <v>50</v>
      </c>
      <c r="B173" s="26" t="s">
        <v>15</v>
      </c>
      <c r="C173" s="28" t="s">
        <v>16</v>
      </c>
      <c r="D173" s="35" t="s">
        <v>32</v>
      </c>
      <c r="E173" s="13" t="n">
        <f aca="false">[10]agtran!$G$45</f>
        <v>2491909.385</v>
      </c>
      <c r="F173" s="20" t="n">
        <v>0.323936525328152</v>
      </c>
      <c r="G173" s="19" t="n">
        <f aca="false">$G$4</f>
        <v>0.01</v>
      </c>
      <c r="H173" s="16" t="n">
        <f aca="false">F173+G173</f>
        <v>0.333936525328152</v>
      </c>
      <c r="M173" s="28" t="s">
        <v>16</v>
      </c>
      <c r="N173" s="35" t="s">
        <v>32</v>
      </c>
      <c r="O173" s="40" t="n">
        <f aca="false">E173</f>
        <v>2491909.385</v>
      </c>
    </row>
    <row r="174" customFormat="false" ht="12.75" hidden="false" customHeight="false" outlineLevel="0" collapsed="false">
      <c r="B174" s="26"/>
      <c r="C174" s="26"/>
      <c r="D174" s="35" t="s">
        <v>35</v>
      </c>
      <c r="E174" s="13" t="n">
        <f aca="false">[10]agtran!$I$45</f>
        <v>21701385.615</v>
      </c>
      <c r="F174" s="20" t="n">
        <v>0.0738647790114025</v>
      </c>
      <c r="G174" s="19" t="n">
        <f aca="false">$G$4</f>
        <v>0.01</v>
      </c>
      <c r="H174" s="16" t="n">
        <f aca="false">F174+G174</f>
        <v>0.0838647790114025</v>
      </c>
      <c r="M174" s="26"/>
      <c r="N174" s="35" t="s">
        <v>35</v>
      </c>
      <c r="O174" s="40" t="n">
        <f aca="false">E174</f>
        <v>21701385.615</v>
      </c>
    </row>
    <row r="175" customFormat="false" ht="12.75" hidden="false" customHeight="false" outlineLevel="0" collapsed="false">
      <c r="B175" s="26"/>
      <c r="C175" s="28" t="s">
        <v>19</v>
      </c>
      <c r="D175" s="35" t="s">
        <v>34</v>
      </c>
      <c r="E175" s="13" t="n">
        <f aca="false">[10]agtran!$J$45</f>
        <v>2607967.8654</v>
      </c>
      <c r="F175" s="20" t="n">
        <v>0.0712558684944435</v>
      </c>
      <c r="G175" s="19" t="n">
        <f aca="false">$G$4</f>
        <v>0.01</v>
      </c>
      <c r="H175" s="16" t="n">
        <f aca="false">F175+G175</f>
        <v>0.0812558684944435</v>
      </c>
      <c r="M175" s="28" t="s">
        <v>19</v>
      </c>
      <c r="N175" s="35" t="s">
        <v>34</v>
      </c>
      <c r="O175" s="40" t="n">
        <f aca="false">E175</f>
        <v>2607967.8654</v>
      </c>
    </row>
    <row r="176" customFormat="false" ht="12.75" hidden="false" customHeight="false" outlineLevel="0" collapsed="false">
      <c r="B176" s="26"/>
      <c r="C176" s="26"/>
      <c r="D176" s="35" t="s">
        <v>35</v>
      </c>
      <c r="E176" s="13" t="n">
        <f aca="false">[10]agtran!$B$74</f>
        <v>4376413.1346</v>
      </c>
      <c r="F176" s="20" t="n">
        <v>0.0566766626643783</v>
      </c>
      <c r="G176" s="19" t="n">
        <f aca="false">$G$4</f>
        <v>0.01</v>
      </c>
      <c r="H176" s="16" t="n">
        <f aca="false">F176+G176</f>
        <v>0.0666766626643783</v>
      </c>
      <c r="M176" s="26"/>
      <c r="N176" s="35" t="s">
        <v>35</v>
      </c>
      <c r="O176" s="40" t="n">
        <f aca="false">E176</f>
        <v>4376413.1346</v>
      </c>
    </row>
    <row r="177" customFormat="false" ht="12.75" hidden="false" customHeight="false" outlineLevel="0" collapsed="false">
      <c r="B177" s="26"/>
      <c r="C177" s="26"/>
      <c r="D177" s="35"/>
      <c r="E177" s="13"/>
      <c r="F177" s="20"/>
      <c r="G177" s="19"/>
      <c r="H177" s="16"/>
      <c r="M177" s="26"/>
      <c r="N177" s="35"/>
      <c r="O177" s="35"/>
    </row>
    <row r="178" customFormat="false" ht="12.75" hidden="false" customHeight="false" outlineLevel="0" collapsed="false">
      <c r="B178" s="21" t="s">
        <v>20</v>
      </c>
      <c r="D178" s="3"/>
      <c r="E178" s="39" t="n">
        <f aca="false">SUM(E173:E176)</f>
        <v>31177676</v>
      </c>
      <c r="J178" s="23"/>
      <c r="K178" s="24" t="n">
        <f aca="false">E178*$K$1</f>
        <v>935330.28</v>
      </c>
      <c r="M178" s="1"/>
      <c r="N178" s="3"/>
      <c r="O178" s="39" t="n">
        <f aca="false">SUM(O173:O176)</f>
        <v>31177676</v>
      </c>
    </row>
    <row r="179" customFormat="false" ht="12.75" hidden="false" customHeight="false" outlineLevel="0" collapsed="false">
      <c r="E179" s="26"/>
      <c r="M179" s="1"/>
    </row>
    <row r="180" customFormat="false" ht="12.75" hidden="false" customHeight="false" outlineLevel="0" collapsed="false">
      <c r="A180" s="1" t="s">
        <v>51</v>
      </c>
      <c r="B180" s="26" t="s">
        <v>15</v>
      </c>
      <c r="C180" s="28" t="s">
        <v>16</v>
      </c>
      <c r="D180" s="35" t="s">
        <v>32</v>
      </c>
      <c r="E180" s="13" t="n">
        <f aca="false">[10]agtran!$G$47</f>
        <v>12217637.8599</v>
      </c>
      <c r="F180" s="20" t="n">
        <v>0.324361488239073</v>
      </c>
      <c r="G180" s="19" t="n">
        <f aca="false">$G$4</f>
        <v>0.01</v>
      </c>
      <c r="H180" s="16" t="n">
        <f aca="false">F180+G180</f>
        <v>0.334361488239073</v>
      </c>
      <c r="M180" s="28" t="s">
        <v>16</v>
      </c>
      <c r="N180" s="35" t="s">
        <v>32</v>
      </c>
      <c r="O180" s="40" t="n">
        <f aca="false">E180</f>
        <v>12217637.8599</v>
      </c>
    </row>
    <row r="181" customFormat="false" ht="12.75" hidden="false" customHeight="false" outlineLevel="0" collapsed="false">
      <c r="B181" s="26"/>
      <c r="C181" s="26"/>
      <c r="D181" s="35" t="s">
        <v>35</v>
      </c>
      <c r="E181" s="13" t="n">
        <f aca="false">[10]agtran!$I$47</f>
        <v>95616765.1401</v>
      </c>
      <c r="F181" s="20" t="n">
        <v>0.0652363182193764</v>
      </c>
      <c r="G181" s="19" t="n">
        <f aca="false">$G$4</f>
        <v>0.01</v>
      </c>
      <c r="H181" s="16" t="n">
        <f aca="false">F181+G181</f>
        <v>0.0752363182193764</v>
      </c>
      <c r="M181" s="26"/>
      <c r="N181" s="35" t="s">
        <v>35</v>
      </c>
      <c r="O181" s="40" t="n">
        <f aca="false">E181</f>
        <v>95616765.1401</v>
      </c>
    </row>
    <row r="182" customFormat="false" ht="12.75" hidden="false" customHeight="false" outlineLevel="0" collapsed="false">
      <c r="B182" s="26"/>
      <c r="C182" s="28" t="s">
        <v>19</v>
      </c>
      <c r="D182" s="35" t="s">
        <v>34</v>
      </c>
      <c r="E182" s="13" t="n">
        <f aca="false">[10]agtran!$J$47</f>
        <v>9322162.488</v>
      </c>
      <c r="F182" s="20" t="n">
        <v>0.0713480320261256</v>
      </c>
      <c r="G182" s="19" t="n">
        <f aca="false">$G$4</f>
        <v>0.01</v>
      </c>
      <c r="H182" s="16" t="n">
        <f aca="false">F182+G182</f>
        <v>0.0813480320261256</v>
      </c>
      <c r="M182" s="28" t="s">
        <v>19</v>
      </c>
      <c r="N182" s="35" t="s">
        <v>34</v>
      </c>
      <c r="O182" s="40" t="n">
        <f aca="false">E182</f>
        <v>9322162.488</v>
      </c>
    </row>
    <row r="183" customFormat="false" ht="12.75" hidden="false" customHeight="false" outlineLevel="0" collapsed="false">
      <c r="B183" s="26"/>
      <c r="C183" s="26"/>
      <c r="D183" s="35" t="s">
        <v>35</v>
      </c>
      <c r="E183" s="13" t="n">
        <f aca="false">[10]agtran!$B$76</f>
        <v>19055805.512</v>
      </c>
      <c r="F183" s="20" t="n">
        <v>0.0567393117200244</v>
      </c>
      <c r="G183" s="19" t="n">
        <f aca="false">$G$4</f>
        <v>0.01</v>
      </c>
      <c r="H183" s="16" t="n">
        <f aca="false">F183+G183</f>
        <v>0.0667393117200244</v>
      </c>
      <c r="M183" s="26"/>
      <c r="N183" s="35" t="s">
        <v>35</v>
      </c>
      <c r="O183" s="40" t="n">
        <f aca="false">E183</f>
        <v>19055805.512</v>
      </c>
    </row>
    <row r="184" customFormat="false" ht="12.75" hidden="false" customHeight="false" outlineLevel="0" collapsed="false">
      <c r="B184" s="26"/>
      <c r="C184" s="26"/>
      <c r="D184" s="35"/>
      <c r="E184" s="13"/>
      <c r="F184" s="20"/>
      <c r="G184" s="19"/>
      <c r="H184" s="16"/>
      <c r="M184" s="26"/>
      <c r="N184" s="35"/>
      <c r="O184" s="35"/>
    </row>
    <row r="185" customFormat="false" ht="12.75" hidden="false" customHeight="false" outlineLevel="0" collapsed="false">
      <c r="B185" s="21" t="s">
        <v>20</v>
      </c>
      <c r="D185" s="3"/>
      <c r="E185" s="39" t="n">
        <f aca="false">SUM(E180:E183)</f>
        <v>136212371</v>
      </c>
      <c r="H185" s="16"/>
      <c r="J185" s="23"/>
      <c r="K185" s="24" t="n">
        <f aca="false">E185*$K$1</f>
        <v>4086371.13</v>
      </c>
      <c r="M185" s="1"/>
      <c r="N185" s="3"/>
      <c r="O185" s="39" t="n">
        <f aca="false">SUM(O180:O183)</f>
        <v>136212371</v>
      </c>
    </row>
    <row r="186" customFormat="false" ht="12.75" hidden="false" customHeight="false" outlineLevel="0" collapsed="false">
      <c r="E186" s="26"/>
      <c r="M186" s="1"/>
    </row>
    <row r="187" customFormat="false" ht="12.75" hidden="false" customHeight="false" outlineLevel="0" collapsed="false">
      <c r="A187" s="1" t="s">
        <v>52</v>
      </c>
      <c r="B187" s="26" t="s">
        <v>15</v>
      </c>
      <c r="C187" s="28" t="s">
        <v>16</v>
      </c>
      <c r="D187" s="35" t="s">
        <v>32</v>
      </c>
      <c r="E187" s="13" t="n">
        <f aca="false">[10]agtran!$G$52</f>
        <v>10732128.84735</v>
      </c>
      <c r="F187" s="20" t="n">
        <v>0.239382578372344</v>
      </c>
      <c r="G187" s="19" t="n">
        <f aca="false">$G$4</f>
        <v>0.01</v>
      </c>
      <c r="H187" s="16" t="n">
        <f aca="false">F187+G187</f>
        <v>0.249382578372344</v>
      </c>
      <c r="M187" s="28" t="s">
        <v>16</v>
      </c>
      <c r="N187" s="35" t="s">
        <v>32</v>
      </c>
      <c r="O187" s="40" t="n">
        <f aca="false">E187</f>
        <v>10732128.84735</v>
      </c>
    </row>
    <row r="188" customFormat="false" ht="12.75" hidden="false" customHeight="false" outlineLevel="0" collapsed="false">
      <c r="B188" s="26"/>
      <c r="C188" s="26"/>
      <c r="D188" s="35" t="s">
        <v>35</v>
      </c>
      <c r="E188" s="13" t="n">
        <f aca="false">[10]agtran!$I$52</f>
        <v>48990346.65265</v>
      </c>
      <c r="F188" s="20" t="n">
        <v>0.0492570159261956</v>
      </c>
      <c r="G188" s="19" t="n">
        <f aca="false">$G$4</f>
        <v>0.01</v>
      </c>
      <c r="H188" s="16" t="n">
        <f aca="false">F188+G188</f>
        <v>0.0592570159261956</v>
      </c>
      <c r="M188" s="26"/>
      <c r="N188" s="35" t="s">
        <v>35</v>
      </c>
      <c r="O188" s="40" t="n">
        <f aca="false">E188</f>
        <v>48990346.65265</v>
      </c>
    </row>
    <row r="189" customFormat="false" ht="12.75" hidden="false" customHeight="false" outlineLevel="0" collapsed="false">
      <c r="B189" s="26"/>
      <c r="C189" s="28" t="s">
        <v>19</v>
      </c>
      <c r="D189" s="35" t="s">
        <v>34</v>
      </c>
      <c r="E189" s="13" t="n">
        <f aca="false">[10]agtran!$J$52</f>
        <v>8874797.1606</v>
      </c>
      <c r="F189" s="20" t="n">
        <v>0.055162489225249</v>
      </c>
      <c r="G189" s="19" t="n">
        <f aca="false">$G$4</f>
        <v>0.01</v>
      </c>
      <c r="H189" s="16" t="n">
        <f aca="false">F189+G189</f>
        <v>0.065162489225249</v>
      </c>
      <c r="M189" s="28" t="s">
        <v>19</v>
      </c>
      <c r="N189" s="35" t="s">
        <v>34</v>
      </c>
      <c r="O189" s="40" t="n">
        <f aca="false">E189</f>
        <v>8874797.1606</v>
      </c>
    </row>
    <row r="190" customFormat="false" ht="12.75" hidden="false" customHeight="false" outlineLevel="0" collapsed="false">
      <c r="B190" s="26"/>
      <c r="C190" s="26"/>
      <c r="D190" s="35" t="s">
        <v>35</v>
      </c>
      <c r="E190" s="13" t="n">
        <f aca="false">[10]agtran!$B$81</f>
        <v>14956559.3394</v>
      </c>
      <c r="F190" s="20" t="n">
        <v>0.0438788170288434</v>
      </c>
      <c r="G190" s="19" t="n">
        <f aca="false">$G$4</f>
        <v>0.01</v>
      </c>
      <c r="H190" s="16" t="n">
        <f aca="false">F190+G190</f>
        <v>0.0538788170288434</v>
      </c>
      <c r="M190" s="26"/>
      <c r="N190" s="35" t="s">
        <v>35</v>
      </c>
      <c r="O190" s="40" t="n">
        <f aca="false">E190</f>
        <v>14956559.3394</v>
      </c>
    </row>
    <row r="191" customFormat="false" ht="12.75" hidden="false" customHeight="false" outlineLevel="0" collapsed="false">
      <c r="B191" s="26"/>
      <c r="C191" s="26"/>
      <c r="D191" s="35"/>
      <c r="E191" s="13"/>
      <c r="F191" s="20"/>
      <c r="G191" s="19"/>
      <c r="H191" s="16"/>
    </row>
    <row r="192" customFormat="false" ht="12.75" hidden="false" customHeight="false" outlineLevel="0" collapsed="false">
      <c r="B192" s="21" t="s">
        <v>20</v>
      </c>
      <c r="D192" s="3"/>
      <c r="E192" s="39" t="n">
        <f aca="false">SUM(E187:E190)</f>
        <v>83553832</v>
      </c>
      <c r="J192" s="23"/>
      <c r="K192" s="24" t="n">
        <f aca="false">E192*$K$1</f>
        <v>2506614.96</v>
      </c>
      <c r="O192" s="39" t="n">
        <f aca="false">SUM(O187:O190)</f>
        <v>83553832</v>
      </c>
    </row>
    <row r="194" customFormat="false" ht="12.75" hidden="false" customHeight="false" outlineLevel="0" collapsed="false">
      <c r="A194" s="1" t="s">
        <v>53</v>
      </c>
      <c r="B194" s="26" t="s">
        <v>15</v>
      </c>
      <c r="C194" s="28" t="s">
        <v>16</v>
      </c>
      <c r="E194" s="41" t="n">
        <f aca="false">[10]agtran!$E$42</f>
        <v>187429065.5</v>
      </c>
      <c r="F194" s="20" t="n">
        <v>0.119838385998129</v>
      </c>
      <c r="G194" s="19" t="n">
        <f aca="false">$G$4</f>
        <v>0.01</v>
      </c>
      <c r="H194" s="16" t="n">
        <f aca="false">F194+G194</f>
        <v>0.129838385998129</v>
      </c>
      <c r="M194" s="28" t="s">
        <v>16</v>
      </c>
      <c r="N194" s="11" t="s">
        <v>17</v>
      </c>
      <c r="O194" s="18" t="n">
        <f aca="false">E194*N1</f>
        <v>103085986.025</v>
      </c>
      <c r="P194" s="11"/>
    </row>
    <row r="195" customFormat="false" ht="12.75" hidden="false" customHeight="false" outlineLevel="0" collapsed="false">
      <c r="B195" s="26"/>
      <c r="C195" s="28"/>
      <c r="E195" s="41"/>
      <c r="F195" s="20"/>
      <c r="M195" s="28"/>
      <c r="N195" s="11" t="s">
        <v>18</v>
      </c>
      <c r="O195" s="18" t="n">
        <f aca="false">E194*N2</f>
        <v>84343079.475</v>
      </c>
      <c r="P195" s="11"/>
    </row>
    <row r="196" customFormat="false" ht="12.75" hidden="false" customHeight="false" outlineLevel="0" collapsed="false">
      <c r="B196" s="26"/>
      <c r="C196" s="28" t="s">
        <v>19</v>
      </c>
      <c r="E196" s="41" t="n">
        <f aca="false">[10]agtran!$F$42</f>
        <v>61497214.5</v>
      </c>
      <c r="F196" s="20" t="n">
        <v>0.119838385998129</v>
      </c>
      <c r="G196" s="19" t="n">
        <f aca="false">$G$4</f>
        <v>0.01</v>
      </c>
      <c r="H196" s="16" t="n">
        <f aca="false">F196+G196</f>
        <v>0.129838385998129</v>
      </c>
      <c r="M196" s="28" t="s">
        <v>19</v>
      </c>
      <c r="N196" s="11" t="s">
        <v>17</v>
      </c>
      <c r="O196" s="18" t="n">
        <f aca="false">E196*N1</f>
        <v>33823467.975</v>
      </c>
      <c r="P196" s="11"/>
    </row>
    <row r="197" customFormat="false" ht="12.75" hidden="false" customHeight="false" outlineLevel="0" collapsed="false">
      <c r="B197" s="26"/>
      <c r="C197" s="28"/>
      <c r="E197" s="41"/>
      <c r="F197" s="20"/>
      <c r="G197" s="19"/>
      <c r="H197" s="16"/>
      <c r="N197" s="11" t="s">
        <v>18</v>
      </c>
      <c r="O197" s="18" t="n">
        <f aca="false">E196*N2</f>
        <v>27673746.525</v>
      </c>
      <c r="P197" s="11"/>
    </row>
    <row r="198" customFormat="false" ht="12.75" hidden="false" customHeight="false" outlineLevel="0" collapsed="false">
      <c r="B198" s="26"/>
      <c r="C198" s="28"/>
      <c r="E198" s="41"/>
      <c r="F198" s="20"/>
      <c r="G198" s="19"/>
      <c r="H198" s="16"/>
      <c r="N198" s="11"/>
      <c r="O198" s="11"/>
      <c r="P198" s="11"/>
    </row>
    <row r="199" customFormat="false" ht="12.75" hidden="false" customHeight="false" outlineLevel="0" collapsed="false">
      <c r="B199" s="21" t="s">
        <v>20</v>
      </c>
      <c r="D199" s="3"/>
      <c r="E199" s="39" t="n">
        <f aca="false">SUM(E194:E198)</f>
        <v>248926280</v>
      </c>
      <c r="J199" s="23"/>
      <c r="K199" s="24" t="n">
        <f aca="false">E199*$K$1</f>
        <v>7467788.4</v>
      </c>
      <c r="O199" s="39" t="n">
        <f aca="false">SUM(O194:O198)</f>
        <v>248926280</v>
      </c>
      <c r="P199" s="11"/>
    </row>
    <row r="201" customFormat="false" ht="12.75" hidden="false" customHeight="false" outlineLevel="0" collapsed="false">
      <c r="A201" s="1" t="s">
        <v>54</v>
      </c>
      <c r="B201" s="26" t="s">
        <v>15</v>
      </c>
      <c r="C201" s="28" t="s">
        <v>16</v>
      </c>
      <c r="D201" s="35" t="s">
        <v>32</v>
      </c>
      <c r="E201" s="41" t="n">
        <f aca="false">[10]agtran!$G$44</f>
        <v>932704.2231</v>
      </c>
      <c r="F201" s="20" t="n">
        <v>0.281427344488727</v>
      </c>
      <c r="G201" s="19" t="n">
        <f aca="false">$G$4</f>
        <v>0.01</v>
      </c>
      <c r="H201" s="16" t="n">
        <f aca="false">F201+G201</f>
        <v>0.291427344488727</v>
      </c>
      <c r="M201" s="28" t="s">
        <v>16</v>
      </c>
      <c r="N201" s="35" t="s">
        <v>32</v>
      </c>
      <c r="O201" s="40" t="n">
        <f aca="false">E201</f>
        <v>932704.2231</v>
      </c>
    </row>
    <row r="202" customFormat="false" ht="12.75" hidden="false" customHeight="false" outlineLevel="0" collapsed="false">
      <c r="B202" s="26"/>
      <c r="C202" s="26"/>
      <c r="D202" s="35" t="s">
        <v>35</v>
      </c>
      <c r="E202" s="41" t="n">
        <f aca="false">[10]agtran!$I$44</f>
        <v>20169201.2769</v>
      </c>
      <c r="F202" s="20" t="n">
        <v>0.0825350397137819</v>
      </c>
      <c r="G202" s="19" t="n">
        <f aca="false">$G$4</f>
        <v>0.01</v>
      </c>
      <c r="H202" s="16" t="n">
        <f aca="false">F202+G202</f>
        <v>0.0925350397137819</v>
      </c>
      <c r="M202" s="26"/>
      <c r="N202" s="35" t="s">
        <v>35</v>
      </c>
      <c r="O202" s="40" t="n">
        <f aca="false">E202</f>
        <v>20169201.2769</v>
      </c>
    </row>
    <row r="203" customFormat="false" ht="12.75" hidden="false" customHeight="false" outlineLevel="0" collapsed="false">
      <c r="B203" s="26"/>
      <c r="C203" s="28" t="s">
        <v>19</v>
      </c>
      <c r="D203" s="35" t="s">
        <v>34</v>
      </c>
      <c r="E203" s="41" t="n">
        <f aca="false">[10]agtran!$J$44</f>
        <v>1701603.22335</v>
      </c>
      <c r="F203" s="20" t="n">
        <v>0.0802655415803365</v>
      </c>
      <c r="G203" s="19" t="n">
        <f aca="false">$G$4</f>
        <v>0.01</v>
      </c>
      <c r="H203" s="16" t="n">
        <f aca="false">F203+G203</f>
        <v>0.0902655415803365</v>
      </c>
      <c r="M203" s="28" t="s">
        <v>19</v>
      </c>
      <c r="N203" s="35" t="s">
        <v>34</v>
      </c>
      <c r="O203" s="40" t="n">
        <f aca="false">E203</f>
        <v>1701603.22335</v>
      </c>
    </row>
    <row r="204" customFormat="false" ht="12.75" hidden="false" customHeight="false" outlineLevel="0" collapsed="false">
      <c r="B204" s="26"/>
      <c r="C204" s="26"/>
      <c r="D204" s="35" t="s">
        <v>35</v>
      </c>
      <c r="E204" s="41" t="n">
        <f aca="false">[10]agtran!$B$73</f>
        <v>2969281.27665</v>
      </c>
      <c r="F204" s="20" t="n">
        <v>0.0638332259812124</v>
      </c>
      <c r="G204" s="19" t="n">
        <f aca="false">$G$4</f>
        <v>0.01</v>
      </c>
      <c r="H204" s="16" t="n">
        <f aca="false">F204+G204</f>
        <v>0.0738332259812124</v>
      </c>
      <c r="M204" s="26"/>
      <c r="N204" s="35" t="s">
        <v>35</v>
      </c>
      <c r="O204" s="40" t="n">
        <f aca="false">E204</f>
        <v>2969281.27665</v>
      </c>
    </row>
    <row r="205" customFormat="false" ht="12.75" hidden="false" customHeight="false" outlineLevel="0" collapsed="false">
      <c r="B205" s="0"/>
      <c r="E205" s="26"/>
      <c r="M205" s="1"/>
    </row>
    <row r="206" customFormat="false" ht="12.75" hidden="false" customHeight="false" outlineLevel="0" collapsed="false">
      <c r="B206" s="21" t="s">
        <v>20</v>
      </c>
      <c r="D206" s="3"/>
      <c r="E206" s="39" t="n">
        <f aca="false">SUM(E201:E204)</f>
        <v>25772790</v>
      </c>
      <c r="J206" s="23"/>
      <c r="K206" s="24" t="n">
        <f aca="false">E206*$K$1</f>
        <v>773183.7</v>
      </c>
      <c r="M206" s="1"/>
      <c r="N206" s="3"/>
      <c r="O206" s="39" t="n">
        <f aca="false">SUM(O201:O204)</f>
        <v>25772790</v>
      </c>
    </row>
    <row r="207" customFormat="false" ht="12.75" hidden="false" customHeight="false" outlineLevel="0" collapsed="false">
      <c r="E207" s="26"/>
      <c r="M207" s="1"/>
    </row>
    <row r="208" customFormat="false" ht="12.75" hidden="false" customHeight="false" outlineLevel="0" collapsed="false">
      <c r="A208" s="1" t="s">
        <v>55</v>
      </c>
      <c r="B208" s="26" t="s">
        <v>15</v>
      </c>
      <c r="C208" s="28" t="s">
        <v>16</v>
      </c>
      <c r="D208" s="35" t="s">
        <v>32</v>
      </c>
      <c r="E208" s="41" t="n">
        <f aca="false">[10]agtran!$G$46</f>
        <v>913942.5614</v>
      </c>
      <c r="F208" s="20" t="n">
        <v>0.249353324696088</v>
      </c>
      <c r="G208" s="19" t="n">
        <f aca="false">$G$4</f>
        <v>0.01</v>
      </c>
      <c r="H208" s="16" t="n">
        <f aca="false">F208+G208</f>
        <v>0.259353324696088</v>
      </c>
      <c r="M208" s="28" t="s">
        <v>16</v>
      </c>
      <c r="N208" s="35" t="s">
        <v>32</v>
      </c>
      <c r="O208" s="40" t="n">
        <f aca="false">E208</f>
        <v>913942.5614</v>
      </c>
    </row>
    <row r="209" customFormat="false" ht="12.75" hidden="false" customHeight="false" outlineLevel="0" collapsed="false">
      <c r="B209" s="26"/>
      <c r="C209" s="26"/>
      <c r="D209" s="35" t="s">
        <v>35</v>
      </c>
      <c r="E209" s="41" t="n">
        <f aca="false">[10]agtran!$I$46</f>
        <v>13639282.9386</v>
      </c>
      <c r="F209" s="20" t="n">
        <v>0.0773693354150914</v>
      </c>
      <c r="G209" s="19" t="n">
        <f aca="false">$G$4</f>
        <v>0.01</v>
      </c>
      <c r="H209" s="16" t="n">
        <f aca="false">F209+G209</f>
        <v>0.0873693354150914</v>
      </c>
      <c r="M209" s="26"/>
      <c r="N209" s="35" t="s">
        <v>35</v>
      </c>
      <c r="O209" s="40" t="n">
        <f aca="false">E209</f>
        <v>13639282.9386</v>
      </c>
    </row>
    <row r="210" customFormat="false" ht="12.75" hidden="false" customHeight="false" outlineLevel="0" collapsed="false">
      <c r="B210" s="26"/>
      <c r="C210" s="28" t="s">
        <v>19</v>
      </c>
      <c r="D210" s="35" t="s">
        <v>34</v>
      </c>
      <c r="E210" s="41" t="n">
        <f aca="false">[10]agtran!$J$46</f>
        <v>1556624.859</v>
      </c>
      <c r="F210" s="20" t="n">
        <v>0.0776374469734605</v>
      </c>
      <c r="G210" s="19" t="n">
        <f aca="false">$G$4</f>
        <v>0.01</v>
      </c>
      <c r="H210" s="16" t="n">
        <f aca="false">F210+G210</f>
        <v>0.0876374469734605</v>
      </c>
      <c r="M210" s="28" t="s">
        <v>19</v>
      </c>
      <c r="N210" s="35" t="s">
        <v>34</v>
      </c>
      <c r="O210" s="40" t="n">
        <f aca="false">E210</f>
        <v>1556624.859</v>
      </c>
    </row>
    <row r="211" customFormat="false" ht="12.75" hidden="false" customHeight="false" outlineLevel="0" collapsed="false">
      <c r="B211" s="26"/>
      <c r="C211" s="26"/>
      <c r="D211" s="35" t="s">
        <v>35</v>
      </c>
      <c r="E211" s="41" t="n">
        <f aca="false">[10]agtran!$B$75</f>
        <v>2132059.641</v>
      </c>
      <c r="F211" s="20" t="n">
        <v>0.0617231109016929</v>
      </c>
      <c r="G211" s="19" t="n">
        <f aca="false">$G$4</f>
        <v>0.01</v>
      </c>
      <c r="H211" s="16" t="n">
        <f aca="false">F211+G211</f>
        <v>0.0717231109016929</v>
      </c>
      <c r="M211" s="26"/>
      <c r="N211" s="35" t="s">
        <v>35</v>
      </c>
      <c r="O211" s="40" t="n">
        <f aca="false">E211</f>
        <v>2132059.641</v>
      </c>
    </row>
    <row r="212" customFormat="false" ht="12.75" hidden="false" customHeight="false" outlineLevel="0" collapsed="false">
      <c r="B212" s="0"/>
      <c r="M212" s="1"/>
    </row>
    <row r="213" customFormat="false" ht="12.75" hidden="false" customHeight="false" outlineLevel="0" collapsed="false">
      <c r="B213" s="21" t="s">
        <v>20</v>
      </c>
      <c r="D213" s="3"/>
      <c r="E213" s="39" t="n">
        <f aca="false">SUM(E208:E211)</f>
        <v>18241910</v>
      </c>
      <c r="J213" s="23"/>
      <c r="K213" s="24" t="n">
        <f aca="false">E213*$K$1</f>
        <v>547257.3</v>
      </c>
      <c r="M213" s="1"/>
      <c r="N213" s="3"/>
      <c r="O213" s="39" t="n">
        <f aca="false">SUM(O208:O211)</f>
        <v>18241910</v>
      </c>
    </row>
    <row r="214" customFormat="false" ht="12.75" hidden="false" customHeight="false" outlineLevel="0" collapsed="false">
      <c r="M214" s="1"/>
    </row>
    <row r="215" customFormat="false" ht="12.75" hidden="false" customHeight="false" outlineLevel="0" collapsed="false">
      <c r="A215" s="1" t="s">
        <v>56</v>
      </c>
      <c r="B215" s="26" t="s">
        <v>15</v>
      </c>
      <c r="C215" s="28" t="s">
        <v>16</v>
      </c>
      <c r="D215" s="35" t="s">
        <v>32</v>
      </c>
      <c r="E215" s="42" t="n">
        <f aca="false">[10]agtran!$G$50</f>
        <v>44765240.89795</v>
      </c>
      <c r="F215" s="20" t="n">
        <v>0.207109157444217</v>
      </c>
      <c r="G215" s="19" t="n">
        <f aca="false">$G$4</f>
        <v>0.01</v>
      </c>
      <c r="H215" s="16" t="n">
        <f aca="false">F215+G215</f>
        <v>0.217109157444217</v>
      </c>
      <c r="M215" s="28" t="s">
        <v>16</v>
      </c>
      <c r="N215" s="35" t="s">
        <v>32</v>
      </c>
      <c r="O215" s="40" t="n">
        <f aca="false">E215</f>
        <v>44765240.89795</v>
      </c>
    </row>
    <row r="216" customFormat="false" ht="12.75" hidden="false" customHeight="false" outlineLevel="0" collapsed="false">
      <c r="B216" s="26"/>
      <c r="C216" s="26"/>
      <c r="D216" s="35" t="s">
        <v>35</v>
      </c>
      <c r="E216" s="42" t="n">
        <f aca="false">[10]agtran!$I$50</f>
        <v>245729508.60205</v>
      </c>
      <c r="F216" s="20" t="n">
        <v>0.0649866851907432</v>
      </c>
      <c r="G216" s="19" t="n">
        <f aca="false">$G$4</f>
        <v>0.01</v>
      </c>
      <c r="H216" s="16" t="n">
        <f aca="false">F216+G216</f>
        <v>0.0749866851907432</v>
      </c>
      <c r="M216" s="26"/>
      <c r="N216" s="35" t="s">
        <v>35</v>
      </c>
      <c r="O216" s="40" t="n">
        <f aca="false">E216</f>
        <v>245729508.60205</v>
      </c>
    </row>
    <row r="217" customFormat="false" ht="12.75" hidden="false" customHeight="false" outlineLevel="0" collapsed="false">
      <c r="B217" s="26"/>
      <c r="C217" s="28" t="s">
        <v>19</v>
      </c>
      <c r="D217" s="35" t="s">
        <v>34</v>
      </c>
      <c r="E217" s="42" t="n">
        <f aca="false">[10]agtran!$J$50</f>
        <v>36849071.56375</v>
      </c>
      <c r="F217" s="20" t="n">
        <v>0.0718223500738001</v>
      </c>
      <c r="G217" s="19" t="n">
        <f aca="false">$G$4</f>
        <v>0.01</v>
      </c>
      <c r="H217" s="16" t="n">
        <f aca="false">F217+G217</f>
        <v>0.0818223500738001</v>
      </c>
      <c r="M217" s="28" t="s">
        <v>19</v>
      </c>
      <c r="N217" s="35" t="s">
        <v>34</v>
      </c>
      <c r="O217" s="40" t="n">
        <f aca="false">E217</f>
        <v>36849071.56375</v>
      </c>
    </row>
    <row r="218" customFormat="false" ht="12.75" hidden="false" customHeight="false" outlineLevel="0" collapsed="false">
      <c r="B218" s="26"/>
      <c r="C218" s="26"/>
      <c r="D218" s="35" t="s">
        <v>35</v>
      </c>
      <c r="E218" s="42" t="n">
        <f aca="false">[10]agtran!$B$79</f>
        <v>47880915.93625</v>
      </c>
      <c r="F218" s="20" t="n">
        <v>0.0570979066702405</v>
      </c>
      <c r="G218" s="19" t="n">
        <f aca="false">$G$4</f>
        <v>0.01</v>
      </c>
      <c r="H218" s="16" t="n">
        <f aca="false">F218+G218</f>
        <v>0.0670979066702405</v>
      </c>
      <c r="M218" s="26"/>
      <c r="N218" s="35" t="s">
        <v>35</v>
      </c>
      <c r="O218" s="40" t="n">
        <f aca="false">E218</f>
        <v>47880915.93625</v>
      </c>
    </row>
    <row r="219" customFormat="false" ht="12.75" hidden="false" customHeight="false" outlineLevel="0" collapsed="false">
      <c r="B219" s="0"/>
      <c r="M219" s="1"/>
    </row>
    <row r="220" customFormat="false" ht="12.75" hidden="false" customHeight="false" outlineLevel="0" collapsed="false">
      <c r="B220" s="21" t="s">
        <v>20</v>
      </c>
      <c r="D220" s="3"/>
      <c r="E220" s="39" t="n">
        <f aca="false">SUM(E215:E218)</f>
        <v>375224737</v>
      </c>
      <c r="J220" s="23"/>
      <c r="K220" s="24" t="n">
        <f aca="false">E220*$K$1</f>
        <v>11256742.11</v>
      </c>
      <c r="M220" s="1"/>
      <c r="N220" s="3"/>
      <c r="O220" s="39" t="n">
        <f aca="false">SUM(O215:O218)</f>
        <v>375224737</v>
      </c>
    </row>
    <row r="221" customFormat="false" ht="12.75" hidden="false" customHeight="false" outlineLevel="0" collapsed="false">
      <c r="M221" s="1"/>
    </row>
    <row r="222" customFormat="false" ht="12.75" hidden="false" customHeight="false" outlineLevel="0" collapsed="false">
      <c r="A222" s="1" t="s">
        <v>57</v>
      </c>
      <c r="B222" s="26" t="s">
        <v>15</v>
      </c>
      <c r="C222" s="28" t="s">
        <v>16</v>
      </c>
      <c r="D222" s="35" t="s">
        <v>32</v>
      </c>
      <c r="E222" s="41" t="n">
        <f aca="false">[10]agtran!$G$51</f>
        <v>2930434.894</v>
      </c>
      <c r="F222" s="20" t="n">
        <v>0.0896509138033847</v>
      </c>
      <c r="G222" s="19" t="n">
        <f aca="false">$G$4</f>
        <v>0.01</v>
      </c>
      <c r="H222" s="16" t="n">
        <f aca="false">F222+G222</f>
        <v>0.0996509138033846</v>
      </c>
      <c r="M222" s="28" t="s">
        <v>16</v>
      </c>
      <c r="N222" s="35" t="s">
        <v>32</v>
      </c>
      <c r="O222" s="40" t="n">
        <f aca="false">E222</f>
        <v>2930434.894</v>
      </c>
    </row>
    <row r="223" customFormat="false" ht="12.75" hidden="false" customHeight="false" outlineLevel="0" collapsed="false">
      <c r="B223" s="26"/>
      <c r="C223" s="26"/>
      <c r="D223" s="35" t="s">
        <v>34</v>
      </c>
      <c r="E223" s="41" t="n">
        <f aca="false">[10]agtran!$H$51</f>
        <v>4069744.1612</v>
      </c>
      <c r="F223" s="20" t="n">
        <v>0.0613430846610799</v>
      </c>
      <c r="G223" s="19" t="n">
        <f aca="false">$G$4</f>
        <v>0.01</v>
      </c>
      <c r="H223" s="16" t="n">
        <f aca="false">F223+G223</f>
        <v>0.0713430846610799</v>
      </c>
      <c r="M223" s="26"/>
      <c r="N223" s="35" t="s">
        <v>34</v>
      </c>
      <c r="O223" s="40" t="n">
        <f aca="false">E223</f>
        <v>4069744.1612</v>
      </c>
    </row>
    <row r="224" customFormat="false" ht="12.75" hidden="false" customHeight="false" outlineLevel="0" collapsed="false">
      <c r="D224" s="35" t="s">
        <v>35</v>
      </c>
      <c r="E224" s="41" t="n">
        <f aca="false">[10]agtran!$I$51</f>
        <v>20387062.9448</v>
      </c>
      <c r="F224" s="20" t="n">
        <v>0.0521435129324685</v>
      </c>
      <c r="G224" s="19" t="n">
        <f aca="false">$G$4</f>
        <v>0.01</v>
      </c>
      <c r="H224" s="16" t="n">
        <f aca="false">F224+G224</f>
        <v>0.0621435129324685</v>
      </c>
      <c r="M224" s="1"/>
      <c r="N224" s="35" t="s">
        <v>35</v>
      </c>
      <c r="O224" s="40" t="n">
        <f aca="false">E224</f>
        <v>20387062.9448</v>
      </c>
    </row>
    <row r="225" customFormat="false" ht="12.75" hidden="false" customHeight="false" outlineLevel="0" collapsed="false">
      <c r="B225" s="26"/>
      <c r="C225" s="28" t="s">
        <v>19</v>
      </c>
      <c r="D225" s="35" t="s">
        <v>34</v>
      </c>
      <c r="E225" s="41" t="n">
        <f aca="false">[10]agtran!$J$51</f>
        <v>2900926.3822</v>
      </c>
      <c r="F225" s="20" t="n">
        <v>0.0895563652758553</v>
      </c>
      <c r="G225" s="19" t="n">
        <f aca="false">$G$4</f>
        <v>0.01</v>
      </c>
      <c r="H225" s="16" t="n">
        <f aca="false">F225+G225</f>
        <v>0.0995563652758553</v>
      </c>
      <c r="M225" s="28" t="s">
        <v>19</v>
      </c>
      <c r="N225" s="35" t="s">
        <v>34</v>
      </c>
      <c r="O225" s="40" t="n">
        <f aca="false">E225</f>
        <v>2900926.3822</v>
      </c>
    </row>
    <row r="226" customFormat="false" ht="12.75" hidden="false" customHeight="false" outlineLevel="0" collapsed="false">
      <c r="B226" s="26"/>
      <c r="C226" s="26"/>
      <c r="D226" s="35" t="s">
        <v>35</v>
      </c>
      <c r="E226" s="41" t="n">
        <f aca="false">[10]agtran!$B$80</f>
        <v>7164744.6178</v>
      </c>
      <c r="F226" s="20" t="n">
        <v>0.0741733198468206</v>
      </c>
      <c r="G226" s="19" t="n">
        <f aca="false">$G$4</f>
        <v>0.01</v>
      </c>
      <c r="H226" s="16" t="n">
        <f aca="false">F226+G226</f>
        <v>0.0841733198468206</v>
      </c>
      <c r="M226" s="26"/>
      <c r="N226" s="35" t="s">
        <v>35</v>
      </c>
      <c r="O226" s="40" t="n">
        <f aca="false">E226</f>
        <v>7164744.6178</v>
      </c>
    </row>
    <row r="227" customFormat="false" ht="12.75" hidden="false" customHeight="false" outlineLevel="0" collapsed="false">
      <c r="B227" s="0"/>
      <c r="M227" s="1"/>
    </row>
    <row r="228" customFormat="false" ht="12.75" hidden="false" customHeight="false" outlineLevel="0" collapsed="false">
      <c r="B228" s="21" t="s">
        <v>20</v>
      </c>
      <c r="D228" s="3"/>
      <c r="E228" s="39" t="n">
        <f aca="false">SUM(E222:E226)</f>
        <v>37452913</v>
      </c>
      <c r="J228" s="23"/>
      <c r="K228" s="24" t="n">
        <f aca="false">E228*$K$1</f>
        <v>1123587.39</v>
      </c>
      <c r="M228" s="1"/>
      <c r="N228" s="3"/>
      <c r="O228" s="39" t="n">
        <f aca="false">SUM(O222:O226)</f>
        <v>37452913</v>
      </c>
    </row>
    <row r="229" customFormat="false" ht="12.75" hidden="false" customHeight="false" outlineLevel="0" collapsed="false">
      <c r="M229" s="1"/>
    </row>
    <row r="230" customFormat="false" ht="12.75" hidden="false" customHeight="false" outlineLevel="0" collapsed="false">
      <c r="A230" s="1" t="s">
        <v>58</v>
      </c>
      <c r="B230" s="26" t="s">
        <v>15</v>
      </c>
      <c r="C230" s="28" t="s">
        <v>16</v>
      </c>
      <c r="D230" s="35" t="s">
        <v>32</v>
      </c>
      <c r="E230" s="41" t="n">
        <f aca="false">[10]agtran!$G$55</f>
        <v>281026612.4796</v>
      </c>
      <c r="F230" s="20" t="n">
        <v>0.142942916730706</v>
      </c>
      <c r="G230" s="19" t="n">
        <f aca="false">$G$4</f>
        <v>0.01</v>
      </c>
      <c r="H230" s="16" t="n">
        <f aca="false">F230+G230</f>
        <v>0.152942916730706</v>
      </c>
      <c r="M230" s="28" t="s">
        <v>16</v>
      </c>
      <c r="N230" s="35" t="s">
        <v>32</v>
      </c>
      <c r="O230" s="40" t="n">
        <f aca="false">E230</f>
        <v>281026612.4796</v>
      </c>
    </row>
    <row r="231" customFormat="false" ht="12.75" hidden="false" customHeight="false" outlineLevel="0" collapsed="false">
      <c r="B231" s="26"/>
      <c r="C231" s="26"/>
      <c r="D231" s="35" t="s">
        <v>35</v>
      </c>
      <c r="E231" s="41" t="n">
        <f aca="false">[10]agtran!$I$55</f>
        <v>1164583534.0204</v>
      </c>
      <c r="F231" s="20" t="n">
        <v>0.0408817697031355</v>
      </c>
      <c r="G231" s="19" t="n">
        <f aca="false">$G$4</f>
        <v>0.01</v>
      </c>
      <c r="H231" s="16" t="n">
        <f aca="false">F231+G231</f>
        <v>0.0508817697031355</v>
      </c>
      <c r="M231" s="26"/>
      <c r="N231" s="35" t="s">
        <v>35</v>
      </c>
      <c r="O231" s="40" t="n">
        <f aca="false">E231</f>
        <v>1164583534.0204</v>
      </c>
    </row>
    <row r="232" customFormat="false" ht="12.75" hidden="false" customHeight="false" outlineLevel="0" collapsed="false">
      <c r="B232" s="26"/>
      <c r="C232" s="28" t="s">
        <v>19</v>
      </c>
      <c r="D232" s="35" t="s">
        <v>34</v>
      </c>
      <c r="E232" s="41" t="n">
        <f aca="false">[10]agtran!$J$55</f>
        <v>276462904.38225</v>
      </c>
      <c r="F232" s="20" t="n">
        <v>0.0466128589138555</v>
      </c>
      <c r="G232" s="19" t="n">
        <f aca="false">$G$4</f>
        <v>0.01</v>
      </c>
      <c r="H232" s="16" t="n">
        <f aca="false">F232+G232</f>
        <v>0.0566128589138555</v>
      </c>
      <c r="M232" s="28" t="s">
        <v>19</v>
      </c>
      <c r="N232" s="35" t="s">
        <v>34</v>
      </c>
      <c r="O232" s="40" t="n">
        <f aca="false">E232</f>
        <v>276462904.38225</v>
      </c>
    </row>
    <row r="233" customFormat="false" ht="12.75" hidden="false" customHeight="false" outlineLevel="0" collapsed="false">
      <c r="B233" s="26"/>
      <c r="C233" s="26"/>
      <c r="D233" s="35" t="s">
        <v>35</v>
      </c>
      <c r="E233" s="41" t="n">
        <f aca="false">[10]agtran!$B$84</f>
        <v>379439597.11775</v>
      </c>
      <c r="F233" s="20" t="n">
        <v>0.0370610435626556</v>
      </c>
      <c r="G233" s="19" t="n">
        <f aca="false">$G$4</f>
        <v>0.01</v>
      </c>
      <c r="H233" s="16" t="n">
        <f aca="false">F233+G233</f>
        <v>0.0470610435626556</v>
      </c>
      <c r="M233" s="26"/>
      <c r="N233" s="35" t="s">
        <v>35</v>
      </c>
      <c r="O233" s="40" t="n">
        <f aca="false">E233</f>
        <v>379439597.11775</v>
      </c>
    </row>
    <row r="234" customFormat="false" ht="12.75" hidden="false" customHeight="false" outlineLevel="0" collapsed="false">
      <c r="B234" s="0"/>
      <c r="E234" s="26"/>
      <c r="M234" s="1"/>
    </row>
    <row r="235" customFormat="false" ht="12.75" hidden="false" customHeight="false" outlineLevel="0" collapsed="false">
      <c r="B235" s="21" t="s">
        <v>20</v>
      </c>
      <c r="D235" s="3"/>
      <c r="E235" s="39" t="n">
        <f aca="false">SUM(E230:E233)</f>
        <v>2101512648</v>
      </c>
      <c r="J235" s="23"/>
      <c r="K235" s="24" t="n">
        <f aca="false">E235*$K$1</f>
        <v>63045379.44</v>
      </c>
      <c r="M235" s="1"/>
      <c r="N235" s="3"/>
      <c r="O235" s="39" t="n">
        <f aca="false">SUM(O230:O233)</f>
        <v>2101512648</v>
      </c>
    </row>
    <row r="236" customFormat="false" ht="12.75" hidden="false" customHeight="false" outlineLevel="0" collapsed="false">
      <c r="M236" s="1"/>
    </row>
    <row r="237" customFormat="false" ht="12.75" hidden="false" customHeight="false" outlineLevel="0" collapsed="false">
      <c r="A237" s="1" t="s">
        <v>59</v>
      </c>
      <c r="B237" s="26" t="s">
        <v>15</v>
      </c>
      <c r="C237" s="28" t="s">
        <v>16</v>
      </c>
      <c r="D237" s="35" t="s">
        <v>32</v>
      </c>
      <c r="E237" s="41" t="n">
        <f aca="false">[10]agtran!$G$56</f>
        <v>20584780.5051</v>
      </c>
      <c r="F237" s="20" t="n">
        <v>0.0778090385021532</v>
      </c>
      <c r="G237" s="19" t="n">
        <f aca="false">$G$4</f>
        <v>0.01</v>
      </c>
      <c r="H237" s="16" t="n">
        <f aca="false">F237+G237</f>
        <v>0.0878090385021532</v>
      </c>
      <c r="M237" s="28" t="s">
        <v>16</v>
      </c>
      <c r="N237" s="35" t="s">
        <v>32</v>
      </c>
      <c r="O237" s="40" t="n">
        <f aca="false">E237</f>
        <v>20584780.5051</v>
      </c>
    </row>
    <row r="238" customFormat="false" ht="12.75" hidden="false" customHeight="false" outlineLevel="0" collapsed="false">
      <c r="B238" s="26"/>
      <c r="C238" s="26"/>
      <c r="D238" s="35" t="s">
        <v>34</v>
      </c>
      <c r="E238" s="41" t="n">
        <f aca="false">[10]agtran!$H$56</f>
        <v>23308901.51325</v>
      </c>
      <c r="F238" s="20" t="n">
        <v>0.0490560178861241</v>
      </c>
      <c r="G238" s="19" t="n">
        <f aca="false">$G$4</f>
        <v>0.01</v>
      </c>
      <c r="H238" s="16" t="n">
        <f aca="false">F238+G238</f>
        <v>0.0590560178861241</v>
      </c>
      <c r="M238" s="26"/>
      <c r="N238" s="35" t="s">
        <v>34</v>
      </c>
      <c r="O238" s="40" t="n">
        <f aca="false">E238</f>
        <v>23308901.51325</v>
      </c>
    </row>
    <row r="239" customFormat="false" ht="12.75" hidden="false" customHeight="false" outlineLevel="0" collapsed="false">
      <c r="D239" s="35" t="s">
        <v>35</v>
      </c>
      <c r="E239" s="41" t="n">
        <f aca="false">[10]agtran!$I$56</f>
        <v>70086276.48165</v>
      </c>
      <c r="F239" s="20" t="n">
        <v>0.0378339280579266</v>
      </c>
      <c r="G239" s="19" t="n">
        <f aca="false">$G$4</f>
        <v>0.01</v>
      </c>
      <c r="H239" s="16" t="n">
        <f aca="false">F239+G239</f>
        <v>0.0478339280579266</v>
      </c>
      <c r="M239" s="1"/>
      <c r="N239" s="35" t="s">
        <v>35</v>
      </c>
      <c r="O239" s="40" t="n">
        <f aca="false">E239</f>
        <v>70086276.48165</v>
      </c>
    </row>
    <row r="240" customFormat="false" ht="12.75" hidden="false" customHeight="false" outlineLevel="0" collapsed="false">
      <c r="B240" s="26"/>
      <c r="C240" s="28" t="s">
        <v>19</v>
      </c>
      <c r="D240" s="35" t="s">
        <v>34</v>
      </c>
      <c r="E240" s="41" t="n">
        <f aca="false">[10]agtran!$J$56</f>
        <v>18458496.218</v>
      </c>
      <c r="F240" s="20" t="n">
        <v>0.0597906063674408</v>
      </c>
      <c r="G240" s="19" t="n">
        <f aca="false">$G$4</f>
        <v>0.01</v>
      </c>
      <c r="H240" s="16" t="n">
        <f aca="false">F240+G240</f>
        <v>0.0697906063674408</v>
      </c>
      <c r="M240" s="28" t="s">
        <v>19</v>
      </c>
      <c r="N240" s="35" t="s">
        <v>34</v>
      </c>
      <c r="O240" s="40" t="n">
        <f aca="false">E240</f>
        <v>18458496.218</v>
      </c>
    </row>
    <row r="241" customFormat="false" ht="12.75" hidden="false" customHeight="false" outlineLevel="0" collapsed="false">
      <c r="B241" s="26"/>
      <c r="C241" s="26"/>
      <c r="D241" s="35" t="s">
        <v>35</v>
      </c>
      <c r="E241" s="41" t="n">
        <f aca="false">[10]agtran!$B$85</f>
        <v>23877504.282</v>
      </c>
      <c r="F241" s="20" t="n">
        <v>0.0466949819512307</v>
      </c>
      <c r="G241" s="19" t="n">
        <f aca="false">$G$4</f>
        <v>0.01</v>
      </c>
      <c r="H241" s="16" t="n">
        <f aca="false">F241+G241</f>
        <v>0.0566949819512307</v>
      </c>
      <c r="M241" s="26"/>
      <c r="N241" s="35" t="s">
        <v>35</v>
      </c>
      <c r="O241" s="40" t="n">
        <f aca="false">E241</f>
        <v>23877504.282</v>
      </c>
    </row>
    <row r="242" customFormat="false" ht="12.75" hidden="false" customHeight="false" outlineLevel="0" collapsed="false">
      <c r="B242" s="0"/>
    </row>
    <row r="243" customFormat="false" ht="12.75" hidden="false" customHeight="false" outlineLevel="0" collapsed="false">
      <c r="B243" s="21" t="s">
        <v>20</v>
      </c>
      <c r="D243" s="3"/>
      <c r="E243" s="39" t="n">
        <f aca="false">SUM(E237:E241)</f>
        <v>156315959</v>
      </c>
      <c r="J243" s="23"/>
      <c r="K243" s="24" t="n">
        <f aca="false">E243*$K$1</f>
        <v>4689478.77</v>
      </c>
      <c r="O243" s="39" t="n">
        <f aca="false">SUM(O237:O241)</f>
        <v>156315959</v>
      </c>
    </row>
    <row r="245" customFormat="false" ht="12.75" hidden="false" customHeight="false" outlineLevel="0" collapsed="false">
      <c r="K245" s="43" t="n">
        <f aca="false">SUM(K3:K243)</f>
        <v>1582662429.68951</v>
      </c>
    </row>
  </sheetData>
  <printOptions headings="tru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7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
&amp;T&amp;R&amp;F
&amp;A</oddFooter>
  </headerFooter>
  <rowBreaks count="7" manualBreakCount="7">
    <brk id="32" man="true" max="16383" min="0"/>
    <brk id="53" man="true" max="16383" min="0"/>
    <brk id="85" man="true" max="16383" min="0"/>
    <brk id="125" man="true" max="16383" min="0"/>
    <brk id="158" man="true" max="16383" min="0"/>
    <brk id="193" man="true" max="16383" min="0"/>
    <brk id="229" man="true" max="16383" min="0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J53"/>
  <sheetViews>
    <sheetView showFormulas="false" showGridLines="true" showRowColHeaders="true" showZeros="true" rightToLeft="false" tabSelected="false" showOutlineSymbols="true" defaultGridColor="true" view="normal" topLeftCell="A39" colorId="64" zoomScale="80" zoomScaleNormal="80" zoomScalePageLayoutView="100" workbookViewId="0">
      <pane xSplit="2" ySplit="2" topLeftCell="C41" activePane="bottomRight" state="frozen"/>
      <selection pane="topLeft" activeCell="A39" activeCellId="0" sqref="A39"/>
      <selection pane="topRight" activeCell="C39" activeCellId="0" sqref="C39"/>
      <selection pane="bottomLeft" activeCell="A41" activeCellId="0" sqref="A41"/>
      <selection pane="bottomRight" activeCell="A50" activeCellId="0" sqref="A5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44" width="14.41"/>
    <col collapsed="false" customWidth="true" hidden="false" outlineLevel="0" max="2" min="2" style="0" width="9.28"/>
    <col collapsed="false" customWidth="true" hidden="false" outlineLevel="0" max="3" min="3" style="45" width="11.56"/>
    <col collapsed="false" customWidth="true" hidden="false" outlineLevel="0" max="5" min="4" style="0" width="9.28"/>
    <col collapsed="false" customWidth="true" hidden="false" outlineLevel="0" max="6" min="6" style="0" width="1.7"/>
    <col collapsed="false" customWidth="true" hidden="false" outlineLevel="0" max="7" min="7" style="0" width="9.28"/>
    <col collapsed="false" customWidth="true" hidden="false" outlineLevel="0" max="8" min="8" style="0" width="10.71"/>
    <col collapsed="false" customWidth="true" hidden="false" outlineLevel="0" max="10" min="9" style="0" width="9.28"/>
    <col collapsed="false" customWidth="true" hidden="false" outlineLevel="0" max="11" min="11" style="0" width="1.99"/>
    <col collapsed="false" customWidth="true" hidden="false" outlineLevel="0" max="12" min="12" style="0" width="9.28"/>
    <col collapsed="false" customWidth="true" hidden="false" outlineLevel="0" max="13" min="13" style="0" width="10.71"/>
    <col collapsed="false" customWidth="true" hidden="false" outlineLevel="0" max="15" min="14" style="0" width="9.28"/>
  </cols>
  <sheetData>
    <row r="1" customFormat="false" ht="12.75" hidden="false" customHeight="false" outlineLevel="0" collapsed="false">
      <c r="A1" s="46" t="s">
        <v>60</v>
      </c>
      <c r="B1" s="47" t="s">
        <v>61</v>
      </c>
      <c r="C1" s="48" t="s">
        <v>62</v>
      </c>
    </row>
    <row r="2" customFormat="false" ht="12.75" hidden="false" customHeight="false" outlineLevel="0" collapsed="false">
      <c r="A2" s="44" t="s">
        <v>63</v>
      </c>
      <c r="B2" s="49" t="n">
        <v>0.3</v>
      </c>
      <c r="C2" s="50" t="n">
        <f aca="false">0.035*100</f>
        <v>3.5</v>
      </c>
    </row>
    <row r="3" customFormat="false" ht="12.75" hidden="false" customHeight="false" outlineLevel="0" collapsed="false">
      <c r="A3" s="44" t="s">
        <v>64</v>
      </c>
      <c r="B3" s="49" t="n">
        <v>0.3</v>
      </c>
      <c r="C3" s="50" t="n">
        <f aca="false">0.08*100</f>
        <v>8</v>
      </c>
    </row>
    <row r="4" customFormat="false" ht="12.75" hidden="false" customHeight="false" outlineLevel="0" collapsed="false">
      <c r="A4" s="44" t="s">
        <v>65</v>
      </c>
      <c r="B4" s="49" t="n">
        <v>0.15</v>
      </c>
      <c r="C4" s="50" t="n">
        <f aca="false">0.079*100</f>
        <v>7.9</v>
      </c>
    </row>
    <row r="5" customFormat="false" ht="12.75" hidden="false" customHeight="false" outlineLevel="0" collapsed="false">
      <c r="A5" s="44" t="s">
        <v>66</v>
      </c>
      <c r="B5" s="49" t="n">
        <v>0.25</v>
      </c>
      <c r="C5" s="50" t="n">
        <f aca="false">RTE!L30/10</f>
        <v>33.1752943943805</v>
      </c>
    </row>
    <row r="6" customFormat="false" ht="13.5" hidden="false" customHeight="false" outlineLevel="0" collapsed="false">
      <c r="C6" s="50"/>
    </row>
    <row r="7" customFormat="false" ht="13.5" hidden="false" customHeight="false" outlineLevel="0" collapsed="false">
      <c r="C7" s="51" t="n">
        <f aca="false">SUMPRODUCT(B2:B5,C2:C5)</f>
        <v>12.9288235985951</v>
      </c>
    </row>
    <row r="10" customFormat="false" ht="12.75" hidden="false" customHeight="false" outlineLevel="0" collapsed="false">
      <c r="B10" s="0" t="n">
        <v>1998</v>
      </c>
      <c r="C10" s="0" t="n">
        <v>1999</v>
      </c>
      <c r="D10" s="0" t="n">
        <v>2000</v>
      </c>
      <c r="E10" s="0" t="n">
        <v>20001</v>
      </c>
      <c r="G10" s="0" t="n">
        <v>1998</v>
      </c>
      <c r="H10" s="0" t="n">
        <v>1999</v>
      </c>
      <c r="I10" s="0" t="n">
        <v>2000</v>
      </c>
      <c r="J10" s="0" t="n">
        <v>20001</v>
      </c>
      <c r="L10" s="0" t="n">
        <v>1998</v>
      </c>
      <c r="M10" s="0" t="n">
        <v>1999</v>
      </c>
      <c r="N10" s="0" t="n">
        <v>2000</v>
      </c>
      <c r="O10" s="0" t="n">
        <v>20001</v>
      </c>
    </row>
    <row r="11" customFormat="false" ht="12" hidden="false" customHeight="false" outlineLevel="0" collapsed="false">
      <c r="B11" s="52" t="s">
        <v>22</v>
      </c>
      <c r="C11" s="52" t="s">
        <v>22</v>
      </c>
      <c r="D11" s="52" t="s">
        <v>22</v>
      </c>
      <c r="E11" s="52" t="s">
        <v>22</v>
      </c>
      <c r="F11" s="53"/>
      <c r="G11" s="52" t="s">
        <v>67</v>
      </c>
      <c r="H11" s="52" t="s">
        <v>67</v>
      </c>
      <c r="I11" s="52" t="s">
        <v>67</v>
      </c>
      <c r="J11" s="52" t="s">
        <v>67</v>
      </c>
      <c r="K11" s="53"/>
      <c r="L11" s="52" t="s">
        <v>24</v>
      </c>
      <c r="M11" s="52" t="s">
        <v>24</v>
      </c>
      <c r="N11" s="52" t="s">
        <v>24</v>
      </c>
      <c r="O11" s="52" t="s">
        <v>24</v>
      </c>
    </row>
    <row r="12" customFormat="false" ht="12.75" hidden="false" customHeight="false" outlineLevel="0" collapsed="false">
      <c r="A12" s="54" t="s">
        <v>68</v>
      </c>
      <c r="B12" s="55"/>
      <c r="C12" s="55"/>
      <c r="D12" s="55"/>
      <c r="E12" s="55"/>
      <c r="F12" s="55"/>
      <c r="G12" s="56"/>
      <c r="H12" s="56" t="n">
        <v>3.49052939412892</v>
      </c>
      <c r="I12" s="56" t="n">
        <v>4.98421452672809</v>
      </c>
      <c r="J12" s="56" t="n">
        <v>22.3776949318239</v>
      </c>
      <c r="K12" s="55"/>
      <c r="L12" s="56"/>
      <c r="M12" s="56" t="n">
        <v>2.93818479731088</v>
      </c>
      <c r="N12" s="56" t="n">
        <v>3.95646238066177</v>
      </c>
      <c r="O12" s="56" t="n">
        <v>20.4601275159491</v>
      </c>
      <c r="P12" s="55"/>
      <c r="Q12" s="55"/>
      <c r="R12" s="55"/>
      <c r="S12" s="55"/>
      <c r="T12" s="55"/>
      <c r="U12" s="55"/>
      <c r="V12" s="55"/>
      <c r="W12" s="55"/>
      <c r="X12" s="55"/>
      <c r="Y12" s="55"/>
      <c r="Z12" s="55"/>
      <c r="AA12" s="55"/>
      <c r="AB12" s="55"/>
      <c r="AC12" s="55"/>
      <c r="AD12" s="55"/>
      <c r="AE12" s="55"/>
      <c r="AF12" s="55"/>
      <c r="AG12" s="55"/>
      <c r="AH12" s="55"/>
      <c r="AI12" s="55"/>
      <c r="AJ12" s="55"/>
    </row>
    <row r="13" customFormat="false" ht="12.75" hidden="false" customHeight="false" outlineLevel="0" collapsed="false">
      <c r="A13" s="54" t="s">
        <v>69</v>
      </c>
      <c r="B13" s="55"/>
      <c r="C13" s="55"/>
      <c r="D13" s="55"/>
      <c r="E13" s="55"/>
      <c r="F13" s="55"/>
      <c r="G13" s="56"/>
      <c r="H13" s="56" t="n">
        <v>3.15477643464279</v>
      </c>
      <c r="I13" s="56" t="n">
        <v>4.03374203232823</v>
      </c>
      <c r="J13" s="56" t="n">
        <v>19.4913271751936</v>
      </c>
      <c r="K13" s="55"/>
      <c r="L13" s="56"/>
      <c r="M13" s="56" t="n">
        <v>2.65575760190183</v>
      </c>
      <c r="N13" s="56" t="n">
        <v>3.57520049655259</v>
      </c>
      <c r="O13" s="56" t="n">
        <v>19.5924445781181</v>
      </c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55"/>
      <c r="AB13" s="55"/>
      <c r="AC13" s="55"/>
      <c r="AD13" s="55"/>
      <c r="AE13" s="55"/>
      <c r="AF13" s="55"/>
      <c r="AG13" s="55"/>
      <c r="AH13" s="55"/>
      <c r="AI13" s="55"/>
      <c r="AJ13" s="55"/>
    </row>
    <row r="14" customFormat="false" ht="12.75" hidden="false" customHeight="false" outlineLevel="0" collapsed="false">
      <c r="A14" s="54" t="s">
        <v>70</v>
      </c>
      <c r="B14" s="55"/>
      <c r="C14" s="55"/>
      <c r="D14" s="55"/>
      <c r="E14" s="55"/>
      <c r="F14" s="55"/>
      <c r="G14" s="56"/>
      <c r="H14" s="56" t="n">
        <v>3.0980882002203</v>
      </c>
      <c r="I14" s="56" t="n">
        <v>3.39835812830561</v>
      </c>
      <c r="J14" s="56"/>
      <c r="K14" s="55"/>
      <c r="L14" s="56"/>
      <c r="M14" s="56" t="n">
        <v>2.67537486727423</v>
      </c>
      <c r="N14" s="56" t="n">
        <v>3.1046461647194</v>
      </c>
      <c r="O14" s="56"/>
      <c r="P14" s="55"/>
      <c r="Q14" s="55"/>
      <c r="R14" s="55"/>
      <c r="S14" s="55"/>
      <c r="T14" s="55"/>
      <c r="U14" s="55"/>
      <c r="V14" s="55"/>
      <c r="W14" s="55"/>
      <c r="X14" s="55"/>
      <c r="Y14" s="55"/>
      <c r="Z14" s="55"/>
      <c r="AA14" s="55"/>
      <c r="AB14" s="55"/>
      <c r="AC14" s="55"/>
      <c r="AD14" s="55"/>
      <c r="AE14" s="55"/>
      <c r="AF14" s="55"/>
      <c r="AG14" s="55"/>
      <c r="AH14" s="55"/>
      <c r="AI14" s="55"/>
      <c r="AJ14" s="55"/>
    </row>
    <row r="15" customFormat="false" ht="12.75" hidden="false" customHeight="false" outlineLevel="0" collapsed="false">
      <c r="A15" s="54" t="s">
        <v>71</v>
      </c>
      <c r="B15" s="55"/>
      <c r="C15" s="55"/>
      <c r="D15" s="55"/>
      <c r="E15" s="55"/>
      <c r="F15" s="55"/>
      <c r="G15" s="56" t="n">
        <v>2.85718653075356</v>
      </c>
      <c r="H15" s="56" t="n">
        <v>3.23937051764419</v>
      </c>
      <c r="I15" s="56" t="n">
        <v>3.77698305191821</v>
      </c>
      <c r="J15" s="56"/>
      <c r="K15" s="55"/>
      <c r="L15" s="56" t="n">
        <v>2.11050373755107</v>
      </c>
      <c r="M15" s="56" t="n">
        <v>2.61125841227306</v>
      </c>
      <c r="N15" s="56" t="n">
        <v>2.94579064536054</v>
      </c>
      <c r="O15" s="56"/>
      <c r="P15" s="55"/>
      <c r="Q15" s="55"/>
      <c r="R15" s="55"/>
      <c r="S15" s="55"/>
      <c r="T15" s="55"/>
      <c r="U15" s="55"/>
      <c r="V15" s="55"/>
      <c r="W15" s="55"/>
      <c r="X15" s="55"/>
      <c r="Y15" s="55"/>
      <c r="Z15" s="55"/>
      <c r="AA15" s="55"/>
      <c r="AB15" s="55"/>
      <c r="AC15" s="55"/>
      <c r="AD15" s="55"/>
      <c r="AE15" s="55"/>
      <c r="AF15" s="55"/>
      <c r="AG15" s="55"/>
      <c r="AH15" s="55"/>
      <c r="AI15" s="55"/>
      <c r="AJ15" s="55"/>
    </row>
    <row r="16" customFormat="false" ht="12.75" hidden="false" customHeight="false" outlineLevel="0" collapsed="false">
      <c r="A16" s="54" t="s">
        <v>72</v>
      </c>
      <c r="B16" s="57" t="n">
        <v>2.16496767688095</v>
      </c>
      <c r="C16" s="57" t="n">
        <v>3.58184871042929</v>
      </c>
      <c r="D16" s="57" t="n">
        <v>7.99400884438408</v>
      </c>
      <c r="E16" s="57"/>
      <c r="F16" s="55"/>
      <c r="G16" s="57" t="n">
        <v>2.10266808060032</v>
      </c>
      <c r="H16" s="57" t="n">
        <v>3.40745863424869</v>
      </c>
      <c r="I16" s="57" t="n">
        <v>6.64682738262333</v>
      </c>
      <c r="J16" s="57"/>
      <c r="K16" s="55"/>
      <c r="L16" s="57" t="n">
        <v>0.934099608593592</v>
      </c>
      <c r="M16" s="57" t="n">
        <v>2.34364592039338</v>
      </c>
      <c r="N16" s="57" t="n">
        <v>5.04749890259149</v>
      </c>
      <c r="O16" s="57"/>
      <c r="P16" s="55"/>
      <c r="Q16" s="55"/>
      <c r="R16" s="55"/>
      <c r="S16" s="55"/>
      <c r="T16" s="55"/>
      <c r="U16" s="55"/>
      <c r="V16" s="55"/>
      <c r="W16" s="55"/>
      <c r="X16" s="55"/>
      <c r="Y16" s="55"/>
      <c r="Z16" s="55"/>
      <c r="AA16" s="55"/>
      <c r="AB16" s="55"/>
      <c r="AC16" s="55"/>
      <c r="AD16" s="55"/>
      <c r="AE16" s="55"/>
      <c r="AF16" s="55"/>
      <c r="AG16" s="55"/>
      <c r="AH16" s="55"/>
      <c r="AI16" s="55"/>
      <c r="AJ16" s="55"/>
    </row>
    <row r="17" customFormat="false" ht="12.75" hidden="false" customHeight="false" outlineLevel="0" collapsed="false">
      <c r="A17" s="54" t="s">
        <v>73</v>
      </c>
      <c r="B17" s="57" t="n">
        <v>2.41571411047571</v>
      </c>
      <c r="C17" s="57" t="n">
        <v>4.24557771986034</v>
      </c>
      <c r="D17" s="57" t="n">
        <v>33.3616218041648</v>
      </c>
      <c r="E17" s="57"/>
      <c r="F17" s="55"/>
      <c r="G17" s="57" t="n">
        <v>1.90230275261631</v>
      </c>
      <c r="H17" s="57" t="n">
        <v>3.35406217277572</v>
      </c>
      <c r="I17" s="57" t="n">
        <v>19.0556470337093</v>
      </c>
      <c r="J17" s="57"/>
      <c r="K17" s="55"/>
      <c r="L17" s="57" t="n">
        <v>0.927965547191349</v>
      </c>
      <c r="M17" s="57" t="n">
        <v>2.20841824320426</v>
      </c>
      <c r="N17" s="57" t="n">
        <v>7.54155021156522</v>
      </c>
      <c r="O17" s="57"/>
      <c r="P17" s="55"/>
      <c r="Q17" s="55"/>
      <c r="R17" s="55"/>
      <c r="S17" s="55"/>
      <c r="T17" s="55"/>
      <c r="U17" s="55"/>
      <c r="V17" s="55"/>
      <c r="W17" s="55"/>
      <c r="X17" s="55"/>
      <c r="Y17" s="55"/>
      <c r="Z17" s="55"/>
      <c r="AA17" s="55"/>
      <c r="AB17" s="55"/>
      <c r="AC17" s="55"/>
      <c r="AD17" s="55"/>
      <c r="AE17" s="55"/>
      <c r="AF17" s="55"/>
      <c r="AG17" s="55"/>
      <c r="AH17" s="55"/>
      <c r="AI17" s="55"/>
      <c r="AJ17" s="55"/>
    </row>
    <row r="18" customFormat="false" ht="12.75" hidden="false" customHeight="false" outlineLevel="0" collapsed="false">
      <c r="A18" s="54" t="s">
        <v>74</v>
      </c>
      <c r="B18" s="57" t="n">
        <v>5.9691321240757</v>
      </c>
      <c r="C18" s="57" t="n">
        <v>6.16580649676782</v>
      </c>
      <c r="D18" s="57" t="n">
        <v>16.4979013555393</v>
      </c>
      <c r="E18" s="57"/>
      <c r="F18" s="55"/>
      <c r="G18" s="57" t="n">
        <v>3.89713322012342</v>
      </c>
      <c r="H18" s="57" t="n">
        <v>3.89579092866617</v>
      </c>
      <c r="I18" s="57" t="n">
        <v>11.1221404993777</v>
      </c>
      <c r="J18" s="57"/>
      <c r="K18" s="55"/>
      <c r="L18" s="57" t="n">
        <v>2.8511053395601</v>
      </c>
      <c r="M18" s="57" t="n">
        <v>2.95020362395053</v>
      </c>
      <c r="N18" s="57" t="n">
        <v>9.01503788735642</v>
      </c>
      <c r="O18" s="57"/>
      <c r="P18" s="55"/>
      <c r="Q18" s="55"/>
      <c r="R18" s="55"/>
      <c r="S18" s="55"/>
      <c r="T18" s="55"/>
      <c r="U18" s="55"/>
      <c r="V18" s="55"/>
      <c r="W18" s="55"/>
      <c r="X18" s="55"/>
      <c r="Y18" s="55"/>
      <c r="Z18" s="55"/>
      <c r="AA18" s="55"/>
      <c r="AB18" s="55"/>
      <c r="AC18" s="55"/>
      <c r="AD18" s="55"/>
      <c r="AE18" s="55"/>
      <c r="AF18" s="55"/>
      <c r="AG18" s="55"/>
      <c r="AH18" s="55"/>
      <c r="AI18" s="55"/>
      <c r="AJ18" s="55"/>
    </row>
    <row r="19" customFormat="false" ht="12.75" hidden="false" customHeight="false" outlineLevel="0" collapsed="false">
      <c r="A19" s="54" t="s">
        <v>75</v>
      </c>
      <c r="B19" s="57" t="n">
        <v>8.4067326479749</v>
      </c>
      <c r="C19" s="57" t="n">
        <v>6.14412387225148</v>
      </c>
      <c r="D19" s="57" t="n">
        <v>26.0490191313185</v>
      </c>
      <c r="E19" s="57"/>
      <c r="F19" s="55"/>
      <c r="G19" s="57" t="n">
        <v>4.56438596925802</v>
      </c>
      <c r="H19" s="57" t="n">
        <v>3.84826682585434</v>
      </c>
      <c r="I19" s="57" t="n">
        <v>20.0043278603915</v>
      </c>
      <c r="J19" s="57"/>
      <c r="K19" s="55"/>
      <c r="L19" s="57" t="n">
        <v>3.08166940480276</v>
      </c>
      <c r="M19" s="57" t="n">
        <v>3.34717674299251</v>
      </c>
      <c r="N19" s="57" t="n">
        <v>14.6017705286788</v>
      </c>
      <c r="O19" s="57"/>
      <c r="P19" s="55"/>
      <c r="Q19" s="55"/>
      <c r="R19" s="55"/>
      <c r="S19" s="55"/>
      <c r="T19" s="55"/>
      <c r="U19" s="55"/>
      <c r="V19" s="55"/>
      <c r="W19" s="55"/>
      <c r="X19" s="55"/>
      <c r="Y19" s="55"/>
      <c r="Z19" s="55"/>
      <c r="AA19" s="55"/>
      <c r="AB19" s="55"/>
      <c r="AC19" s="55"/>
      <c r="AD19" s="55"/>
      <c r="AE19" s="55"/>
      <c r="AF19" s="55"/>
      <c r="AG19" s="55"/>
      <c r="AH19" s="55"/>
      <c r="AI19" s="55"/>
      <c r="AJ19" s="55"/>
    </row>
    <row r="20" customFormat="false" ht="12.75" hidden="false" customHeight="false" outlineLevel="0" collapsed="false">
      <c r="A20" s="54" t="s">
        <v>76</v>
      </c>
      <c r="B20" s="57" t="n">
        <v>5.8096680819566</v>
      </c>
      <c r="C20" s="57" t="n">
        <v>5.15000538155341</v>
      </c>
      <c r="D20" s="57" t="n">
        <v>16.4988865521894</v>
      </c>
      <c r="E20" s="57"/>
      <c r="F20" s="55"/>
      <c r="G20" s="57" t="n">
        <v>4.25822485204292</v>
      </c>
      <c r="H20" s="57" t="n">
        <v>4.56354438343941</v>
      </c>
      <c r="I20" s="57" t="n">
        <v>15.4605193082463</v>
      </c>
      <c r="J20" s="57"/>
      <c r="K20" s="55"/>
      <c r="L20" s="57" t="n">
        <v>3.05929779314179</v>
      </c>
      <c r="M20" s="57" t="n">
        <v>3.44234560248537</v>
      </c>
      <c r="N20" s="57" t="n">
        <v>12.0492341314101</v>
      </c>
      <c r="O20" s="57"/>
      <c r="P20" s="55"/>
      <c r="Q20" s="55"/>
      <c r="R20" s="55"/>
      <c r="S20" s="55"/>
      <c r="T20" s="55"/>
      <c r="U20" s="55"/>
      <c r="V20" s="55"/>
      <c r="W20" s="55"/>
      <c r="X20" s="55"/>
      <c r="Y20" s="55"/>
      <c r="Z20" s="55"/>
      <c r="AA20" s="55"/>
      <c r="AB20" s="55"/>
      <c r="AC20" s="55"/>
      <c r="AD20" s="55"/>
      <c r="AE20" s="55"/>
      <c r="AF20" s="55"/>
      <c r="AG20" s="55"/>
      <c r="AH20" s="55"/>
      <c r="AI20" s="55"/>
      <c r="AJ20" s="55"/>
    </row>
    <row r="21" customFormat="false" ht="12.75" hidden="false" customHeight="false" outlineLevel="0" collapsed="false">
      <c r="A21" s="54" t="s">
        <v>77</v>
      </c>
      <c r="B21" s="57" t="n">
        <v>4.2036963203496</v>
      </c>
      <c r="C21" s="57" t="n">
        <v>7.71062594236921</v>
      </c>
      <c r="D21" s="57" t="n">
        <v>13.074636789657</v>
      </c>
      <c r="E21" s="57"/>
      <c r="F21" s="55"/>
      <c r="G21" s="57" t="n">
        <v>3.78200292802884</v>
      </c>
      <c r="H21" s="57" t="n">
        <v>8.04849501000311</v>
      </c>
      <c r="I21" s="57" t="n">
        <v>14.4863384617782</v>
      </c>
      <c r="J21" s="57"/>
      <c r="K21" s="55"/>
      <c r="L21" s="57" t="n">
        <v>3.21625514077027</v>
      </c>
      <c r="M21" s="57" t="n">
        <v>4.92232914282013</v>
      </c>
      <c r="N21" s="57" t="n">
        <v>13.4294727902564</v>
      </c>
      <c r="O21" s="57"/>
      <c r="P21" s="55"/>
      <c r="Q21" s="55"/>
      <c r="R21" s="55"/>
      <c r="S21" s="55"/>
      <c r="T21" s="55"/>
      <c r="U21" s="55"/>
      <c r="V21" s="55"/>
      <c r="W21" s="55"/>
      <c r="X21" s="55"/>
      <c r="Y21" s="55"/>
      <c r="Z21" s="55"/>
      <c r="AA21" s="55"/>
      <c r="AB21" s="55"/>
      <c r="AC21" s="55"/>
      <c r="AD21" s="55"/>
      <c r="AE21" s="55"/>
      <c r="AF21" s="55"/>
      <c r="AG21" s="55"/>
      <c r="AH21" s="55"/>
      <c r="AI21" s="55"/>
      <c r="AJ21" s="55"/>
    </row>
    <row r="22" customFormat="false" ht="12.75" hidden="false" customHeight="false" outlineLevel="0" collapsed="false">
      <c r="A22" s="54" t="s">
        <v>78</v>
      </c>
      <c r="B22" s="55"/>
      <c r="C22" s="55"/>
      <c r="D22" s="55"/>
      <c r="E22" s="55"/>
      <c r="F22" s="55"/>
      <c r="G22" s="56" t="n">
        <v>4.92549421585055</v>
      </c>
      <c r="H22" s="56" t="n">
        <v>5.33732961615679</v>
      </c>
      <c r="I22" s="56" t="n">
        <v>20.9529541450768</v>
      </c>
      <c r="J22" s="56"/>
      <c r="K22" s="55"/>
      <c r="L22" s="56" t="n">
        <v>3.45110034755582</v>
      </c>
      <c r="M22" s="56" t="n">
        <v>3.87893368711254</v>
      </c>
      <c r="N22" s="56" t="n">
        <v>19.9881644440233</v>
      </c>
      <c r="O22" s="56"/>
      <c r="P22" s="55"/>
      <c r="Q22" s="55"/>
      <c r="R22" s="55"/>
      <c r="S22" s="55"/>
      <c r="T22" s="55"/>
      <c r="U22" s="55"/>
      <c r="V22" s="55"/>
      <c r="W22" s="55"/>
      <c r="X22" s="55"/>
      <c r="Y22" s="55"/>
      <c r="Z22" s="55"/>
      <c r="AA22" s="55"/>
      <c r="AB22" s="55"/>
      <c r="AC22" s="55"/>
      <c r="AD22" s="55"/>
      <c r="AE22" s="55"/>
      <c r="AF22" s="55"/>
      <c r="AG22" s="55"/>
      <c r="AH22" s="55"/>
      <c r="AI22" s="55"/>
      <c r="AJ22" s="55"/>
    </row>
    <row r="23" customFormat="false" ht="12.75" hidden="false" customHeight="false" outlineLevel="0" collapsed="false">
      <c r="A23" s="54" t="s">
        <v>79</v>
      </c>
      <c r="B23" s="55"/>
      <c r="C23" s="55"/>
      <c r="D23" s="55"/>
      <c r="E23" s="55"/>
      <c r="F23" s="55"/>
      <c r="G23" s="56" t="n">
        <v>4.97095104899676</v>
      </c>
      <c r="H23" s="56" t="n">
        <v>4.28349026005193</v>
      </c>
      <c r="I23" s="56" t="n">
        <v>35.6116556760064</v>
      </c>
      <c r="J23" s="56"/>
      <c r="K23" s="55"/>
      <c r="L23" s="56" t="n">
        <v>3.72506960948738</v>
      </c>
      <c r="M23" s="56" t="n">
        <v>3.68486109942127</v>
      </c>
      <c r="N23" s="56" t="n">
        <v>31.4938610645867</v>
      </c>
      <c r="O23" s="56"/>
      <c r="P23" s="55"/>
      <c r="Q23" s="55"/>
      <c r="R23" s="55"/>
      <c r="S23" s="55"/>
      <c r="T23" s="55"/>
      <c r="U23" s="55"/>
      <c r="V23" s="55"/>
      <c r="W23" s="55"/>
      <c r="X23" s="55"/>
      <c r="Y23" s="55"/>
      <c r="Z23" s="55"/>
      <c r="AA23" s="55"/>
      <c r="AB23" s="55"/>
      <c r="AC23" s="55"/>
      <c r="AD23" s="55"/>
      <c r="AE23" s="55"/>
      <c r="AF23" s="55"/>
      <c r="AG23" s="55"/>
      <c r="AH23" s="55"/>
      <c r="AI23" s="55"/>
      <c r="AJ23" s="55"/>
    </row>
    <row r="24" customFormat="false" ht="12.75" hidden="false" customHeight="false" outlineLevel="0" collapsed="false">
      <c r="B24" s="55"/>
      <c r="C24" s="55"/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55"/>
      <c r="P24" s="55"/>
      <c r="Q24" s="55"/>
      <c r="R24" s="55"/>
      <c r="S24" s="55"/>
      <c r="T24" s="55"/>
      <c r="U24" s="55"/>
      <c r="V24" s="55"/>
      <c r="W24" s="55"/>
      <c r="X24" s="55"/>
      <c r="Y24" s="55"/>
      <c r="Z24" s="55"/>
      <c r="AA24" s="55"/>
      <c r="AB24" s="55"/>
      <c r="AC24" s="55"/>
      <c r="AD24" s="55"/>
      <c r="AE24" s="55"/>
      <c r="AF24" s="55"/>
      <c r="AG24" s="55"/>
      <c r="AH24" s="55"/>
      <c r="AI24" s="55"/>
      <c r="AJ24" s="55"/>
    </row>
    <row r="25" customFormat="false" ht="12.75" hidden="false" customHeight="false" outlineLevel="0" collapsed="false">
      <c r="A25" s="44" t="s">
        <v>80</v>
      </c>
      <c r="B25" s="58" t="s">
        <v>81</v>
      </c>
      <c r="C25" s="55"/>
      <c r="D25" s="55" t="n">
        <f aca="false">AVERAGE(B16:D21)</f>
        <v>9.74688742012212</v>
      </c>
      <c r="E25" s="55"/>
      <c r="F25" s="55"/>
      <c r="G25" s="58" t="s">
        <v>82</v>
      </c>
      <c r="H25" s="55"/>
      <c r="I25" s="55" t="n">
        <f aca="false">AVERAGE(G16:I21)</f>
        <v>7.46667423909909</v>
      </c>
      <c r="J25" s="55"/>
      <c r="K25" s="55"/>
      <c r="L25" s="58" t="s">
        <v>83</v>
      </c>
      <c r="M25" s="55"/>
      <c r="N25" s="55" t="n">
        <f aca="false">AVERAGE(L16:N21)</f>
        <v>5.27605980898691</v>
      </c>
      <c r="O25" s="55"/>
      <c r="P25" s="55"/>
      <c r="Q25" s="55"/>
      <c r="R25" s="55"/>
      <c r="S25" s="55"/>
      <c r="T25" s="55"/>
      <c r="U25" s="55"/>
      <c r="V25" s="55"/>
      <c r="W25" s="55"/>
      <c r="X25" s="55"/>
      <c r="Y25" s="55"/>
      <c r="Z25" s="55"/>
      <c r="AA25" s="55"/>
      <c r="AB25" s="55"/>
      <c r="AC25" s="55"/>
      <c r="AD25" s="55"/>
      <c r="AE25" s="55"/>
      <c r="AF25" s="55"/>
      <c r="AG25" s="55"/>
      <c r="AH25" s="55"/>
      <c r="AI25" s="55"/>
      <c r="AJ25" s="55"/>
    </row>
    <row r="26" customFormat="false" ht="12.75" hidden="false" customHeight="false" outlineLevel="0" collapsed="false">
      <c r="B26" s="55"/>
      <c r="C26" s="58" t="n">
        <v>1998</v>
      </c>
      <c r="D26" s="55" t="n">
        <f aca="false">SUM(B16:B21)/6</f>
        <v>4.82831849361891</v>
      </c>
      <c r="E26" s="55"/>
      <c r="F26" s="55"/>
      <c r="G26" s="58"/>
      <c r="H26" s="58" t="n">
        <v>1998</v>
      </c>
      <c r="I26" s="55" t="n">
        <f aca="false">SUM(G16:G21)/6</f>
        <v>3.41778630044497</v>
      </c>
      <c r="J26" s="55"/>
      <c r="K26" s="55"/>
      <c r="L26" s="55"/>
      <c r="M26" s="58" t="n">
        <v>1998</v>
      </c>
      <c r="N26" s="55" t="n">
        <f aca="false">SUM(L16:L21)/6</f>
        <v>2.34506547234331</v>
      </c>
      <c r="O26" s="55"/>
      <c r="P26" s="55"/>
      <c r="Q26" s="55"/>
      <c r="R26" s="55"/>
      <c r="S26" s="55"/>
      <c r="T26" s="55"/>
      <c r="U26" s="55"/>
      <c r="V26" s="55"/>
      <c r="W26" s="55"/>
      <c r="X26" s="55"/>
      <c r="Y26" s="55"/>
      <c r="Z26" s="55"/>
      <c r="AA26" s="55"/>
      <c r="AB26" s="55"/>
      <c r="AC26" s="55"/>
      <c r="AD26" s="55"/>
      <c r="AE26" s="55"/>
      <c r="AF26" s="55"/>
      <c r="AG26" s="55"/>
      <c r="AH26" s="55"/>
      <c r="AI26" s="55"/>
      <c r="AJ26" s="55"/>
    </row>
    <row r="27" customFormat="false" ht="12.75" hidden="false" customHeight="false" outlineLevel="0" collapsed="false">
      <c r="B27" s="55"/>
      <c r="C27" s="58" t="n">
        <v>1999</v>
      </c>
      <c r="D27" s="55" t="n">
        <f aca="false">SUM(C16:C21)/6</f>
        <v>5.49966468720526</v>
      </c>
      <c r="E27" s="55"/>
      <c r="F27" s="55"/>
      <c r="G27" s="55"/>
      <c r="H27" s="58" t="n">
        <v>1999</v>
      </c>
      <c r="I27" s="55" t="n">
        <f aca="false">SUM(H16:H21)/6</f>
        <v>4.51960299249791</v>
      </c>
      <c r="J27" s="55"/>
      <c r="K27" s="55"/>
      <c r="L27" s="55"/>
      <c r="M27" s="58" t="n">
        <v>1999</v>
      </c>
      <c r="N27" s="55" t="n">
        <f aca="false">SUM(M16:M21)/6</f>
        <v>3.20235321264103</v>
      </c>
      <c r="O27" s="55"/>
      <c r="P27" s="55"/>
      <c r="Q27" s="55"/>
      <c r="R27" s="55"/>
      <c r="S27" s="55"/>
      <c r="T27" s="55"/>
      <c r="U27" s="55"/>
      <c r="V27" s="55"/>
      <c r="W27" s="55"/>
      <c r="X27" s="55"/>
      <c r="Y27" s="55"/>
      <c r="Z27" s="55"/>
      <c r="AA27" s="55"/>
      <c r="AB27" s="55"/>
      <c r="AC27" s="55"/>
      <c r="AD27" s="55"/>
      <c r="AE27" s="55"/>
      <c r="AF27" s="55"/>
      <c r="AG27" s="55"/>
      <c r="AH27" s="55"/>
      <c r="AI27" s="55"/>
      <c r="AJ27" s="55"/>
    </row>
    <row r="28" customFormat="false" ht="12.75" hidden="false" customHeight="false" outlineLevel="0" collapsed="false">
      <c r="B28" s="55"/>
      <c r="C28" s="58" t="n">
        <v>2000</v>
      </c>
      <c r="D28" s="55" t="n">
        <f aca="false">SUM(D16:D21)/6</f>
        <v>18.9126790795422</v>
      </c>
      <c r="E28" s="55"/>
      <c r="F28" s="55"/>
      <c r="G28" s="55"/>
      <c r="H28" s="58" t="n">
        <v>2000</v>
      </c>
      <c r="I28" s="55" t="n">
        <f aca="false">SUM(I16:I21)/6</f>
        <v>14.4626334243544</v>
      </c>
      <c r="J28" s="55"/>
      <c r="K28" s="55"/>
      <c r="L28" s="55"/>
      <c r="M28" s="58" t="n">
        <v>2000</v>
      </c>
      <c r="N28" s="55" t="n">
        <f aca="false">SUM(N16:N21)/6</f>
        <v>10.2807607419764</v>
      </c>
      <c r="O28" s="55"/>
      <c r="P28" s="55"/>
      <c r="Q28" s="55"/>
      <c r="R28" s="55"/>
      <c r="S28" s="55"/>
      <c r="T28" s="55"/>
      <c r="U28" s="55"/>
      <c r="V28" s="55"/>
      <c r="W28" s="55"/>
      <c r="X28" s="55"/>
      <c r="Y28" s="55"/>
      <c r="Z28" s="55"/>
      <c r="AA28" s="55"/>
      <c r="AB28" s="55"/>
      <c r="AC28" s="55"/>
      <c r="AD28" s="55"/>
      <c r="AE28" s="55"/>
      <c r="AF28" s="55"/>
      <c r="AG28" s="55"/>
      <c r="AH28" s="55"/>
      <c r="AI28" s="55"/>
      <c r="AJ28" s="55"/>
    </row>
    <row r="29" customFormat="false" ht="12.75" hidden="false" customHeight="false" outlineLevel="0" collapsed="false">
      <c r="B29" s="55"/>
      <c r="C29" s="55"/>
      <c r="D29" s="55"/>
      <c r="E29" s="55"/>
      <c r="F29" s="55"/>
      <c r="G29" s="55"/>
      <c r="H29" s="55"/>
      <c r="I29" s="55"/>
      <c r="J29" s="55"/>
      <c r="K29" s="55"/>
      <c r="L29" s="55"/>
      <c r="M29" s="55"/>
      <c r="N29" s="55"/>
      <c r="O29" s="55"/>
      <c r="P29" s="55"/>
      <c r="Q29" s="55"/>
      <c r="R29" s="55"/>
      <c r="S29" s="55"/>
      <c r="T29" s="55"/>
      <c r="U29" s="55"/>
      <c r="V29" s="55"/>
      <c r="W29" s="55"/>
      <c r="X29" s="55"/>
      <c r="Y29" s="55"/>
      <c r="Z29" s="55"/>
      <c r="AA29" s="55"/>
      <c r="AB29" s="55"/>
      <c r="AC29" s="55"/>
      <c r="AD29" s="55"/>
      <c r="AE29" s="55"/>
      <c r="AF29" s="55"/>
      <c r="AG29" s="55"/>
      <c r="AH29" s="55"/>
      <c r="AI29" s="55"/>
      <c r="AJ29" s="55"/>
    </row>
    <row r="30" customFormat="false" ht="12.75" hidden="false" customHeight="false" outlineLevel="0" collapsed="false">
      <c r="B30" s="58" t="s">
        <v>81</v>
      </c>
      <c r="C30" s="58" t="s">
        <v>84</v>
      </c>
      <c r="D30" s="55" t="n">
        <v>19.6331105208825</v>
      </c>
      <c r="E30" s="55"/>
      <c r="F30" s="55"/>
      <c r="G30" s="58" t="s">
        <v>82</v>
      </c>
      <c r="H30" s="58" t="s">
        <v>84</v>
      </c>
      <c r="I30" s="55" t="n">
        <v>14.5252927722231</v>
      </c>
      <c r="J30" s="55"/>
      <c r="K30" s="55"/>
      <c r="L30" s="58" t="s">
        <v>83</v>
      </c>
      <c r="M30" s="58" t="s">
        <v>84</v>
      </c>
      <c r="N30" s="55" t="n">
        <v>9.78640789836039</v>
      </c>
      <c r="O30" s="55"/>
      <c r="P30" s="55"/>
      <c r="Q30" s="55"/>
      <c r="R30" s="55"/>
      <c r="S30" s="55"/>
      <c r="T30" s="55"/>
      <c r="U30" s="55"/>
      <c r="V30" s="55"/>
      <c r="W30" s="55"/>
      <c r="X30" s="55"/>
      <c r="Y30" s="55"/>
      <c r="Z30" s="55"/>
      <c r="AA30" s="55"/>
      <c r="AB30" s="55"/>
      <c r="AC30" s="55"/>
      <c r="AD30" s="55"/>
      <c r="AE30" s="55"/>
      <c r="AF30" s="55"/>
      <c r="AG30" s="55"/>
      <c r="AH30" s="55"/>
      <c r="AI30" s="55"/>
      <c r="AJ30" s="55"/>
    </row>
    <row r="31" customFormat="false" ht="12.75" hidden="false" customHeight="false" outlineLevel="0" collapsed="false">
      <c r="B31" s="55"/>
      <c r="C31" s="58"/>
      <c r="D31" s="55"/>
      <c r="E31" s="55"/>
      <c r="F31" s="55"/>
      <c r="G31" s="55"/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55"/>
      <c r="S31" s="55"/>
      <c r="T31" s="55"/>
      <c r="U31" s="55"/>
      <c r="V31" s="55"/>
      <c r="W31" s="55"/>
      <c r="X31" s="55"/>
      <c r="Y31" s="55"/>
      <c r="Z31" s="55"/>
      <c r="AA31" s="55"/>
      <c r="AB31" s="55"/>
      <c r="AC31" s="55"/>
      <c r="AD31" s="55"/>
      <c r="AE31" s="55"/>
      <c r="AF31" s="55"/>
      <c r="AG31" s="55"/>
      <c r="AH31" s="55"/>
      <c r="AI31" s="55"/>
      <c r="AJ31" s="55"/>
    </row>
    <row r="32" customFormat="false" ht="12.75" hidden="false" customHeight="false" outlineLevel="0" collapsed="false">
      <c r="B32" s="55"/>
      <c r="C32" s="58"/>
      <c r="D32" s="55"/>
      <c r="E32" s="55"/>
      <c r="F32" s="55"/>
      <c r="G32" s="58" t="s">
        <v>85</v>
      </c>
      <c r="H32" s="55"/>
      <c r="I32" s="55" t="n">
        <f aca="false">AVERAGE(G15,H12:I15,J12:J13,G22:I23)</f>
        <v>8.82259681681334</v>
      </c>
      <c r="J32" s="55"/>
      <c r="K32" s="55"/>
      <c r="L32" s="58" t="s">
        <v>86</v>
      </c>
      <c r="M32" s="55"/>
      <c r="N32" s="55" t="n">
        <f aca="false">AVERAGE(L15,M12:N15,O12:O13,L22:N23)</f>
        <v>7.81457302646232</v>
      </c>
      <c r="O32" s="55"/>
      <c r="P32" s="55"/>
      <c r="Q32" s="55"/>
      <c r="R32" s="55"/>
      <c r="S32" s="55"/>
      <c r="T32" s="55"/>
      <c r="U32" s="55"/>
      <c r="V32" s="55"/>
      <c r="W32" s="55"/>
      <c r="X32" s="55"/>
      <c r="Y32" s="55"/>
      <c r="Z32" s="55"/>
      <c r="AA32" s="55"/>
      <c r="AB32" s="55"/>
      <c r="AC32" s="55"/>
      <c r="AD32" s="55"/>
      <c r="AE32" s="55"/>
      <c r="AF32" s="55"/>
      <c r="AG32" s="55"/>
      <c r="AH32" s="55"/>
      <c r="AI32" s="55"/>
      <c r="AJ32" s="55"/>
    </row>
    <row r="33" customFormat="false" ht="12.75" hidden="false" customHeight="false" outlineLevel="0" collapsed="false">
      <c r="B33" s="55"/>
      <c r="C33" s="58"/>
      <c r="D33" s="55"/>
      <c r="E33" s="55"/>
      <c r="F33" s="55"/>
      <c r="G33" s="55"/>
      <c r="H33" s="58" t="n">
        <v>1998</v>
      </c>
      <c r="I33" s="55" t="n">
        <f aca="false">AVERAGE(G15,G22:G23)</f>
        <v>4.25121059853363</v>
      </c>
      <c r="J33" s="55"/>
      <c r="K33" s="55"/>
      <c r="L33" s="55"/>
      <c r="M33" s="58" t="n">
        <v>1998</v>
      </c>
      <c r="N33" s="55" t="n">
        <f aca="false">AVERAGE(L15,L22:L23)</f>
        <v>3.09555789819809</v>
      </c>
      <c r="O33" s="55"/>
      <c r="P33" s="55"/>
      <c r="Q33" s="55"/>
      <c r="R33" s="55"/>
      <c r="S33" s="55"/>
      <c r="T33" s="55"/>
      <c r="U33" s="55"/>
      <c r="V33" s="55"/>
      <c r="W33" s="55"/>
      <c r="X33" s="55"/>
      <c r="Y33" s="55"/>
      <c r="Z33" s="55"/>
      <c r="AA33" s="55"/>
      <c r="AB33" s="55"/>
      <c r="AC33" s="55"/>
      <c r="AD33" s="55"/>
      <c r="AE33" s="55"/>
      <c r="AF33" s="55"/>
      <c r="AG33" s="55"/>
      <c r="AH33" s="55"/>
      <c r="AI33" s="55"/>
      <c r="AJ33" s="55"/>
    </row>
    <row r="34" customFormat="false" ht="12.75" hidden="false" customHeight="false" outlineLevel="0" collapsed="false">
      <c r="B34" s="55"/>
      <c r="C34" s="58"/>
      <c r="D34" s="55"/>
      <c r="E34" s="55"/>
      <c r="F34" s="55"/>
      <c r="G34" s="55"/>
      <c r="H34" s="58" t="n">
        <v>1999</v>
      </c>
      <c r="I34" s="55" t="n">
        <f aca="false">AVERAGE(H12:H15,H22:H23)</f>
        <v>3.76726407047415</v>
      </c>
      <c r="J34" s="55"/>
      <c r="K34" s="55"/>
      <c r="L34" s="55"/>
      <c r="M34" s="58" t="n">
        <v>1999</v>
      </c>
      <c r="N34" s="55" t="n">
        <f aca="false">AVERAGE(M12:M15,M22:M23)</f>
        <v>3.07406174421563</v>
      </c>
      <c r="O34" s="55"/>
      <c r="P34" s="55"/>
      <c r="Q34" s="55"/>
      <c r="R34" s="55"/>
      <c r="S34" s="55"/>
      <c r="T34" s="55"/>
      <c r="U34" s="55"/>
      <c r="V34" s="55"/>
      <c r="W34" s="55"/>
      <c r="X34" s="55"/>
      <c r="Y34" s="55"/>
      <c r="Z34" s="55"/>
      <c r="AA34" s="55"/>
      <c r="AB34" s="55"/>
      <c r="AC34" s="55"/>
      <c r="AD34" s="55"/>
      <c r="AE34" s="55"/>
      <c r="AF34" s="55"/>
      <c r="AG34" s="55"/>
      <c r="AH34" s="55"/>
      <c r="AI34" s="55"/>
      <c r="AJ34" s="55"/>
    </row>
    <row r="35" customFormat="false" ht="12.75" hidden="false" customHeight="false" outlineLevel="0" collapsed="false">
      <c r="B35" s="55"/>
      <c r="C35" s="55"/>
      <c r="D35" s="55"/>
      <c r="E35" s="55"/>
      <c r="F35" s="55"/>
      <c r="G35" s="55"/>
      <c r="H35" s="58" t="n">
        <v>2000</v>
      </c>
      <c r="I35" s="55" t="n">
        <f aca="false">AVERAGE(I12:I15,I22:I23)</f>
        <v>12.1263179267272</v>
      </c>
      <c r="J35" s="55"/>
      <c r="K35" s="55"/>
      <c r="L35" s="55"/>
      <c r="M35" s="58" t="n">
        <v>2000</v>
      </c>
      <c r="N35" s="55" t="n">
        <f aca="false">AVERAGE(N12:N15,N22:N23)</f>
        <v>10.844020865984</v>
      </c>
      <c r="O35" s="55"/>
      <c r="P35" s="55"/>
      <c r="Q35" s="55"/>
      <c r="R35" s="55"/>
      <c r="S35" s="55"/>
      <c r="T35" s="55"/>
      <c r="U35" s="55"/>
      <c r="V35" s="55"/>
      <c r="W35" s="55"/>
      <c r="X35" s="55"/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55"/>
      <c r="AJ35" s="55"/>
    </row>
    <row r="36" customFormat="false" ht="12.75" hidden="false" customHeight="false" outlineLevel="0" collapsed="false">
      <c r="B36" s="55"/>
      <c r="C36" s="55"/>
      <c r="D36" s="55"/>
      <c r="E36" s="55"/>
      <c r="F36" s="55"/>
      <c r="G36" s="55"/>
      <c r="H36" s="58" t="n">
        <v>2001</v>
      </c>
      <c r="I36" s="55" t="n">
        <f aca="false">AVERAGE(J12:J13)</f>
        <v>20.9345110535088</v>
      </c>
      <c r="J36" s="55"/>
      <c r="K36" s="55"/>
      <c r="L36" s="55"/>
      <c r="M36" s="58" t="n">
        <v>2001</v>
      </c>
      <c r="N36" s="55" t="n">
        <f aca="false">AVERAGE(O12:O13)</f>
        <v>20.0262860470336</v>
      </c>
      <c r="O36" s="55"/>
      <c r="P36" s="55"/>
      <c r="Q36" s="55"/>
      <c r="R36" s="55"/>
      <c r="S36" s="55"/>
      <c r="T36" s="55"/>
      <c r="U36" s="55"/>
      <c r="V36" s="55"/>
      <c r="W36" s="55"/>
      <c r="X36" s="55"/>
      <c r="Y36" s="55"/>
      <c r="Z36" s="55"/>
      <c r="AA36" s="55"/>
      <c r="AB36" s="55"/>
      <c r="AC36" s="55"/>
      <c r="AD36" s="55"/>
      <c r="AE36" s="55"/>
      <c r="AF36" s="55"/>
      <c r="AG36" s="55"/>
      <c r="AH36" s="55"/>
      <c r="AI36" s="55"/>
      <c r="AJ36" s="55"/>
    </row>
    <row r="37" customFormat="false" ht="12.75" hidden="false" customHeight="false" outlineLevel="0" collapsed="false">
      <c r="B37" s="55"/>
      <c r="C37" s="55"/>
      <c r="D37" s="55"/>
      <c r="E37" s="55"/>
      <c r="F37" s="55"/>
      <c r="G37" s="55"/>
      <c r="H37" s="55"/>
      <c r="I37" s="55"/>
      <c r="J37" s="55"/>
      <c r="K37" s="55"/>
      <c r="L37" s="55"/>
      <c r="M37" s="55"/>
      <c r="N37" s="55"/>
      <c r="O37" s="55"/>
      <c r="P37" s="55"/>
      <c r="Q37" s="55"/>
      <c r="R37" s="55"/>
      <c r="S37" s="55"/>
      <c r="T37" s="55"/>
      <c r="U37" s="55"/>
      <c r="V37" s="55"/>
      <c r="W37" s="55"/>
      <c r="X37" s="55"/>
      <c r="Y37" s="55"/>
      <c r="Z37" s="55"/>
      <c r="AA37" s="55"/>
      <c r="AB37" s="55"/>
      <c r="AC37" s="55"/>
      <c r="AD37" s="55"/>
      <c r="AE37" s="55"/>
      <c r="AF37" s="55"/>
      <c r="AG37" s="55"/>
      <c r="AH37" s="55"/>
      <c r="AI37" s="55"/>
      <c r="AJ37" s="55"/>
    </row>
    <row r="38" customFormat="false" ht="12.75" hidden="false" customHeight="false" outlineLevel="0" collapsed="false">
      <c r="B38" s="55"/>
      <c r="C38" s="55"/>
      <c r="D38" s="55"/>
      <c r="E38" s="55"/>
      <c r="F38" s="55"/>
      <c r="G38" s="58" t="s">
        <v>85</v>
      </c>
      <c r="H38" s="58" t="s">
        <v>84</v>
      </c>
      <c r="I38" s="55" t="n">
        <v>11.0160916995048</v>
      </c>
      <c r="J38" s="55"/>
      <c r="K38" s="55"/>
      <c r="L38" s="58" t="s">
        <v>86</v>
      </c>
      <c r="M38" s="58" t="s">
        <v>84</v>
      </c>
      <c r="N38" s="55" t="n">
        <v>9.64976110242627</v>
      </c>
      <c r="O38" s="55"/>
      <c r="P38" s="55"/>
      <c r="Q38" s="55"/>
      <c r="R38" s="55"/>
      <c r="S38" s="55"/>
      <c r="T38" s="55"/>
      <c r="U38" s="55"/>
      <c r="V38" s="55"/>
      <c r="W38" s="55"/>
      <c r="X38" s="55"/>
      <c r="Y38" s="55"/>
      <c r="Z38" s="55"/>
      <c r="AA38" s="55"/>
      <c r="AB38" s="55"/>
      <c r="AC38" s="55"/>
      <c r="AD38" s="55"/>
      <c r="AE38" s="55"/>
      <c r="AF38" s="55"/>
      <c r="AG38" s="55"/>
      <c r="AH38" s="55"/>
      <c r="AI38" s="55"/>
      <c r="AJ38" s="55"/>
    </row>
    <row r="39" customFormat="false" ht="12.75" hidden="false" customHeight="false" outlineLevel="0" collapsed="false">
      <c r="B39" s="55"/>
      <c r="C39" s="55"/>
      <c r="D39" s="59" t="s">
        <v>87</v>
      </c>
      <c r="E39" s="59"/>
      <c r="F39" s="55"/>
      <c r="G39" s="55"/>
      <c r="H39" s="55"/>
      <c r="I39" s="55"/>
      <c r="J39" s="55"/>
      <c r="K39" s="55"/>
      <c r="L39" s="55"/>
      <c r="M39" s="55"/>
      <c r="N39" s="55"/>
      <c r="O39" s="55"/>
      <c r="P39" s="55"/>
      <c r="Q39" s="55"/>
      <c r="R39" s="55"/>
      <c r="S39" s="55"/>
      <c r="T39" s="55"/>
      <c r="U39" s="55"/>
      <c r="V39" s="55"/>
      <c r="W39" s="55"/>
      <c r="X39" s="55"/>
      <c r="Y39" s="55"/>
      <c r="Z39" s="55"/>
      <c r="AA39" s="55"/>
      <c r="AB39" s="55"/>
      <c r="AC39" s="55"/>
      <c r="AD39" s="55"/>
      <c r="AE39" s="55"/>
      <c r="AF39" s="55"/>
      <c r="AG39" s="55"/>
      <c r="AH39" s="55"/>
      <c r="AI39" s="55"/>
      <c r="AJ39" s="55"/>
    </row>
    <row r="40" customFormat="false" ht="47.25" hidden="false" customHeight="true" outlineLevel="0" collapsed="false">
      <c r="A40" s="60" t="s">
        <v>88</v>
      </c>
      <c r="B40" s="55"/>
      <c r="C40" s="61" t="s">
        <v>89</v>
      </c>
      <c r="D40" s="62" t="s">
        <v>90</v>
      </c>
      <c r="E40" s="62" t="s">
        <v>91</v>
      </c>
      <c r="I40" s="63" t="s">
        <v>92</v>
      </c>
      <c r="J40" s="55"/>
      <c r="N40" s="55"/>
      <c r="O40" s="55"/>
      <c r="P40" s="55"/>
      <c r="Q40" s="55"/>
      <c r="R40" s="55"/>
      <c r="S40" s="55"/>
      <c r="T40" s="55"/>
      <c r="U40" s="55"/>
      <c r="V40" s="55"/>
      <c r="W40" s="55"/>
      <c r="X40" s="55"/>
      <c r="Y40" s="55"/>
      <c r="Z40" s="55"/>
      <c r="AA40" s="55"/>
      <c r="AB40" s="55"/>
      <c r="AC40" s="55"/>
      <c r="AD40" s="55"/>
      <c r="AE40" s="55"/>
      <c r="AF40" s="55"/>
      <c r="AG40" s="55"/>
      <c r="AH40" s="55"/>
      <c r="AI40" s="55"/>
      <c r="AJ40" s="55"/>
    </row>
    <row r="41" customFormat="false" ht="12.75" hidden="false" customHeight="false" outlineLevel="0" collapsed="false">
      <c r="A41" s="0" t="s">
        <v>16</v>
      </c>
      <c r="B41" s="55" t="s">
        <v>22</v>
      </c>
      <c r="C41" s="64" t="n">
        <v>16</v>
      </c>
      <c r="D41" s="65" t="n">
        <f aca="false">'[11]Summary TOU'!$D$72</f>
        <v>19.6331105208825</v>
      </c>
      <c r="E41" s="65" t="n">
        <f aca="false">'[11]Summary TOU'!$D$41</f>
        <v>5.52229219452238</v>
      </c>
      <c r="I41" s="66" t="n">
        <f aca="false">$I$47/$D$47*D41</f>
        <v>21.6369287420108</v>
      </c>
      <c r="J41" s="55"/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  <c r="AA41" s="55"/>
      <c r="AB41" s="55"/>
      <c r="AC41" s="55"/>
      <c r="AD41" s="55"/>
      <c r="AE41" s="55"/>
      <c r="AF41" s="55"/>
      <c r="AG41" s="55"/>
      <c r="AH41" s="55"/>
      <c r="AI41" s="55"/>
      <c r="AJ41" s="55"/>
    </row>
    <row r="42" customFormat="false" ht="12.75" hidden="false" customHeight="false" outlineLevel="0" collapsed="false">
      <c r="A42" s="0"/>
      <c r="B42" s="55" t="s">
        <v>67</v>
      </c>
      <c r="C42" s="64" t="n">
        <v>12</v>
      </c>
      <c r="D42" s="65" t="n">
        <f aca="false">'[11]Summary TOU'!$E$72</f>
        <v>14.5252927722231</v>
      </c>
      <c r="E42" s="65" t="n">
        <f aca="false">'[11]Summary TOU'!$E$41</f>
        <v>4.42632224366799</v>
      </c>
      <c r="I42" s="66" t="n">
        <f aca="false">$I$47/$D$47*D42</f>
        <v>16.0077907336767</v>
      </c>
      <c r="J42" s="55"/>
      <c r="N42" s="55"/>
      <c r="O42" s="55"/>
      <c r="P42" s="55"/>
      <c r="Q42" s="55"/>
      <c r="R42" s="55"/>
      <c r="S42" s="55"/>
      <c r="T42" s="55"/>
      <c r="U42" s="55"/>
      <c r="V42" s="55"/>
      <c r="W42" s="55"/>
      <c r="X42" s="55"/>
      <c r="Y42" s="55"/>
      <c r="Z42" s="55"/>
      <c r="AA42" s="55"/>
      <c r="AB42" s="55"/>
      <c r="AC42" s="55"/>
      <c r="AD42" s="55"/>
      <c r="AE42" s="55"/>
      <c r="AF42" s="55"/>
      <c r="AG42" s="55"/>
      <c r="AH42" s="55"/>
      <c r="AI42" s="55"/>
      <c r="AJ42" s="55"/>
    </row>
    <row r="43" customFormat="false" ht="12.75" hidden="false" customHeight="false" outlineLevel="0" collapsed="false">
      <c r="A43" s="0"/>
      <c r="B43" s="55" t="s">
        <v>24</v>
      </c>
      <c r="C43" s="64" t="n">
        <v>8</v>
      </c>
      <c r="D43" s="65" t="n">
        <f aca="false">'[11]Summary TOU'!$F$72</f>
        <v>9.78640789836039</v>
      </c>
      <c r="E43" s="65" t="n">
        <f aca="false">'[11]Summary TOU'!$F$41</f>
        <v>3.19420062104008</v>
      </c>
      <c r="I43" s="66" t="n">
        <f aca="false">$I$47/$D$47*D43</f>
        <v>10.785240072471</v>
      </c>
      <c r="J43" s="55"/>
      <c r="N43" s="55"/>
      <c r="O43" s="55"/>
      <c r="P43" s="55"/>
      <c r="Q43" s="55"/>
      <c r="R43" s="55"/>
      <c r="S43" s="55"/>
      <c r="T43" s="55"/>
      <c r="U43" s="55"/>
      <c r="V43" s="55"/>
      <c r="W43" s="55"/>
      <c r="X43" s="55"/>
      <c r="Y43" s="55"/>
      <c r="Z43" s="55"/>
      <c r="AA43" s="55"/>
      <c r="AB43" s="55"/>
      <c r="AC43" s="55"/>
      <c r="AD43" s="55"/>
      <c r="AE43" s="55"/>
      <c r="AF43" s="55"/>
      <c r="AG43" s="55"/>
      <c r="AH43" s="55"/>
      <c r="AI43" s="55"/>
      <c r="AJ43" s="55"/>
    </row>
    <row r="44" customFormat="false" ht="12.75" hidden="false" customHeight="false" outlineLevel="0" collapsed="false">
      <c r="A44" s="0" t="s">
        <v>19</v>
      </c>
      <c r="B44" s="55" t="s">
        <v>67</v>
      </c>
      <c r="C44" s="67" t="n">
        <v>10.5</v>
      </c>
      <c r="D44" s="65" t="n">
        <f aca="false">'[11]Summary TOU'!$E$73</f>
        <v>11.0160916995048</v>
      </c>
      <c r="E44" s="65" t="n">
        <f aca="false">'[11]Summary TOU'!$E$42</f>
        <v>3.7336130381217</v>
      </c>
      <c r="I44" s="66" t="n">
        <f aca="false">$I$47/$D$47*D44</f>
        <v>12.1404293458297</v>
      </c>
      <c r="J44" s="55"/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55"/>
      <c r="Y44" s="55"/>
      <c r="Z44" s="55"/>
      <c r="AA44" s="55"/>
      <c r="AB44" s="55"/>
      <c r="AC44" s="55"/>
      <c r="AD44" s="55"/>
      <c r="AE44" s="55"/>
      <c r="AF44" s="55"/>
      <c r="AG44" s="55"/>
      <c r="AH44" s="55"/>
      <c r="AI44" s="55"/>
      <c r="AJ44" s="55"/>
    </row>
    <row r="45" customFormat="false" ht="12.75" hidden="false" customHeight="false" outlineLevel="0" collapsed="false">
      <c r="A45" s="0"/>
      <c r="B45" s="55" t="s">
        <v>24</v>
      </c>
      <c r="C45" s="64" t="n">
        <v>9</v>
      </c>
      <c r="D45" s="65" t="n">
        <f aca="false">'[11]Summary TOU'!$F$73</f>
        <v>9.64976110242627</v>
      </c>
      <c r="E45" s="65" t="n">
        <f aca="false">'[11]Summary TOU'!$F$42</f>
        <v>3.07065777082019</v>
      </c>
      <c r="I45" s="66" t="n">
        <f aca="false">$I$47/$D$47*D45</f>
        <v>10.6346466663316</v>
      </c>
      <c r="J45" s="55"/>
      <c r="N45" s="55"/>
      <c r="O45" s="55"/>
      <c r="P45" s="55"/>
      <c r="Q45" s="55"/>
      <c r="R45" s="55"/>
      <c r="S45" s="55"/>
      <c r="T45" s="55"/>
      <c r="U45" s="55"/>
      <c r="V45" s="55"/>
      <c r="W45" s="55"/>
      <c r="X45" s="55"/>
      <c r="Y45" s="55"/>
      <c r="Z45" s="55"/>
      <c r="AA45" s="55"/>
      <c r="AB45" s="55"/>
      <c r="AC45" s="55"/>
      <c r="AD45" s="55"/>
      <c r="AE45" s="55"/>
      <c r="AF45" s="55"/>
      <c r="AG45" s="55"/>
      <c r="AH45" s="55"/>
      <c r="AI45" s="55"/>
      <c r="AJ45" s="55"/>
    </row>
    <row r="46" customFormat="false" ht="12.75" hidden="false" customHeight="false" outlineLevel="0" collapsed="false">
      <c r="B46" s="55"/>
      <c r="C46" s="68"/>
      <c r="D46" s="65"/>
      <c r="E46" s="69"/>
      <c r="I46" s="66"/>
      <c r="J46" s="55"/>
      <c r="N46" s="55"/>
      <c r="O46" s="55"/>
      <c r="P46" s="55"/>
      <c r="Q46" s="55"/>
      <c r="R46" s="55"/>
      <c r="S46" s="55"/>
      <c r="T46" s="55"/>
      <c r="U46" s="55"/>
      <c r="V46" s="55"/>
      <c r="W46" s="55"/>
      <c r="X46" s="55"/>
      <c r="Y46" s="55"/>
      <c r="Z46" s="55"/>
      <c r="AA46" s="55"/>
      <c r="AB46" s="55"/>
      <c r="AC46" s="55"/>
      <c r="AD46" s="55"/>
      <c r="AE46" s="55"/>
      <c r="AF46" s="55"/>
      <c r="AG46" s="55"/>
      <c r="AH46" s="55"/>
      <c r="AI46" s="55"/>
      <c r="AJ46" s="55"/>
    </row>
    <row r="47" customFormat="false" ht="12.75" hidden="false" customHeight="false" outlineLevel="0" collapsed="false">
      <c r="A47" s="44" t="s">
        <v>93</v>
      </c>
      <c r="B47" s="55"/>
      <c r="C47" s="68" t="n">
        <v>10</v>
      </c>
      <c r="D47" s="65" t="n">
        <f aca="false">'[11]Summary TOU'!$B$74</f>
        <v>11.7314719497765</v>
      </c>
      <c r="E47" s="65" t="n">
        <f aca="false">'[11]Summary TOU'!$B$38</f>
        <v>3.69763177382989</v>
      </c>
      <c r="I47" s="70" t="n">
        <f aca="false">C7</f>
        <v>12.9288235985951</v>
      </c>
      <c r="J47" s="55"/>
      <c r="N47" s="55"/>
      <c r="O47" s="55"/>
      <c r="P47" s="55"/>
      <c r="Q47" s="55"/>
      <c r="R47" s="55"/>
      <c r="S47" s="55"/>
      <c r="T47" s="55"/>
      <c r="U47" s="55"/>
      <c r="V47" s="55"/>
      <c r="W47" s="55"/>
      <c r="X47" s="55"/>
      <c r="Y47" s="55"/>
      <c r="Z47" s="55"/>
      <c r="AA47" s="55"/>
      <c r="AB47" s="55"/>
      <c r="AC47" s="55"/>
      <c r="AD47" s="55"/>
      <c r="AE47" s="55"/>
      <c r="AF47" s="55"/>
      <c r="AG47" s="55"/>
      <c r="AH47" s="55"/>
      <c r="AI47" s="55"/>
      <c r="AJ47" s="55"/>
    </row>
    <row r="48" customFormat="false" ht="12.75" hidden="false" customHeight="false" outlineLevel="0" collapsed="false">
      <c r="B48" s="55"/>
      <c r="C48" s="55"/>
      <c r="D48" s="55"/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5"/>
      <c r="AC48" s="55"/>
      <c r="AD48" s="55"/>
      <c r="AE48" s="55"/>
      <c r="AF48" s="55"/>
      <c r="AG48" s="55"/>
      <c r="AH48" s="55"/>
      <c r="AI48" s="55"/>
      <c r="AJ48" s="55"/>
    </row>
    <row r="49" customFormat="false" ht="12.75" hidden="false" customHeight="false" outlineLevel="0" collapsed="false">
      <c r="A49" s="44" t="s">
        <v>94</v>
      </c>
      <c r="B49" s="55"/>
      <c r="C49" s="55" t="n">
        <f aca="false">C41/$C$41</f>
        <v>1</v>
      </c>
      <c r="D49" s="55" t="n">
        <f aca="false">D41/$D$45</f>
        <v>2.03456959322507</v>
      </c>
      <c r="E49" s="55" t="n">
        <f aca="false">E41/$E$41</f>
        <v>1</v>
      </c>
      <c r="F49" s="55"/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55"/>
      <c r="AA49" s="55"/>
      <c r="AB49" s="55"/>
      <c r="AC49" s="55"/>
      <c r="AD49" s="55"/>
      <c r="AE49" s="55"/>
      <c r="AF49" s="55"/>
      <c r="AG49" s="55"/>
      <c r="AH49" s="55"/>
      <c r="AI49" s="55"/>
      <c r="AJ49" s="55"/>
    </row>
    <row r="50" customFormat="false" ht="12.75" hidden="false" customHeight="false" outlineLevel="0" collapsed="false">
      <c r="B50" s="55"/>
      <c r="C50" s="55" t="n">
        <f aca="false">C42/$C$41</f>
        <v>0.75</v>
      </c>
      <c r="D50" s="55" t="n">
        <f aca="false">D42/$D$45</f>
        <v>1.50524895052282</v>
      </c>
      <c r="E50" s="55" t="n">
        <f aca="false">E42/$E$41</f>
        <v>0.801537131276485</v>
      </c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5"/>
      <c r="AC50" s="55"/>
      <c r="AD50" s="55"/>
      <c r="AE50" s="55"/>
      <c r="AF50" s="55"/>
      <c r="AG50" s="55"/>
      <c r="AH50" s="55"/>
      <c r="AI50" s="55"/>
      <c r="AJ50" s="55"/>
    </row>
    <row r="51" customFormat="false" ht="12.75" hidden="false" customHeight="false" outlineLevel="0" collapsed="false">
      <c r="B51" s="55"/>
      <c r="C51" s="55" t="n">
        <f aca="false">C43/$C$41</f>
        <v>0.5</v>
      </c>
      <c r="D51" s="55" t="n">
        <f aca="false">D43/$D$45</f>
        <v>1.01416064029811</v>
      </c>
      <c r="E51" s="55" t="n">
        <f aca="false">E43/$E$41</f>
        <v>0.578419342643339</v>
      </c>
      <c r="F51" s="55"/>
      <c r="G51" s="55"/>
      <c r="H51" s="55"/>
      <c r="I51" s="55"/>
      <c r="J51" s="55"/>
      <c r="K51" s="55"/>
      <c r="L51" s="55"/>
      <c r="M51" s="55"/>
      <c r="N51" s="55"/>
      <c r="O51" s="55"/>
      <c r="P51" s="55"/>
      <c r="Q51" s="55"/>
      <c r="R51" s="55"/>
      <c r="S51" s="55"/>
      <c r="T51" s="55"/>
      <c r="U51" s="55"/>
      <c r="V51" s="55"/>
      <c r="W51" s="55"/>
      <c r="X51" s="55"/>
      <c r="Y51" s="55"/>
      <c r="Z51" s="55"/>
      <c r="AA51" s="55"/>
      <c r="AB51" s="55"/>
      <c r="AC51" s="55"/>
      <c r="AD51" s="55"/>
      <c r="AE51" s="55"/>
      <c r="AF51" s="55"/>
      <c r="AG51" s="55"/>
      <c r="AH51" s="55"/>
      <c r="AI51" s="55"/>
      <c r="AJ51" s="55"/>
    </row>
    <row r="52" customFormat="false" ht="12.75" hidden="false" customHeight="false" outlineLevel="0" collapsed="false">
      <c r="B52" s="55"/>
      <c r="C52" s="55" t="n">
        <f aca="false">C44/$C$41</f>
        <v>0.65625</v>
      </c>
      <c r="D52" s="55" t="n">
        <f aca="false">D44/$D$45</f>
        <v>1.1415921681973</v>
      </c>
      <c r="E52" s="55" t="n">
        <f aca="false">E44/$E$41</f>
        <v>0.676098421924343</v>
      </c>
      <c r="F52" s="55"/>
      <c r="G52" s="55"/>
      <c r="H52" s="55"/>
      <c r="I52" s="55"/>
      <c r="J52" s="55"/>
      <c r="K52" s="55"/>
      <c r="L52" s="55"/>
      <c r="M52" s="55"/>
      <c r="N52" s="55"/>
      <c r="O52" s="55"/>
      <c r="P52" s="55"/>
      <c r="Q52" s="55"/>
      <c r="R52" s="55"/>
      <c r="S52" s="55"/>
      <c r="T52" s="55"/>
      <c r="U52" s="55"/>
      <c r="V52" s="55"/>
      <c r="W52" s="55"/>
      <c r="X52" s="55"/>
      <c r="Y52" s="55"/>
      <c r="Z52" s="55"/>
      <c r="AA52" s="55"/>
      <c r="AB52" s="55"/>
      <c r="AC52" s="55"/>
      <c r="AD52" s="55"/>
      <c r="AE52" s="55"/>
      <c r="AF52" s="55"/>
      <c r="AG52" s="55"/>
      <c r="AH52" s="55"/>
      <c r="AI52" s="55"/>
      <c r="AJ52" s="55"/>
    </row>
    <row r="53" customFormat="false" ht="12.75" hidden="false" customHeight="false" outlineLevel="0" collapsed="false">
      <c r="B53" s="55"/>
      <c r="C53" s="55" t="n">
        <f aca="false">C45/$C$41</f>
        <v>0.5625</v>
      </c>
      <c r="D53" s="55" t="n">
        <f aca="false">D45/$D$45</f>
        <v>1</v>
      </c>
      <c r="E53" s="55" t="n">
        <f aca="false">E45/$E$41</f>
        <v>0.556047681407734</v>
      </c>
      <c r="F53" s="55"/>
      <c r="G53" s="55"/>
      <c r="H53" s="55"/>
      <c r="I53" s="55"/>
      <c r="J53" s="55"/>
      <c r="K53" s="55"/>
      <c r="L53" s="55"/>
      <c r="M53" s="55"/>
      <c r="N53" s="55"/>
      <c r="O53" s="55"/>
      <c r="P53" s="55"/>
      <c r="Q53" s="55"/>
      <c r="R53" s="55"/>
      <c r="S53" s="55"/>
      <c r="T53" s="55"/>
      <c r="U53" s="55"/>
      <c r="V53" s="55"/>
      <c r="W53" s="55"/>
      <c r="X53" s="55"/>
      <c r="Y53" s="55"/>
      <c r="Z53" s="55"/>
      <c r="AA53" s="55"/>
      <c r="AB53" s="55"/>
      <c r="AC53" s="55"/>
      <c r="AD53" s="55"/>
      <c r="AE53" s="55"/>
      <c r="AF53" s="55"/>
      <c r="AG53" s="55"/>
      <c r="AH53" s="55"/>
      <c r="AI53" s="55"/>
      <c r="AJ53" s="55"/>
    </row>
  </sheetData>
  <mergeCells count="1">
    <mergeCell ref="D39:E39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
&amp;T&amp;R&amp;F
&amp;A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34"/>
  <sheetViews>
    <sheetView showFormulas="false" showGridLines="true" showRowColHeaders="true" showZeros="true" rightToLeft="false" tabSelected="false" showOutlineSymbols="true" defaultGridColor="true" view="normal" topLeftCell="A21" colorId="64" zoomScale="100" zoomScaleNormal="100" zoomScalePageLayoutView="100" workbookViewId="0">
      <selection pane="topLeft" activeCell="N33" activeCellId="0" sqref="N3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7.7"/>
    <col collapsed="false" customWidth="true" hidden="true" outlineLevel="0" max="9" min="6" style="0" width="9.14"/>
    <col collapsed="false" customWidth="true" hidden="false" outlineLevel="0" max="11" min="11" style="0" width="9.7"/>
  </cols>
  <sheetData>
    <row r="1" customFormat="false" ht="13.5" hidden="false" customHeight="false" outlineLevel="0" collapsed="false">
      <c r="F1" s="0" t="s">
        <v>95</v>
      </c>
      <c r="G1" s="0" t="s">
        <v>96</v>
      </c>
      <c r="H1" s="0" t="s">
        <v>97</v>
      </c>
      <c r="J1" s="71" t="s">
        <v>95</v>
      </c>
      <c r="K1" s="72" t="s">
        <v>96</v>
      </c>
      <c r="L1" s="45" t="s">
        <v>97</v>
      </c>
    </row>
    <row r="2" customFormat="false" ht="13.5" hidden="false" customHeight="false" outlineLevel="0" collapsed="false">
      <c r="A2" s="73" t="n">
        <v>36977</v>
      </c>
      <c r="B2" s="74" t="s">
        <v>98</v>
      </c>
      <c r="C2" s="75" t="n">
        <v>3520</v>
      </c>
      <c r="D2" s="76" t="n">
        <v>251.24</v>
      </c>
      <c r="F2" s="73" t="n">
        <f aca="false">A2</f>
        <v>36977</v>
      </c>
      <c r="G2" s="77" t="n">
        <f aca="false">C5</f>
        <v>62373</v>
      </c>
      <c r="H2" s="78" t="n">
        <f aca="false">D5</f>
        <v>165.024576820098</v>
      </c>
      <c r="J2" s="71" t="n">
        <v>36977</v>
      </c>
      <c r="K2" s="72" t="n">
        <v>62373</v>
      </c>
      <c r="L2" s="45" t="n">
        <v>165.024576820098</v>
      </c>
    </row>
    <row r="3" customFormat="false" ht="26.25" hidden="false" customHeight="false" outlineLevel="0" collapsed="false">
      <c r="B3" s="74" t="s">
        <v>99</v>
      </c>
      <c r="C3" s="75" t="n">
        <v>7376</v>
      </c>
      <c r="D3" s="76" t="n">
        <v>147.99</v>
      </c>
      <c r="J3" s="71" t="n">
        <v>36976</v>
      </c>
      <c r="K3" s="72" t="n">
        <v>59757</v>
      </c>
      <c r="L3" s="45" t="n">
        <v>147.811491875429</v>
      </c>
    </row>
    <row r="4" customFormat="false" ht="26.25" hidden="false" customHeight="false" outlineLevel="0" collapsed="false">
      <c r="B4" s="74" t="s">
        <v>100</v>
      </c>
      <c r="C4" s="75" t="n">
        <v>51477</v>
      </c>
      <c r="D4" s="76" t="n">
        <v>161.57</v>
      </c>
      <c r="J4" s="71" t="n">
        <v>36975</v>
      </c>
      <c r="K4" s="72" t="n">
        <v>49319</v>
      </c>
      <c r="L4" s="45" t="n">
        <v>141.106190920335</v>
      </c>
    </row>
    <row r="5" customFormat="false" ht="12.75" hidden="false" customHeight="false" outlineLevel="0" collapsed="false">
      <c r="C5" s="77" t="n">
        <f aca="false">SUM(C2:C4)</f>
        <v>62373</v>
      </c>
      <c r="D5" s="78" t="n">
        <f aca="false">(C2*D2+C3*D3+C4*D4)/C5</f>
        <v>165.024576820098</v>
      </c>
      <c r="J5" s="71" t="n">
        <v>36974</v>
      </c>
      <c r="K5" s="72" t="n">
        <v>66674</v>
      </c>
      <c r="L5" s="45" t="n">
        <v>233.868674595795</v>
      </c>
    </row>
    <row r="6" customFormat="false" ht="13.5" hidden="false" customHeight="false" outlineLevel="0" collapsed="false">
      <c r="F6" s="73"/>
      <c r="G6" s="77"/>
      <c r="H6" s="78"/>
      <c r="J6" s="71" t="n">
        <v>36973</v>
      </c>
      <c r="K6" s="72" t="n">
        <v>104672</v>
      </c>
      <c r="L6" s="45" t="n">
        <v>348.224618140477</v>
      </c>
    </row>
    <row r="7" customFormat="false" ht="13.5" hidden="false" customHeight="false" outlineLevel="0" collapsed="false">
      <c r="A7" s="73" t="n">
        <v>36976</v>
      </c>
      <c r="B7" s="74" t="s">
        <v>98</v>
      </c>
      <c r="C7" s="75" t="n">
        <v>3052</v>
      </c>
      <c r="D7" s="76" t="n">
        <v>322.26</v>
      </c>
      <c r="F7" s="73" t="n">
        <f aca="false">A7</f>
        <v>36976</v>
      </c>
      <c r="G7" s="77" t="n">
        <f aca="false">C10</f>
        <v>59757</v>
      </c>
      <c r="H7" s="78" t="n">
        <f aca="false">D10</f>
        <v>147.811491875429</v>
      </c>
      <c r="J7" s="71" t="n">
        <v>36972</v>
      </c>
      <c r="K7" s="72" t="n">
        <v>5778</v>
      </c>
      <c r="L7" s="45" t="n">
        <v>219.452367601246</v>
      </c>
    </row>
    <row r="8" customFormat="false" ht="26.25" hidden="false" customHeight="false" outlineLevel="0" collapsed="false">
      <c r="B8" s="74" t="s">
        <v>99</v>
      </c>
      <c r="C8" s="75" t="n">
        <v>1915</v>
      </c>
      <c r="D8" s="76" t="n">
        <v>141.92</v>
      </c>
      <c r="J8" s="71" t="n">
        <v>36971</v>
      </c>
      <c r="K8" s="72" t="n">
        <v>134286</v>
      </c>
      <c r="L8" s="45" t="n">
        <v>462.161392773632</v>
      </c>
    </row>
    <row r="9" customFormat="false" ht="26.25" hidden="false" customHeight="false" outlineLevel="0" collapsed="false">
      <c r="B9" s="74" t="s">
        <v>100</v>
      </c>
      <c r="C9" s="75" t="n">
        <v>54790</v>
      </c>
      <c r="D9" s="76" t="n">
        <v>138.3</v>
      </c>
      <c r="J9" s="71" t="n">
        <v>36970</v>
      </c>
      <c r="K9" s="72" t="n">
        <v>110272</v>
      </c>
      <c r="L9" s="45" t="n">
        <v>392.428481572838</v>
      </c>
    </row>
    <row r="10" customFormat="false" ht="12.75" hidden="false" customHeight="false" outlineLevel="0" collapsed="false">
      <c r="C10" s="77" t="n">
        <f aca="false">SUM(C7:C9)</f>
        <v>59757</v>
      </c>
      <c r="D10" s="78" t="n">
        <f aca="false">(C7*D7+C8*D8+C9*D9)/C10</f>
        <v>147.811491875429</v>
      </c>
      <c r="J10" s="71" t="n">
        <v>36969</v>
      </c>
      <c r="K10" s="72" t="n">
        <v>108805</v>
      </c>
      <c r="L10" s="45" t="n">
        <v>356.193350673223</v>
      </c>
    </row>
    <row r="11" customFormat="false" ht="13.5" hidden="false" customHeight="false" outlineLevel="0" collapsed="false">
      <c r="J11" s="71" t="n">
        <v>36968</v>
      </c>
      <c r="K11" s="72" t="n">
        <v>71459</v>
      </c>
      <c r="L11" s="45" t="n">
        <v>296.309203179446</v>
      </c>
    </row>
    <row r="12" customFormat="false" ht="13.5" hidden="false" customHeight="false" outlineLevel="0" collapsed="false">
      <c r="A12" s="73" t="n">
        <v>36975</v>
      </c>
      <c r="B12" s="74" t="s">
        <v>98</v>
      </c>
      <c r="C12" s="75" t="n">
        <v>1052</v>
      </c>
      <c r="D12" s="76" t="n">
        <v>292.79</v>
      </c>
      <c r="F12" s="73" t="n">
        <f aca="false">A12</f>
        <v>36975</v>
      </c>
      <c r="G12" s="77" t="n">
        <f aca="false">C15</f>
        <v>49319</v>
      </c>
      <c r="H12" s="78" t="n">
        <f aca="false">D15</f>
        <v>141.106190920335</v>
      </c>
      <c r="J12" s="71" t="n">
        <v>36967</v>
      </c>
      <c r="K12" s="72" t="n">
        <v>57840</v>
      </c>
      <c r="L12" s="45" t="n">
        <v>290.701920643154</v>
      </c>
    </row>
    <row r="13" customFormat="false" ht="26.25" hidden="false" customHeight="false" outlineLevel="0" collapsed="false">
      <c r="B13" s="74" t="s">
        <v>99</v>
      </c>
      <c r="C13" s="75" t="n">
        <v>1755</v>
      </c>
      <c r="D13" s="76" t="n">
        <v>139.13</v>
      </c>
      <c r="J13" s="71" t="n">
        <v>36966</v>
      </c>
      <c r="K13" s="72" t="n">
        <v>60918</v>
      </c>
      <c r="L13" s="45" t="n">
        <v>344.841968219574</v>
      </c>
    </row>
    <row r="14" customFormat="false" ht="26.25" hidden="false" customHeight="false" outlineLevel="0" collapsed="false">
      <c r="B14" s="74" t="s">
        <v>100</v>
      </c>
      <c r="C14" s="75" t="n">
        <v>46512</v>
      </c>
      <c r="D14" s="76" t="n">
        <v>137.75</v>
      </c>
      <c r="J14" s="71" t="n">
        <v>36965</v>
      </c>
      <c r="K14" s="72" t="n">
        <v>79630</v>
      </c>
      <c r="L14" s="45" t="n">
        <v>279.339695843275</v>
      </c>
    </row>
    <row r="15" customFormat="false" ht="12.75" hidden="false" customHeight="false" outlineLevel="0" collapsed="false">
      <c r="C15" s="77" t="n">
        <f aca="false">SUM(C12:C14)</f>
        <v>49319</v>
      </c>
      <c r="D15" s="78" t="n">
        <f aca="false">(C12*D12+C13*D13+C14*D14)/C15</f>
        <v>141.106190920335</v>
      </c>
      <c r="J15" s="71" t="n">
        <v>36964</v>
      </c>
      <c r="K15" s="72" t="n">
        <v>90260</v>
      </c>
      <c r="L15" s="45" t="n">
        <v>255.515701307334</v>
      </c>
    </row>
    <row r="16" customFormat="false" ht="13.5" hidden="false" customHeight="false" outlineLevel="0" collapsed="false">
      <c r="J16" s="71" t="n">
        <v>36963</v>
      </c>
      <c r="K16" s="72" t="n">
        <v>85006</v>
      </c>
      <c r="L16" s="45" t="n">
        <v>254.504913653154</v>
      </c>
    </row>
    <row r="17" customFormat="false" ht="13.5" hidden="false" customHeight="false" outlineLevel="0" collapsed="false">
      <c r="A17" s="73" t="n">
        <v>36974</v>
      </c>
      <c r="B17" s="74" t="s">
        <v>98</v>
      </c>
      <c r="C17" s="75" t="n">
        <v>1400</v>
      </c>
      <c r="D17" s="76" t="n">
        <v>278.63</v>
      </c>
      <c r="F17" s="73" t="n">
        <f aca="false">A17</f>
        <v>36974</v>
      </c>
      <c r="G17" s="77" t="n">
        <f aca="false">C20</f>
        <v>66674</v>
      </c>
      <c r="H17" s="78" t="n">
        <f aca="false">D20</f>
        <v>233.868674595795</v>
      </c>
      <c r="J17" s="71" t="n">
        <v>36962</v>
      </c>
      <c r="K17" s="72" t="n">
        <v>77306</v>
      </c>
      <c r="L17" s="45" t="n">
        <v>251.481578532067</v>
      </c>
    </row>
    <row r="18" customFormat="false" ht="26.25" hidden="false" customHeight="false" outlineLevel="0" collapsed="false">
      <c r="B18" s="74" t="s">
        <v>99</v>
      </c>
      <c r="C18" s="79" t="n">
        <v>809</v>
      </c>
      <c r="D18" s="76" t="n">
        <v>146.74</v>
      </c>
      <c r="J18" s="71" t="n">
        <v>36961</v>
      </c>
      <c r="K18" s="72" t="n">
        <v>52469</v>
      </c>
      <c r="L18" s="45" t="n">
        <v>228.996048333302</v>
      </c>
    </row>
    <row r="19" customFormat="false" ht="26.25" hidden="false" customHeight="false" outlineLevel="0" collapsed="false">
      <c r="B19" s="74" t="s">
        <v>100</v>
      </c>
      <c r="C19" s="75" t="n">
        <v>64465</v>
      </c>
      <c r="D19" s="76" t="n">
        <v>233.99</v>
      </c>
      <c r="J19" s="71" t="n">
        <v>36960</v>
      </c>
      <c r="K19" s="72" t="n">
        <v>91098</v>
      </c>
      <c r="L19" s="45" t="n">
        <v>254.826506289929</v>
      </c>
    </row>
    <row r="20" customFormat="false" ht="12.75" hidden="false" customHeight="false" outlineLevel="0" collapsed="false">
      <c r="C20" s="77" t="n">
        <f aca="false">SUM(C17:C19)</f>
        <v>66674</v>
      </c>
      <c r="D20" s="78" t="n">
        <f aca="false">(C17*D17+C18*D18+C19*D19)/C20</f>
        <v>233.868674595795</v>
      </c>
      <c r="J20" s="71" t="n">
        <v>36959</v>
      </c>
      <c r="K20" s="72" t="n">
        <v>83924</v>
      </c>
      <c r="L20" s="45" t="n">
        <v>314.859004933035</v>
      </c>
    </row>
    <row r="21" customFormat="false" ht="13.5" hidden="false" customHeight="false" outlineLevel="0" collapsed="false">
      <c r="J21" s="71" t="n">
        <v>36958</v>
      </c>
      <c r="K21" s="72" t="n">
        <v>131066</v>
      </c>
      <c r="L21" s="45" t="n">
        <v>356.120967451513</v>
      </c>
    </row>
    <row r="22" customFormat="false" ht="13.5" hidden="false" customHeight="false" outlineLevel="0" collapsed="false">
      <c r="A22" s="73" t="n">
        <v>36973</v>
      </c>
      <c r="B22" s="74" t="s">
        <v>98</v>
      </c>
      <c r="C22" s="75" t="n">
        <v>4866</v>
      </c>
      <c r="D22" s="76" t="n">
        <v>305.91</v>
      </c>
      <c r="F22" s="73" t="n">
        <f aca="false">A22</f>
        <v>36973</v>
      </c>
      <c r="G22" s="77" t="n">
        <f aca="false">C25</f>
        <v>104672</v>
      </c>
      <c r="H22" s="78" t="n">
        <f aca="false">D25</f>
        <v>348.224618140477</v>
      </c>
      <c r="J22" s="71" t="n">
        <v>36957</v>
      </c>
      <c r="K22" s="72" t="n">
        <v>83196</v>
      </c>
      <c r="L22" s="45" t="n">
        <v>362.761660656762</v>
      </c>
    </row>
    <row r="23" customFormat="false" ht="26.25" hidden="false" customHeight="false" outlineLevel="0" collapsed="false">
      <c r="B23" s="74" t="s">
        <v>99</v>
      </c>
      <c r="C23" s="75" t="n">
        <v>3413</v>
      </c>
      <c r="D23" s="76" t="n">
        <v>146.59</v>
      </c>
      <c r="J23" s="71" t="n">
        <v>36956</v>
      </c>
      <c r="K23" s="72" t="n">
        <v>168270</v>
      </c>
      <c r="L23" s="45" t="n">
        <v>369.317720449278</v>
      </c>
    </row>
    <row r="24" customFormat="false" ht="26.25" hidden="false" customHeight="false" outlineLevel="0" collapsed="false">
      <c r="B24" s="74" t="s">
        <v>100</v>
      </c>
      <c r="C24" s="75" t="n">
        <v>96393</v>
      </c>
      <c r="D24" s="76" t="n">
        <v>357.5</v>
      </c>
      <c r="J24" s="71" t="n">
        <v>36955</v>
      </c>
      <c r="K24" s="72" t="n">
        <v>174678</v>
      </c>
      <c r="L24" s="45" t="n">
        <v>396.707363835171</v>
      </c>
    </row>
    <row r="25" customFormat="false" ht="12.75" hidden="false" customHeight="false" outlineLevel="0" collapsed="false">
      <c r="C25" s="77" t="n">
        <f aca="false">SUM(C22:C24)</f>
        <v>104672</v>
      </c>
      <c r="D25" s="78" t="n">
        <f aca="false">(C22*D22+C23*D23+C24*D24)/C25</f>
        <v>348.224618140477</v>
      </c>
      <c r="J25" s="71" t="n">
        <v>36954</v>
      </c>
      <c r="K25" s="72" t="n">
        <v>95642</v>
      </c>
      <c r="L25" s="45" t="n">
        <v>436.319727525564</v>
      </c>
    </row>
    <row r="26" customFormat="false" ht="13.5" hidden="false" customHeight="false" outlineLevel="0" collapsed="false">
      <c r="J26" s="71" t="n">
        <v>36953</v>
      </c>
      <c r="K26" s="72" t="n">
        <v>117279</v>
      </c>
      <c r="L26" s="45" t="n">
        <v>432.220611192115</v>
      </c>
    </row>
    <row r="27" customFormat="false" ht="13.5" hidden="false" customHeight="false" outlineLevel="0" collapsed="false">
      <c r="A27" s="73" t="n">
        <v>36972</v>
      </c>
      <c r="B27" s="74" t="s">
        <v>98</v>
      </c>
      <c r="C27" s="75" t="n">
        <v>2112</v>
      </c>
      <c r="D27" s="76" t="n">
        <v>355.89</v>
      </c>
      <c r="F27" s="80" t="n">
        <f aca="false">A27</f>
        <v>36972</v>
      </c>
      <c r="G27" s="77" t="n">
        <f aca="false">C29</f>
        <v>5778</v>
      </c>
      <c r="H27" s="78" t="n">
        <f aca="false">D29</f>
        <v>219.452367601246</v>
      </c>
      <c r="J27" s="71" t="n">
        <v>36952</v>
      </c>
      <c r="K27" s="72" t="n">
        <v>123506</v>
      </c>
      <c r="L27" s="45" t="n">
        <v>380.012938156851</v>
      </c>
    </row>
    <row r="28" customFormat="false" ht="26.25" hidden="false" customHeight="false" outlineLevel="0" collapsed="false">
      <c r="B28" s="74" t="s">
        <v>99</v>
      </c>
      <c r="C28" s="75" t="n">
        <v>3666</v>
      </c>
      <c r="D28" s="76" t="n">
        <v>140.85</v>
      </c>
      <c r="J28" s="71" t="n">
        <v>36951</v>
      </c>
      <c r="K28" s="72" t="n">
        <v>32256</v>
      </c>
      <c r="L28" s="45" t="n">
        <v>330.253373325893</v>
      </c>
    </row>
    <row r="29" customFormat="false" ht="13.5" hidden="false" customHeight="false" outlineLevel="0" collapsed="false">
      <c r="C29" s="77" t="n">
        <f aca="false">SUM(C27:C28)</f>
        <v>5778</v>
      </c>
      <c r="D29" s="0" t="n">
        <f aca="false">(C27*D27+C28*D28)/C29</f>
        <v>219.452367601246</v>
      </c>
      <c r="J29" s="71"/>
      <c r="K29" s="72"/>
      <c r="L29" s="45"/>
    </row>
    <row r="30" customFormat="false" ht="13.5" hidden="false" customHeight="false" outlineLevel="0" collapsed="false">
      <c r="J30" s="71"/>
      <c r="K30" s="81" t="n">
        <f aca="false">SUM(K2:K28)</f>
        <v>2377739</v>
      </c>
      <c r="L30" s="82" t="n">
        <f aca="false">SUMPRODUCT(K2:K28,L2:L28)/K30</f>
        <v>331.752943943805</v>
      </c>
    </row>
    <row r="31" customFormat="false" ht="13.5" hidden="false" customHeight="false" outlineLevel="0" collapsed="false">
      <c r="A31" s="73" t="n">
        <v>36971</v>
      </c>
      <c r="B31" s="74" t="s">
        <v>98</v>
      </c>
      <c r="C31" s="75" t="n">
        <v>6369</v>
      </c>
      <c r="D31" s="76" t="n">
        <v>336.79</v>
      </c>
      <c r="F31" s="73" t="n">
        <f aca="false">A31</f>
        <v>36971</v>
      </c>
      <c r="G31" s="77" t="n">
        <f aca="false">C34</f>
        <v>134286</v>
      </c>
      <c r="H31" s="78" t="n">
        <f aca="false">D34</f>
        <v>462.161392773632</v>
      </c>
    </row>
    <row r="32" customFormat="false" ht="26.25" hidden="false" customHeight="false" outlineLevel="0" collapsed="false">
      <c r="B32" s="74" t="s">
        <v>99</v>
      </c>
      <c r="C32" s="75" t="n">
        <v>8012</v>
      </c>
      <c r="D32" s="76" t="n">
        <v>149.39</v>
      </c>
    </row>
    <row r="33" customFormat="false" ht="26.25" hidden="false" customHeight="false" outlineLevel="0" collapsed="false">
      <c r="B33" s="74" t="s">
        <v>100</v>
      </c>
      <c r="C33" s="75" t="n">
        <v>119905</v>
      </c>
      <c r="D33" s="76" t="n">
        <v>489.72</v>
      </c>
    </row>
    <row r="34" customFormat="false" ht="12.75" hidden="false" customHeight="false" outlineLevel="0" collapsed="false">
      <c r="C34" s="77" t="n">
        <f aca="false">SUM(C31:C33)</f>
        <v>134286</v>
      </c>
      <c r="D34" s="78" t="n">
        <f aca="false">(C31*D31+C32*D32+C33*D33)/C34</f>
        <v>462.161392773632</v>
      </c>
    </row>
    <row r="35" customFormat="false" ht="13.5" hidden="false" customHeight="false" outlineLevel="0" collapsed="false"/>
    <row r="36" customFormat="false" ht="13.5" hidden="false" customHeight="false" outlineLevel="0" collapsed="false">
      <c r="A36" s="73" t="n">
        <v>36970</v>
      </c>
      <c r="B36" s="74" t="s">
        <v>98</v>
      </c>
      <c r="C36" s="75" t="n">
        <v>7858</v>
      </c>
      <c r="D36" s="76" t="n">
        <v>325.28</v>
      </c>
      <c r="F36" s="73" t="n">
        <f aca="false">A36</f>
        <v>36970</v>
      </c>
      <c r="G36" s="77" t="n">
        <f aca="false">C39</f>
        <v>110272</v>
      </c>
      <c r="H36" s="78" t="n">
        <f aca="false">D39</f>
        <v>392.428481572838</v>
      </c>
    </row>
    <row r="37" customFormat="false" ht="26.25" hidden="false" customHeight="false" outlineLevel="0" collapsed="false">
      <c r="B37" s="74" t="s">
        <v>99</v>
      </c>
      <c r="C37" s="75" t="n">
        <v>13808</v>
      </c>
      <c r="D37" s="76" t="n">
        <v>149.76</v>
      </c>
    </row>
    <row r="38" customFormat="false" ht="26.25" hidden="false" customHeight="false" outlineLevel="0" collapsed="false">
      <c r="B38" s="74" t="s">
        <v>100</v>
      </c>
      <c r="C38" s="75" t="n">
        <v>88606</v>
      </c>
      <c r="D38" s="76" t="n">
        <v>436.2</v>
      </c>
    </row>
    <row r="39" customFormat="false" ht="12.75" hidden="false" customHeight="false" outlineLevel="0" collapsed="false">
      <c r="C39" s="77" t="n">
        <f aca="false">SUM(C36:C38)</f>
        <v>110272</v>
      </c>
      <c r="D39" s="78" t="n">
        <f aca="false">(C36*D36+C37*D37+C38*D38)/C39</f>
        <v>392.428481572838</v>
      </c>
    </row>
    <row r="40" customFormat="false" ht="13.5" hidden="false" customHeight="false" outlineLevel="0" collapsed="false"/>
    <row r="41" customFormat="false" ht="13.5" hidden="false" customHeight="false" outlineLevel="0" collapsed="false">
      <c r="A41" s="73" t="n">
        <v>36969</v>
      </c>
      <c r="B41" s="74" t="s">
        <v>98</v>
      </c>
      <c r="C41" s="75" t="n">
        <v>6383</v>
      </c>
      <c r="D41" s="76" t="n">
        <v>406.02</v>
      </c>
      <c r="F41" s="73" t="n">
        <f aca="false">A41</f>
        <v>36969</v>
      </c>
      <c r="G41" s="77" t="n">
        <f aca="false">C44</f>
        <v>108805</v>
      </c>
      <c r="H41" s="78" t="n">
        <f aca="false">D44</f>
        <v>356.193350673223</v>
      </c>
    </row>
    <row r="42" customFormat="false" ht="26.25" hidden="false" customHeight="false" outlineLevel="0" collapsed="false">
      <c r="B42" s="74" t="s">
        <v>99</v>
      </c>
      <c r="C42" s="75" t="n">
        <v>11394</v>
      </c>
      <c r="D42" s="76" t="n">
        <v>149.83</v>
      </c>
    </row>
    <row r="43" customFormat="false" ht="26.25" hidden="false" customHeight="false" outlineLevel="0" collapsed="false">
      <c r="B43" s="74" t="s">
        <v>100</v>
      </c>
      <c r="C43" s="75" t="n">
        <v>91028</v>
      </c>
      <c r="D43" s="76" t="n">
        <v>378.53</v>
      </c>
    </row>
    <row r="44" customFormat="false" ht="12.75" hidden="false" customHeight="false" outlineLevel="0" collapsed="false">
      <c r="C44" s="77" t="n">
        <f aca="false">SUM(C41:C43)</f>
        <v>108805</v>
      </c>
      <c r="D44" s="78" t="n">
        <f aca="false">(C41*D41+C42*D42+C43*D43)/C44</f>
        <v>356.193350673223</v>
      </c>
    </row>
    <row r="45" customFormat="false" ht="13.5" hidden="false" customHeight="false" outlineLevel="0" collapsed="false"/>
    <row r="46" customFormat="false" ht="13.5" hidden="false" customHeight="false" outlineLevel="0" collapsed="false">
      <c r="A46" s="73" t="n">
        <v>36968</v>
      </c>
      <c r="B46" s="74" t="s">
        <v>98</v>
      </c>
      <c r="C46" s="75" t="n">
        <v>3244</v>
      </c>
      <c r="D46" s="76" t="n">
        <v>404.8</v>
      </c>
      <c r="F46" s="73" t="n">
        <f aca="false">A46</f>
        <v>36968</v>
      </c>
      <c r="G46" s="77" t="n">
        <f aca="false">C49</f>
        <v>71459</v>
      </c>
      <c r="H46" s="78" t="n">
        <f aca="false">D49</f>
        <v>296.309203179446</v>
      </c>
    </row>
    <row r="47" customFormat="false" ht="26.25" hidden="false" customHeight="false" outlineLevel="0" collapsed="false">
      <c r="B47" s="74" t="s">
        <v>99</v>
      </c>
      <c r="C47" s="75" t="n">
        <v>2293</v>
      </c>
      <c r="D47" s="76" t="n">
        <v>141.65</v>
      </c>
    </row>
    <row r="48" customFormat="false" ht="26.25" hidden="false" customHeight="false" outlineLevel="0" collapsed="false">
      <c r="B48" s="74" t="s">
        <v>100</v>
      </c>
      <c r="C48" s="75" t="n">
        <v>65922</v>
      </c>
      <c r="D48" s="76" t="n">
        <v>296.35</v>
      </c>
    </row>
    <row r="49" customFormat="false" ht="12.75" hidden="false" customHeight="false" outlineLevel="0" collapsed="false">
      <c r="C49" s="77" t="n">
        <f aca="false">SUM(C46:C48)</f>
        <v>71459</v>
      </c>
      <c r="D49" s="78" t="n">
        <f aca="false">(C46*D46+C47*D47+C48*D48)/C49</f>
        <v>296.309203179446</v>
      </c>
    </row>
    <row r="50" customFormat="false" ht="13.5" hidden="false" customHeight="false" outlineLevel="0" collapsed="false"/>
    <row r="51" customFormat="false" ht="13.5" hidden="false" customHeight="false" outlineLevel="0" collapsed="false">
      <c r="A51" s="73" t="n">
        <v>36967</v>
      </c>
      <c r="B51" s="74" t="s">
        <v>98</v>
      </c>
      <c r="C51" s="75" t="n">
        <v>4458</v>
      </c>
      <c r="D51" s="76" t="n">
        <v>421.34</v>
      </c>
      <c r="F51" s="73" t="n">
        <f aca="false">A51</f>
        <v>36967</v>
      </c>
      <c r="G51" s="77" t="n">
        <f aca="false">C54</f>
        <v>57840</v>
      </c>
      <c r="H51" s="78" t="n">
        <f aca="false">D54</f>
        <v>290.701920643154</v>
      </c>
    </row>
    <row r="52" customFormat="false" ht="26.25" hidden="false" customHeight="false" outlineLevel="0" collapsed="false">
      <c r="B52" s="74" t="s">
        <v>99</v>
      </c>
      <c r="C52" s="75" t="n">
        <v>1679</v>
      </c>
      <c r="D52" s="76" t="n">
        <v>142.21</v>
      </c>
    </row>
    <row r="53" customFormat="false" ht="26.25" hidden="false" customHeight="false" outlineLevel="0" collapsed="false">
      <c r="B53" s="74" t="s">
        <v>100</v>
      </c>
      <c r="C53" s="75" t="n">
        <v>51703</v>
      </c>
      <c r="D53" s="76" t="n">
        <v>284.26</v>
      </c>
    </row>
    <row r="54" customFormat="false" ht="12.75" hidden="false" customHeight="false" outlineLevel="0" collapsed="false">
      <c r="C54" s="77" t="n">
        <f aca="false">SUM(C51:C53)</f>
        <v>57840</v>
      </c>
      <c r="D54" s="78" t="n">
        <f aca="false">(C51*D51+C52*D52+C53*D53)/C54</f>
        <v>290.701920643154</v>
      </c>
    </row>
    <row r="55" customFormat="false" ht="13.5" hidden="false" customHeight="false" outlineLevel="0" collapsed="false"/>
    <row r="56" customFormat="false" ht="13.5" hidden="false" customHeight="false" outlineLevel="0" collapsed="false">
      <c r="A56" s="73" t="n">
        <v>36966</v>
      </c>
      <c r="B56" s="74" t="s">
        <v>98</v>
      </c>
      <c r="C56" s="75" t="n">
        <v>3359</v>
      </c>
      <c r="D56" s="76" t="n">
        <v>477.01</v>
      </c>
      <c r="F56" s="73" t="n">
        <f aca="false">A56</f>
        <v>36966</v>
      </c>
      <c r="G56" s="77" t="n">
        <f aca="false">C59</f>
        <v>60918</v>
      </c>
      <c r="H56" s="78" t="n">
        <f aca="false">D59</f>
        <v>344.841968219574</v>
      </c>
    </row>
    <row r="57" customFormat="false" ht="26.25" hidden="false" customHeight="false" outlineLevel="0" collapsed="false">
      <c r="B57" s="74" t="s">
        <v>99</v>
      </c>
      <c r="C57" s="75" t="n">
        <v>3897</v>
      </c>
      <c r="D57" s="76" t="n">
        <v>146.95</v>
      </c>
    </row>
    <row r="58" customFormat="false" ht="26.25" hidden="false" customHeight="false" outlineLevel="0" collapsed="false">
      <c r="B58" s="74" t="s">
        <v>100</v>
      </c>
      <c r="C58" s="75" t="n">
        <v>53662</v>
      </c>
      <c r="D58" s="76" t="n">
        <v>350.94</v>
      </c>
    </row>
    <row r="59" customFormat="false" ht="12.75" hidden="false" customHeight="false" outlineLevel="0" collapsed="false">
      <c r="C59" s="77" t="n">
        <f aca="false">SUM(C56:C58)</f>
        <v>60918</v>
      </c>
      <c r="D59" s="78" t="n">
        <f aca="false">(C56*D56+C57*D57+C58*D58)/C59</f>
        <v>344.841968219574</v>
      </c>
    </row>
    <row r="60" customFormat="false" ht="13.5" hidden="false" customHeight="false" outlineLevel="0" collapsed="false"/>
    <row r="61" customFormat="false" ht="13.5" hidden="false" customHeight="false" outlineLevel="0" collapsed="false">
      <c r="A61" s="73" t="n">
        <v>36965</v>
      </c>
      <c r="B61" s="74" t="s">
        <v>98</v>
      </c>
      <c r="C61" s="75" t="n">
        <v>5805</v>
      </c>
      <c r="D61" s="76" t="n">
        <v>470.04</v>
      </c>
      <c r="F61" s="73" t="n">
        <f aca="false">A61</f>
        <v>36965</v>
      </c>
      <c r="G61" s="77" t="n">
        <f aca="false">C64</f>
        <v>79630</v>
      </c>
      <c r="H61" s="78" t="n">
        <f aca="false">D64</f>
        <v>279.339695843275</v>
      </c>
    </row>
    <row r="62" customFormat="false" ht="26.25" hidden="false" customHeight="false" outlineLevel="0" collapsed="false">
      <c r="B62" s="74" t="s">
        <v>99</v>
      </c>
      <c r="C62" s="75" t="n">
        <v>9741</v>
      </c>
      <c r="D62" s="76" t="n">
        <v>149.18</v>
      </c>
    </row>
    <row r="63" customFormat="false" ht="26.25" hidden="false" customHeight="false" outlineLevel="0" collapsed="false">
      <c r="B63" s="74" t="s">
        <v>100</v>
      </c>
      <c r="C63" s="75" t="n">
        <v>64084</v>
      </c>
      <c r="D63" s="76" t="n">
        <v>281.85</v>
      </c>
    </row>
    <row r="64" customFormat="false" ht="12.75" hidden="false" customHeight="false" outlineLevel="0" collapsed="false">
      <c r="C64" s="77" t="n">
        <f aca="false">SUM(C61:C63)</f>
        <v>79630</v>
      </c>
      <c r="D64" s="78" t="n">
        <f aca="false">(C61*D61+C62*D62+C63*D63)/C64</f>
        <v>279.339695843275</v>
      </c>
    </row>
    <row r="65" customFormat="false" ht="13.5" hidden="false" customHeight="false" outlineLevel="0" collapsed="false"/>
    <row r="66" customFormat="false" ht="13.5" hidden="false" customHeight="false" outlineLevel="0" collapsed="false">
      <c r="A66" s="73" t="n">
        <v>36964</v>
      </c>
      <c r="B66" s="74" t="s">
        <v>98</v>
      </c>
      <c r="C66" s="75" t="n">
        <v>4582</v>
      </c>
      <c r="D66" s="76" t="n">
        <v>372.05</v>
      </c>
      <c r="F66" s="73" t="n">
        <f aca="false">A66</f>
        <v>36964</v>
      </c>
      <c r="G66" s="77" t="n">
        <f aca="false">C69</f>
        <v>90260</v>
      </c>
      <c r="H66" s="78" t="n">
        <f aca="false">D69</f>
        <v>255.515701307334</v>
      </c>
    </row>
    <row r="67" customFormat="false" ht="26.25" hidden="false" customHeight="false" outlineLevel="0" collapsed="false">
      <c r="B67" s="74" t="s">
        <v>99</v>
      </c>
      <c r="C67" s="75" t="n">
        <v>2246</v>
      </c>
      <c r="D67" s="76" t="n">
        <v>129.43</v>
      </c>
    </row>
    <row r="68" customFormat="false" ht="26.25" hidden="false" customHeight="false" outlineLevel="0" collapsed="false">
      <c r="B68" s="74" t="s">
        <v>100</v>
      </c>
      <c r="C68" s="75" t="n">
        <v>83432</v>
      </c>
      <c r="D68" s="76" t="n">
        <v>252.51</v>
      </c>
    </row>
    <row r="69" customFormat="false" ht="12.75" hidden="false" customHeight="false" outlineLevel="0" collapsed="false">
      <c r="C69" s="77" t="n">
        <f aca="false">SUM(C66:C68)</f>
        <v>90260</v>
      </c>
      <c r="D69" s="78" t="n">
        <f aca="false">(C66*D66+C67*D67+C68*D68)/C69</f>
        <v>255.515701307334</v>
      </c>
    </row>
    <row r="70" customFormat="false" ht="13.5" hidden="false" customHeight="false" outlineLevel="0" collapsed="false"/>
    <row r="71" customFormat="false" ht="13.5" hidden="false" customHeight="false" outlineLevel="0" collapsed="false">
      <c r="A71" s="73" t="n">
        <v>36963</v>
      </c>
      <c r="B71" s="74" t="s">
        <v>98</v>
      </c>
      <c r="C71" s="75" t="n">
        <v>6431</v>
      </c>
      <c r="D71" s="76" t="n">
        <v>323.56</v>
      </c>
      <c r="F71" s="73" t="n">
        <f aca="false">A71</f>
        <v>36963</v>
      </c>
      <c r="G71" s="77" t="n">
        <f aca="false">C74</f>
        <v>85006</v>
      </c>
      <c r="H71" s="78" t="n">
        <f aca="false">D74</f>
        <v>254.504913653154</v>
      </c>
    </row>
    <row r="72" customFormat="false" ht="26.25" hidden="false" customHeight="false" outlineLevel="0" collapsed="false">
      <c r="B72" s="74" t="s">
        <v>99</v>
      </c>
      <c r="C72" s="75" t="n">
        <v>4652</v>
      </c>
      <c r="D72" s="76" t="n">
        <v>147.52</v>
      </c>
    </row>
    <row r="73" customFormat="false" ht="26.25" hidden="false" customHeight="false" outlineLevel="0" collapsed="false">
      <c r="B73" s="74" t="s">
        <v>100</v>
      </c>
      <c r="C73" s="75" t="n">
        <v>73923</v>
      </c>
      <c r="D73" s="76" t="n">
        <v>255.23</v>
      </c>
    </row>
    <row r="74" customFormat="false" ht="12.75" hidden="false" customHeight="false" outlineLevel="0" collapsed="false">
      <c r="C74" s="77" t="n">
        <f aca="false">SUM(C71:C73)</f>
        <v>85006</v>
      </c>
      <c r="D74" s="78" t="n">
        <f aca="false">(C71*D71+C72*D72+C73*D73)/C74</f>
        <v>254.504913653154</v>
      </c>
    </row>
    <row r="75" customFormat="false" ht="13.5" hidden="false" customHeight="false" outlineLevel="0" collapsed="false"/>
    <row r="76" customFormat="false" ht="13.5" hidden="false" customHeight="false" outlineLevel="0" collapsed="false">
      <c r="A76" s="73" t="n">
        <v>36962</v>
      </c>
      <c r="B76" s="74" t="s">
        <v>98</v>
      </c>
      <c r="C76" s="75" t="n">
        <v>9867</v>
      </c>
      <c r="D76" s="76" t="n">
        <v>299.13</v>
      </c>
      <c r="F76" s="73" t="n">
        <f aca="false">A76</f>
        <v>36962</v>
      </c>
      <c r="G76" s="77" t="n">
        <f aca="false">C79</f>
        <v>77306</v>
      </c>
      <c r="H76" s="78" t="n">
        <f aca="false">D79</f>
        <v>251.481578532067</v>
      </c>
    </row>
    <row r="77" customFormat="false" ht="26.25" hidden="false" customHeight="false" outlineLevel="0" collapsed="false">
      <c r="B77" s="74" t="s">
        <v>99</v>
      </c>
      <c r="C77" s="75" t="n">
        <v>5181</v>
      </c>
      <c r="D77" s="76" t="n">
        <v>149.1</v>
      </c>
    </row>
    <row r="78" customFormat="false" ht="26.25" hidden="false" customHeight="false" outlineLevel="0" collapsed="false">
      <c r="B78" s="74" t="s">
        <v>100</v>
      </c>
      <c r="C78" s="75" t="n">
        <v>62258</v>
      </c>
      <c r="D78" s="76" t="n">
        <v>252.45</v>
      </c>
    </row>
    <row r="79" customFormat="false" ht="12.75" hidden="false" customHeight="false" outlineLevel="0" collapsed="false">
      <c r="C79" s="77" t="n">
        <f aca="false">SUM(C76:C78)</f>
        <v>77306</v>
      </c>
      <c r="D79" s="78" t="n">
        <f aca="false">(C76*D76+C77*D77+C78*D78)/C79</f>
        <v>251.481578532067</v>
      </c>
    </row>
    <row r="80" customFormat="false" ht="13.5" hidden="false" customHeight="false" outlineLevel="0" collapsed="false"/>
    <row r="81" customFormat="false" ht="13.5" hidden="false" customHeight="false" outlineLevel="0" collapsed="false">
      <c r="A81" s="73" t="n">
        <v>36961</v>
      </c>
      <c r="B81" s="74" t="s">
        <v>98</v>
      </c>
      <c r="C81" s="75" t="n">
        <v>4472</v>
      </c>
      <c r="D81" s="76" t="n">
        <v>261.69</v>
      </c>
      <c r="F81" s="73" t="n">
        <f aca="false">A81</f>
        <v>36961</v>
      </c>
      <c r="G81" s="77" t="n">
        <f aca="false">C84</f>
        <v>52469</v>
      </c>
      <c r="H81" s="78" t="n">
        <f aca="false">D84</f>
        <v>228.996048333302</v>
      </c>
    </row>
    <row r="82" customFormat="false" ht="26.25" hidden="false" customHeight="false" outlineLevel="0" collapsed="false">
      <c r="B82" s="74" t="s">
        <v>99</v>
      </c>
      <c r="C82" s="75" t="n">
        <v>3308</v>
      </c>
      <c r="D82" s="76" t="n">
        <v>149.35</v>
      </c>
    </row>
    <row r="83" customFormat="false" ht="26.25" hidden="false" customHeight="false" outlineLevel="0" collapsed="false">
      <c r="B83" s="74" t="s">
        <v>100</v>
      </c>
      <c r="C83" s="75" t="n">
        <v>44689</v>
      </c>
      <c r="D83" s="76" t="n">
        <v>231.62</v>
      </c>
    </row>
    <row r="84" customFormat="false" ht="12.75" hidden="false" customHeight="false" outlineLevel="0" collapsed="false">
      <c r="C84" s="77" t="n">
        <f aca="false">SUM(C81:C83)</f>
        <v>52469</v>
      </c>
      <c r="D84" s="78" t="n">
        <f aca="false">(C81*D81+C82*D82+C83*D83)/C84</f>
        <v>228.996048333302</v>
      </c>
    </row>
    <row r="85" customFormat="false" ht="13.5" hidden="false" customHeight="false" outlineLevel="0" collapsed="false"/>
    <row r="86" customFormat="false" ht="13.5" hidden="false" customHeight="false" outlineLevel="0" collapsed="false">
      <c r="A86" s="73" t="n">
        <v>36960</v>
      </c>
      <c r="B86" s="74" t="s">
        <v>98</v>
      </c>
      <c r="C86" s="75" t="n">
        <v>4249</v>
      </c>
      <c r="D86" s="76" t="n">
        <v>259.97</v>
      </c>
      <c r="F86" s="73" t="n">
        <f aca="false">A86</f>
        <v>36960</v>
      </c>
      <c r="G86" s="77" t="n">
        <f aca="false">C89</f>
        <v>91098</v>
      </c>
      <c r="H86" s="78" t="n">
        <f aca="false">D89</f>
        <v>254.826506289929</v>
      </c>
    </row>
    <row r="87" customFormat="false" ht="26.25" hidden="false" customHeight="false" outlineLevel="0" collapsed="false">
      <c r="B87" s="74" t="s">
        <v>99</v>
      </c>
      <c r="C87" s="75" t="n">
        <v>1773</v>
      </c>
      <c r="D87" s="76" t="n">
        <v>97.9</v>
      </c>
    </row>
    <row r="88" customFormat="false" ht="26.25" hidden="false" customHeight="false" outlineLevel="0" collapsed="false">
      <c r="B88" s="74" t="s">
        <v>100</v>
      </c>
      <c r="C88" s="75" t="n">
        <v>85076</v>
      </c>
      <c r="D88" s="76" t="n">
        <v>257.84</v>
      </c>
    </row>
    <row r="89" customFormat="false" ht="12.75" hidden="false" customHeight="false" outlineLevel="0" collapsed="false">
      <c r="C89" s="77" t="n">
        <f aca="false">SUM(C86:C88)</f>
        <v>91098</v>
      </c>
      <c r="D89" s="78" t="n">
        <f aca="false">(C86*D86+C87*D87+C88*D88)/C89</f>
        <v>254.826506289929</v>
      </c>
    </row>
    <row r="90" customFormat="false" ht="13.5" hidden="false" customHeight="false" outlineLevel="0" collapsed="false"/>
    <row r="91" customFormat="false" ht="13.5" hidden="false" customHeight="false" outlineLevel="0" collapsed="false">
      <c r="A91" s="73" t="n">
        <v>36959</v>
      </c>
      <c r="B91" s="74" t="s">
        <v>98</v>
      </c>
      <c r="C91" s="75" t="n">
        <v>3257</v>
      </c>
      <c r="D91" s="76" t="n">
        <v>371.51</v>
      </c>
      <c r="F91" s="73" t="n">
        <f aca="false">A91</f>
        <v>36959</v>
      </c>
      <c r="G91" s="77" t="n">
        <f aca="false">C94</f>
        <v>83924</v>
      </c>
      <c r="H91" s="78" t="n">
        <f aca="false">D94</f>
        <v>314.859004933035</v>
      </c>
    </row>
    <row r="92" customFormat="false" ht="26.25" hidden="false" customHeight="false" outlineLevel="0" collapsed="false">
      <c r="B92" s="74" t="s">
        <v>99</v>
      </c>
      <c r="C92" s="75" t="n">
        <v>1225</v>
      </c>
      <c r="D92" s="76" t="n">
        <v>143.42</v>
      </c>
    </row>
    <row r="93" customFormat="false" ht="26.25" hidden="false" customHeight="false" outlineLevel="0" collapsed="false">
      <c r="B93" s="74" t="s">
        <v>100</v>
      </c>
      <c r="C93" s="75" t="n">
        <v>79442</v>
      </c>
      <c r="D93" s="76" t="n">
        <v>315.18</v>
      </c>
    </row>
    <row r="94" customFormat="false" ht="12.75" hidden="false" customHeight="false" outlineLevel="0" collapsed="false">
      <c r="C94" s="77" t="n">
        <f aca="false">SUM(C91:C93)</f>
        <v>83924</v>
      </c>
      <c r="D94" s="78" t="n">
        <f aca="false">(C91*D91+C92*D92+C93*D93)/C94</f>
        <v>314.859004933035</v>
      </c>
    </row>
    <row r="95" customFormat="false" ht="13.5" hidden="false" customHeight="false" outlineLevel="0" collapsed="false"/>
    <row r="96" customFormat="false" ht="13.5" hidden="false" customHeight="false" outlineLevel="0" collapsed="false">
      <c r="A96" s="73" t="n">
        <v>36958</v>
      </c>
      <c r="B96" s="74" t="s">
        <v>98</v>
      </c>
      <c r="C96" s="75" t="n">
        <v>1462</v>
      </c>
      <c r="D96" s="76" t="n">
        <v>326.15</v>
      </c>
      <c r="F96" s="73" t="n">
        <f aca="false">A96</f>
        <v>36958</v>
      </c>
      <c r="G96" s="77" t="n">
        <f aca="false">C99</f>
        <v>131066</v>
      </c>
      <c r="H96" s="78" t="n">
        <f aca="false">D99</f>
        <v>356.120967451513</v>
      </c>
    </row>
    <row r="97" customFormat="false" ht="26.25" hidden="false" customHeight="false" outlineLevel="0" collapsed="false">
      <c r="B97" s="74" t="s">
        <v>99</v>
      </c>
      <c r="C97" s="75" t="n">
        <v>1018</v>
      </c>
      <c r="D97" s="76" t="n">
        <v>93.61</v>
      </c>
    </row>
    <row r="98" customFormat="false" ht="26.25" hidden="false" customHeight="false" outlineLevel="0" collapsed="false">
      <c r="B98" s="74" t="s">
        <v>100</v>
      </c>
      <c r="C98" s="75" t="n">
        <v>128586</v>
      </c>
      <c r="D98" s="76" t="n">
        <v>358.54</v>
      </c>
    </row>
    <row r="99" customFormat="false" ht="12.75" hidden="false" customHeight="false" outlineLevel="0" collapsed="false">
      <c r="C99" s="77" t="n">
        <f aca="false">SUM(C96:C98)</f>
        <v>131066</v>
      </c>
      <c r="D99" s="78" t="n">
        <f aca="false">(C96*D96+C97*D97+C98*D98)/C99</f>
        <v>356.120967451513</v>
      </c>
    </row>
    <row r="100" customFormat="false" ht="13.5" hidden="false" customHeight="false" outlineLevel="0" collapsed="false"/>
    <row r="101" customFormat="false" ht="13.5" hidden="false" customHeight="false" outlineLevel="0" collapsed="false">
      <c r="A101" s="73" t="n">
        <v>36957</v>
      </c>
      <c r="B101" s="74" t="s">
        <v>98</v>
      </c>
      <c r="C101" s="75" t="n">
        <v>5779</v>
      </c>
      <c r="D101" s="76" t="n">
        <v>437.21</v>
      </c>
      <c r="F101" s="73" t="n">
        <f aca="false">A101</f>
        <v>36957</v>
      </c>
      <c r="G101" s="77" t="n">
        <f aca="false">C104</f>
        <v>83196</v>
      </c>
      <c r="H101" s="78" t="n">
        <f aca="false">D104</f>
        <v>362.761660656762</v>
      </c>
    </row>
    <row r="102" customFormat="false" ht="26.25" hidden="false" customHeight="false" outlineLevel="0" collapsed="false">
      <c r="B102" s="74" t="s">
        <v>99</v>
      </c>
      <c r="C102" s="79" t="n">
        <v>851</v>
      </c>
      <c r="D102" s="76" t="n">
        <v>95.77</v>
      </c>
    </row>
    <row r="103" customFormat="false" ht="26.25" hidden="false" customHeight="false" outlineLevel="0" collapsed="false">
      <c r="B103" s="74" t="s">
        <v>100</v>
      </c>
      <c r="C103" s="75" t="n">
        <v>76566</v>
      </c>
      <c r="D103" s="76" t="n">
        <v>360.11</v>
      </c>
    </row>
    <row r="104" customFormat="false" ht="12.75" hidden="false" customHeight="false" outlineLevel="0" collapsed="false">
      <c r="C104" s="77" t="n">
        <f aca="false">SUM(C101:C103)</f>
        <v>83196</v>
      </c>
      <c r="D104" s="78" t="n">
        <f aca="false">(C101*D101+C102*D102+C103*D103)/C104</f>
        <v>362.761660656762</v>
      </c>
    </row>
    <row r="105" customFormat="false" ht="13.5" hidden="false" customHeight="false" outlineLevel="0" collapsed="false"/>
    <row r="106" customFormat="false" ht="13.5" hidden="false" customHeight="false" outlineLevel="0" collapsed="false">
      <c r="A106" s="73" t="n">
        <v>36956</v>
      </c>
      <c r="B106" s="74" t="s">
        <v>98</v>
      </c>
      <c r="C106" s="75" t="n">
        <v>9439</v>
      </c>
      <c r="D106" s="76" t="n">
        <v>571.86</v>
      </c>
      <c r="F106" s="73" t="n">
        <f aca="false">A106</f>
        <v>36956</v>
      </c>
      <c r="G106" s="77" t="n">
        <f aca="false">C109</f>
        <v>168270</v>
      </c>
      <c r="H106" s="78" t="n">
        <f aca="false">D109</f>
        <v>369.317720449278</v>
      </c>
    </row>
    <row r="107" customFormat="false" ht="26.25" hidden="false" customHeight="false" outlineLevel="0" collapsed="false">
      <c r="B107" s="74" t="s">
        <v>99</v>
      </c>
      <c r="C107" s="75" t="n">
        <v>1685</v>
      </c>
      <c r="D107" s="76" t="n">
        <v>147.54</v>
      </c>
    </row>
    <row r="108" customFormat="false" ht="26.25" hidden="false" customHeight="false" outlineLevel="0" collapsed="false">
      <c r="B108" s="74" t="s">
        <v>100</v>
      </c>
      <c r="C108" s="75" t="n">
        <v>157146</v>
      </c>
      <c r="D108" s="76" t="n">
        <v>359.53</v>
      </c>
    </row>
    <row r="109" customFormat="false" ht="12.75" hidden="false" customHeight="false" outlineLevel="0" collapsed="false">
      <c r="C109" s="77" t="n">
        <f aca="false">SUM(C106:C108)</f>
        <v>168270</v>
      </c>
      <c r="D109" s="78" t="n">
        <f aca="false">(C106*D106+C107*D107+C108*D108)/C109</f>
        <v>369.317720449278</v>
      </c>
    </row>
    <row r="110" customFormat="false" ht="13.5" hidden="false" customHeight="false" outlineLevel="0" collapsed="false"/>
    <row r="111" customFormat="false" ht="13.5" hidden="false" customHeight="false" outlineLevel="0" collapsed="false">
      <c r="A111" s="73" t="n">
        <v>36955</v>
      </c>
      <c r="B111" s="74" t="s">
        <v>98</v>
      </c>
      <c r="C111" s="75" t="n">
        <v>22033</v>
      </c>
      <c r="D111" s="76" t="n">
        <v>643.06</v>
      </c>
      <c r="F111" s="73" t="n">
        <f aca="false">A111</f>
        <v>36955</v>
      </c>
      <c r="G111" s="77" t="n">
        <f aca="false">C114</f>
        <v>174678</v>
      </c>
      <c r="H111" s="78" t="n">
        <f aca="false">D114</f>
        <v>396.707363835171</v>
      </c>
    </row>
    <row r="112" customFormat="false" ht="26.25" hidden="false" customHeight="false" outlineLevel="0" collapsed="false">
      <c r="B112" s="74" t="s">
        <v>99</v>
      </c>
      <c r="C112" s="75" t="n">
        <v>7529</v>
      </c>
      <c r="D112" s="76" t="n">
        <v>147.56</v>
      </c>
    </row>
    <row r="113" customFormat="false" ht="26.25" hidden="false" customHeight="false" outlineLevel="0" collapsed="false">
      <c r="B113" s="74" t="s">
        <v>100</v>
      </c>
      <c r="C113" s="75" t="n">
        <v>145116</v>
      </c>
      <c r="D113" s="76" t="n">
        <v>372.23</v>
      </c>
    </row>
    <row r="114" customFormat="false" ht="12.75" hidden="false" customHeight="false" outlineLevel="0" collapsed="false">
      <c r="C114" s="77" t="n">
        <f aca="false">SUM(C111:C113)</f>
        <v>174678</v>
      </c>
      <c r="D114" s="78" t="n">
        <f aca="false">(C111*D111+C112*D112+C113*D113)/C114</f>
        <v>396.707363835171</v>
      </c>
    </row>
    <row r="115" customFormat="false" ht="13.5" hidden="false" customHeight="false" outlineLevel="0" collapsed="false"/>
    <row r="116" customFormat="false" ht="13.5" hidden="false" customHeight="false" outlineLevel="0" collapsed="false">
      <c r="A116" s="73" t="n">
        <v>36954</v>
      </c>
      <c r="B116" s="74" t="s">
        <v>98</v>
      </c>
      <c r="C116" s="75" t="n">
        <v>34649</v>
      </c>
      <c r="D116" s="76" t="n">
        <v>611.59</v>
      </c>
      <c r="F116" s="73" t="n">
        <f aca="false">A116</f>
        <v>36954</v>
      </c>
      <c r="G116" s="77" t="n">
        <f aca="false">C119</f>
        <v>95642</v>
      </c>
      <c r="H116" s="78" t="n">
        <f aca="false">D119</f>
        <v>436.319727525564</v>
      </c>
    </row>
    <row r="117" customFormat="false" ht="26.25" hidden="false" customHeight="false" outlineLevel="0" collapsed="false">
      <c r="B117" s="74" t="s">
        <v>99</v>
      </c>
      <c r="C117" s="75" t="n">
        <v>8645</v>
      </c>
      <c r="D117" s="76" t="n">
        <v>149.11</v>
      </c>
    </row>
    <row r="118" customFormat="false" ht="26.25" hidden="false" customHeight="false" outlineLevel="0" collapsed="false">
      <c r="B118" s="74" t="s">
        <v>100</v>
      </c>
      <c r="C118" s="75" t="n">
        <v>52348</v>
      </c>
      <c r="D118" s="76" t="n">
        <v>367.74</v>
      </c>
    </row>
    <row r="119" customFormat="false" ht="12.75" hidden="false" customHeight="false" outlineLevel="0" collapsed="false">
      <c r="C119" s="77" t="n">
        <f aca="false">SUM(C116:C118)</f>
        <v>95642</v>
      </c>
      <c r="D119" s="78" t="n">
        <f aca="false">(C116*D116+C117*D117+C118*D118)/C119</f>
        <v>436.319727525564</v>
      </c>
    </row>
    <row r="120" customFormat="false" ht="13.5" hidden="false" customHeight="false" outlineLevel="0" collapsed="false"/>
    <row r="121" customFormat="false" ht="13.5" hidden="false" customHeight="false" outlineLevel="0" collapsed="false">
      <c r="A121" s="73" t="n">
        <v>36953</v>
      </c>
      <c r="B121" s="74" t="s">
        <v>98</v>
      </c>
      <c r="C121" s="75" t="n">
        <v>15535</v>
      </c>
      <c r="D121" s="76" t="n">
        <v>621.49</v>
      </c>
      <c r="F121" s="73" t="n">
        <f aca="false">A121</f>
        <v>36953</v>
      </c>
      <c r="G121" s="77" t="n">
        <f aca="false">C124</f>
        <v>117279</v>
      </c>
      <c r="H121" s="78" t="n">
        <f aca="false">D124</f>
        <v>432.220611192115</v>
      </c>
    </row>
    <row r="122" customFormat="false" ht="26.25" hidden="false" customHeight="false" outlineLevel="0" collapsed="false">
      <c r="B122" s="74" t="s">
        <v>99</v>
      </c>
      <c r="C122" s="75" t="n">
        <v>1701</v>
      </c>
      <c r="D122" s="76" t="n">
        <v>145.81</v>
      </c>
    </row>
    <row r="123" customFormat="false" ht="26.25" hidden="false" customHeight="false" outlineLevel="0" collapsed="false">
      <c r="B123" s="74" t="s">
        <v>100</v>
      </c>
      <c r="C123" s="75" t="n">
        <v>100043</v>
      </c>
      <c r="D123" s="76" t="n">
        <v>407.7</v>
      </c>
    </row>
    <row r="124" customFormat="false" ht="12.75" hidden="false" customHeight="false" outlineLevel="0" collapsed="false">
      <c r="C124" s="77" t="n">
        <f aca="false">SUM(C121:C123)</f>
        <v>117279</v>
      </c>
      <c r="D124" s="78" t="n">
        <f aca="false">(C121*D121+C122*D122+C123*D123)/C124</f>
        <v>432.220611192115</v>
      </c>
    </row>
    <row r="125" customFormat="false" ht="13.5" hidden="false" customHeight="false" outlineLevel="0" collapsed="false"/>
    <row r="126" customFormat="false" ht="13.5" hidden="false" customHeight="false" outlineLevel="0" collapsed="false">
      <c r="A126" s="73" t="n">
        <v>36952</v>
      </c>
      <c r="B126" s="74" t="s">
        <v>98</v>
      </c>
      <c r="C126" s="75" t="n">
        <v>15619</v>
      </c>
      <c r="D126" s="76" t="n">
        <v>411.17</v>
      </c>
      <c r="F126" s="73" t="n">
        <f aca="false">A126</f>
        <v>36952</v>
      </c>
      <c r="G126" s="77" t="n">
        <f aca="false">C129</f>
        <v>123506</v>
      </c>
      <c r="H126" s="78" t="n">
        <f aca="false">D129</f>
        <v>380.012938156851</v>
      </c>
    </row>
    <row r="127" customFormat="false" ht="26.25" hidden="false" customHeight="false" outlineLevel="0" collapsed="false">
      <c r="B127" s="74" t="s">
        <v>99</v>
      </c>
      <c r="C127" s="75" t="n">
        <v>2273</v>
      </c>
      <c r="D127" s="76" t="n">
        <v>149.79</v>
      </c>
    </row>
    <row r="128" customFormat="false" ht="26.25" hidden="false" customHeight="false" outlineLevel="0" collapsed="false">
      <c r="B128" s="74" t="s">
        <v>100</v>
      </c>
      <c r="C128" s="75" t="n">
        <v>105614</v>
      </c>
      <c r="D128" s="76" t="n">
        <v>380.36</v>
      </c>
    </row>
    <row r="129" customFormat="false" ht="12.75" hidden="false" customHeight="false" outlineLevel="0" collapsed="false">
      <c r="C129" s="77" t="n">
        <f aca="false">SUM(C126:C128)</f>
        <v>123506</v>
      </c>
      <c r="D129" s="78" t="n">
        <f aca="false">(C126*D126+C127*D127+C128*D128)/C129</f>
        <v>380.012938156851</v>
      </c>
    </row>
    <row r="130" customFormat="false" ht="13.5" hidden="false" customHeight="false" outlineLevel="0" collapsed="false"/>
    <row r="131" customFormat="false" ht="13.5" hidden="false" customHeight="false" outlineLevel="0" collapsed="false">
      <c r="A131" s="73" t="n">
        <v>36951</v>
      </c>
      <c r="B131" s="74" t="s">
        <v>98</v>
      </c>
      <c r="C131" s="75" t="n">
        <v>15924</v>
      </c>
      <c r="D131" s="76" t="n">
        <v>376.93</v>
      </c>
      <c r="F131" s="73" t="n">
        <f aca="false">A131</f>
        <v>36951</v>
      </c>
      <c r="G131" s="77" t="n">
        <f aca="false">C134</f>
        <v>32256</v>
      </c>
      <c r="H131" s="78" t="n">
        <f aca="false">D134</f>
        <v>330.253373325893</v>
      </c>
    </row>
    <row r="132" customFormat="false" ht="26.25" hidden="false" customHeight="false" outlineLevel="0" collapsed="false">
      <c r="B132" s="74" t="s">
        <v>99</v>
      </c>
      <c r="C132" s="75" t="n">
        <v>5527</v>
      </c>
      <c r="D132" s="76" t="n">
        <v>149.72</v>
      </c>
    </row>
    <row r="133" customFormat="false" ht="26.25" hidden="false" customHeight="false" outlineLevel="0" collapsed="false">
      <c r="B133" s="74" t="s">
        <v>100</v>
      </c>
      <c r="C133" s="75" t="n">
        <v>10805</v>
      </c>
      <c r="D133" s="76" t="n">
        <v>353.81</v>
      </c>
      <c r="G133" s="77" t="n">
        <f aca="false">SUM(G2:G131)</f>
        <v>2377739</v>
      </c>
    </row>
    <row r="134" customFormat="false" ht="12.75" hidden="false" customHeight="false" outlineLevel="0" collapsed="false">
      <c r="C134" s="77" t="n">
        <f aca="false">SUM(C131:C133)</f>
        <v>32256</v>
      </c>
      <c r="D134" s="78" t="n">
        <f aca="false">(C131*D131+C132*D132+C133*D133)/C134</f>
        <v>330.253373325893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&amp;L&amp;D
&amp;T&amp;R&amp;F
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U39"/>
  <sheetViews>
    <sheetView showFormulas="false" showGridLines="true" showRowColHeaders="true" showZeros="true" rightToLeft="false" tabSelected="false" showOutlineSymbols="true" defaultGridColor="true" view="normal" topLeftCell="A1" colorId="64" zoomScale="80" zoomScaleNormal="80" zoomScalePageLayoutView="100" workbookViewId="0">
      <pane xSplit="4" ySplit="3" topLeftCell="E4" activePane="bottomRight" state="frozen"/>
      <selection pane="topLeft" activeCell="A1" activeCellId="0" sqref="A1"/>
      <selection pane="topRight" activeCell="E1" activeCellId="0" sqref="E1"/>
      <selection pane="bottomLeft" activeCell="A4" activeCellId="0" sqref="A4"/>
      <selection pane="bottomRight" activeCell="H19" activeCellId="0" sqref="H1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71" width="9.14"/>
    <col collapsed="false" customWidth="true" hidden="false" outlineLevel="0" max="3" min="3" style="45" width="4.41"/>
    <col collapsed="false" customWidth="true" hidden="false" outlineLevel="0" max="5" min="5" style="83" width="14.85"/>
    <col collapsed="false" customWidth="true" hidden="false" outlineLevel="0" max="6" min="6" style="0" width="9.99"/>
    <col collapsed="false" customWidth="true" hidden="false" outlineLevel="0" max="8" min="7" style="0" width="9.56"/>
    <col collapsed="false" customWidth="true" hidden="false" outlineLevel="0" max="9" min="9" style="1" width="10.56"/>
    <col collapsed="false" customWidth="true" hidden="false" outlineLevel="0" max="10" min="10" style="0" width="13.7"/>
    <col collapsed="false" customWidth="true" hidden="false" outlineLevel="0" max="11" min="11" style="0" width="10.71"/>
    <col collapsed="false" customWidth="true" hidden="false" outlineLevel="0" max="12" min="12" style="0" width="15.56"/>
    <col collapsed="false" customWidth="true" hidden="false" outlineLevel="0" max="13" min="13" style="21" width="9.99"/>
    <col collapsed="false" customWidth="true" hidden="false" outlineLevel="0" max="14" min="14" style="0" width="12.85"/>
    <col collapsed="false" customWidth="true" hidden="false" outlineLevel="0" max="17" min="15" style="0" width="11.99"/>
    <col collapsed="false" customWidth="true" hidden="false" outlineLevel="0" max="18" min="18" style="0" width="12.7"/>
    <col collapsed="false" customWidth="true" hidden="false" outlineLevel="0" max="19" min="19" style="0" width="10.85"/>
    <col collapsed="false" customWidth="true" hidden="false" outlineLevel="0" max="20" min="20" style="21" width="10.85"/>
  </cols>
  <sheetData>
    <row r="1" customFormat="false" ht="12.75" hidden="false" customHeight="false" outlineLevel="0" collapsed="false">
      <c r="E1" s="84" t="s">
        <v>101</v>
      </c>
      <c r="F1" s="85" t="s">
        <v>102</v>
      </c>
      <c r="N1" s="86" t="n">
        <v>0.03</v>
      </c>
      <c r="O1" s="87" t="n">
        <f aca="false">'G Price info'!D41/100</f>
        <v>0.196331105208825</v>
      </c>
      <c r="S1" s="85" t="s">
        <v>103</v>
      </c>
      <c r="T1" s="21" t="s">
        <v>103</v>
      </c>
    </row>
    <row r="2" customFormat="false" ht="12.75" hidden="false" customHeight="false" outlineLevel="0" collapsed="false">
      <c r="E2" s="84" t="s">
        <v>104</v>
      </c>
      <c r="F2" s="85" t="s">
        <v>105</v>
      </c>
      <c r="I2" s="5" t="s">
        <v>106</v>
      </c>
      <c r="J2" s="85" t="s">
        <v>106</v>
      </c>
      <c r="L2" s="85" t="s">
        <v>107</v>
      </c>
      <c r="M2" s="84" t="s">
        <v>107</v>
      </c>
      <c r="N2" s="85" t="s">
        <v>108</v>
      </c>
      <c r="O2" s="85" t="s">
        <v>109</v>
      </c>
      <c r="Q2" s="85" t="s">
        <v>109</v>
      </c>
      <c r="R2" s="85"/>
      <c r="S2" s="85" t="s">
        <v>110</v>
      </c>
      <c r="T2" s="84" t="s">
        <v>111</v>
      </c>
    </row>
    <row r="3" customFormat="false" ht="12.75" hidden="false" customHeight="false" outlineLevel="0" collapsed="false">
      <c r="E3" s="88" t="s">
        <v>9</v>
      </c>
      <c r="F3" s="85" t="s">
        <v>112</v>
      </c>
      <c r="G3" s="85" t="s">
        <v>2</v>
      </c>
      <c r="H3" s="85" t="s">
        <v>113</v>
      </c>
      <c r="I3" s="5" t="s">
        <v>114</v>
      </c>
      <c r="J3" s="85" t="s">
        <v>115</v>
      </c>
      <c r="L3" s="85" t="s">
        <v>115</v>
      </c>
      <c r="M3" s="84" t="s">
        <v>116</v>
      </c>
      <c r="N3" s="85" t="s">
        <v>117</v>
      </c>
      <c r="O3" s="85" t="s">
        <v>118</v>
      </c>
      <c r="Q3" s="85" t="s">
        <v>119</v>
      </c>
      <c r="R3" s="85"/>
      <c r="S3" s="85" t="s">
        <v>119</v>
      </c>
      <c r="T3" s="84" t="s">
        <v>114</v>
      </c>
    </row>
    <row r="4" customFormat="false" ht="12.75" hidden="false" customHeight="false" outlineLevel="0" collapsed="false">
      <c r="A4" s="1" t="s">
        <v>42</v>
      </c>
      <c r="B4" s="1" t="s">
        <v>120</v>
      </c>
      <c r="C4" s="38" t="s">
        <v>16</v>
      </c>
      <c r="D4" s="35" t="s">
        <v>32</v>
      </c>
      <c r="E4" s="89" t="n">
        <v>3605262.90343783</v>
      </c>
      <c r="F4" s="90" t="n">
        <v>5.95</v>
      </c>
      <c r="I4" s="91" t="n">
        <f aca="false">SUM(F4:H4)</f>
        <v>5.95</v>
      </c>
      <c r="J4" s="92" t="n">
        <f aca="false">E4*I4</f>
        <v>21451314.2754551</v>
      </c>
      <c r="T4" s="93" t="n">
        <f aca="false">I4+Q4</f>
        <v>5.95</v>
      </c>
    </row>
    <row r="5" customFormat="false" ht="12.75" hidden="false" customHeight="false" outlineLevel="0" collapsed="false">
      <c r="A5" s="1" t="s">
        <v>40</v>
      </c>
      <c r="B5" s="1"/>
      <c r="C5" s="38"/>
      <c r="D5" s="35" t="s">
        <v>34</v>
      </c>
      <c r="E5" s="89" t="n">
        <v>3588720.47330997</v>
      </c>
      <c r="F5" s="90" t="n">
        <v>1.66</v>
      </c>
      <c r="I5" s="91" t="n">
        <f aca="false">SUM(F5:H5)</f>
        <v>1.66</v>
      </c>
      <c r="J5" s="92" t="n">
        <f aca="false">E5*I5</f>
        <v>5957275.98569455</v>
      </c>
      <c r="T5" s="93" t="n">
        <f aca="false">I5+Q5</f>
        <v>1.66</v>
      </c>
    </row>
    <row r="6" customFormat="false" ht="12.75" hidden="false" customHeight="false" outlineLevel="0" collapsed="false">
      <c r="C6" s="35"/>
      <c r="D6" s="0" t="s">
        <v>121</v>
      </c>
      <c r="E6" s="89" t="n">
        <v>3732260.77171636</v>
      </c>
      <c r="F6" s="90" t="n">
        <v>-0.600000000000001</v>
      </c>
      <c r="I6" s="91" t="n">
        <f aca="false">SUM(F6:H6)</f>
        <v>-0.600000000000001</v>
      </c>
      <c r="J6" s="92" t="n">
        <f aca="false">E6*I6</f>
        <v>-2239356.46302982</v>
      </c>
      <c r="K6" s="94" t="n">
        <f aca="false">J6/SUM(E10:E12)</f>
        <v>-0.00135391603651436</v>
      </c>
      <c r="T6" s="93" t="n">
        <f aca="false">I6+Q6</f>
        <v>-0.600000000000001</v>
      </c>
    </row>
    <row r="7" customFormat="false" ht="12.75" hidden="false" customHeight="false" outlineLevel="0" collapsed="false">
      <c r="C7" s="38" t="s">
        <v>19</v>
      </c>
      <c r="D7" s="35" t="s">
        <v>34</v>
      </c>
      <c r="E7" s="89" t="n">
        <v>3414885.13799274</v>
      </c>
      <c r="F7" s="90" t="n">
        <v>1.62</v>
      </c>
      <c r="I7" s="91" t="n">
        <f aca="false">SUM(F7:H7)</f>
        <v>1.62</v>
      </c>
      <c r="J7" s="92" t="n">
        <f aca="false">E7*I7</f>
        <v>5532113.92354824</v>
      </c>
      <c r="T7" s="93" t="n">
        <f aca="false">I7+Q7</f>
        <v>1.62</v>
      </c>
    </row>
    <row r="8" customFormat="false" ht="12.75" hidden="false" customHeight="false" outlineLevel="0" collapsed="false">
      <c r="D8" s="0" t="s">
        <v>121</v>
      </c>
      <c r="E8" s="89" t="n">
        <v>3460870.48798938</v>
      </c>
      <c r="F8" s="90" t="n">
        <v>-0.600000000000001</v>
      </c>
      <c r="I8" s="91" t="n">
        <f aca="false">SUM(F8:H8)</f>
        <v>-0.600000000000001</v>
      </c>
      <c r="J8" s="92" t="n">
        <f aca="false">E8*I8</f>
        <v>-2076522.29279363</v>
      </c>
      <c r="K8" s="94" t="n">
        <f aca="false">J8/SUM(E13:E14)</f>
        <v>-0.00135401078538325</v>
      </c>
      <c r="T8" s="93" t="n">
        <f aca="false">I8+Q8</f>
        <v>-0.600000000000001</v>
      </c>
    </row>
    <row r="9" customFormat="false" ht="12.75" hidden="false" customHeight="false" outlineLevel="0" collapsed="false">
      <c r="F9" s="95"/>
    </row>
    <row r="10" customFormat="false" ht="12.75" hidden="false" customHeight="false" outlineLevel="0" collapsed="false">
      <c r="B10" s="71" t="s">
        <v>15</v>
      </c>
      <c r="C10" s="38" t="s">
        <v>16</v>
      </c>
      <c r="D10" s="35" t="s">
        <v>32</v>
      </c>
      <c r="E10" s="96" t="n">
        <f aca="false">[5]e20trans!$E$89+[5]e20trans!$E$92</f>
        <v>368025399.603286</v>
      </c>
      <c r="F10" s="97" t="n">
        <v>0.07408</v>
      </c>
      <c r="G10" s="86" t="n">
        <v>0.01</v>
      </c>
      <c r="H10" s="98" t="n">
        <v>-0.00432</v>
      </c>
      <c r="I10" s="99" t="n">
        <f aca="false">SUM(F10:H10)</f>
        <v>0.07976</v>
      </c>
      <c r="J10" s="92" t="n">
        <f aca="false">E10*I10</f>
        <v>29353705.8723581</v>
      </c>
      <c r="L10" s="92" t="n">
        <f aca="false">J4+J10+K6*E10</f>
        <v>50306744.6574457</v>
      </c>
      <c r="M10" s="100" t="n">
        <f aca="false">L10/E10</f>
        <v>0.136693675794317</v>
      </c>
      <c r="N10" s="94"/>
      <c r="O10" s="101" t="n">
        <f aca="false">O1-M10</f>
        <v>0.059637429414508</v>
      </c>
      <c r="Q10" s="102" t="n">
        <f aca="false">O10</f>
        <v>0.059637429414508</v>
      </c>
      <c r="R10" s="103" t="n">
        <f aca="false">E10*Q10</f>
        <v>21948088.7915871</v>
      </c>
      <c r="S10" s="94" t="n">
        <f aca="false">M10+Q10</f>
        <v>0.196331105208825</v>
      </c>
      <c r="T10" s="104" t="n">
        <f aca="false">I10+Q10</f>
        <v>0.139397429414508</v>
      </c>
      <c r="U10" s="55" t="n">
        <f aca="false">T10/$T$14</f>
        <v>2.01389603064416</v>
      </c>
    </row>
    <row r="11" customFormat="false" ht="12.75" hidden="false" customHeight="false" outlineLevel="0" collapsed="false">
      <c r="C11" s="38"/>
      <c r="D11" s="35" t="s">
        <v>34</v>
      </c>
      <c r="E11" s="96" t="n">
        <f aca="false">[5]e20trans!$F$89+[5]e20trans!$F$92</f>
        <v>382867303.510652</v>
      </c>
      <c r="F11" s="97" t="n">
        <v>0.04807</v>
      </c>
      <c r="G11" s="105" t="n">
        <f aca="false">G10</f>
        <v>0.01</v>
      </c>
      <c r="H11" s="106" t="n">
        <f aca="false">H10</f>
        <v>-0.00432</v>
      </c>
      <c r="I11" s="99" t="n">
        <f aca="false">SUM(F11:H11)</f>
        <v>0.05375</v>
      </c>
      <c r="J11" s="92" t="n">
        <f aca="false">E11*I11</f>
        <v>20579117.5636976</v>
      </c>
      <c r="L11" s="92" t="n">
        <f aca="false">J5+J11+E11*K6</f>
        <v>26018023.367312</v>
      </c>
      <c r="M11" s="100" t="n">
        <f aca="false">L11/E11</f>
        <v>0.067955720242348</v>
      </c>
      <c r="N11" s="94"/>
      <c r="P11" s="0" t="n">
        <v>1.5</v>
      </c>
      <c r="Q11" s="107" t="n">
        <f aca="false">P11*$Q$16</f>
        <v>0.0333716826787882</v>
      </c>
      <c r="R11" s="103" t="n">
        <f aca="false">E11*Q11</f>
        <v>12776926.1608408</v>
      </c>
      <c r="S11" s="94" t="n">
        <f aca="false">M11+Q11</f>
        <v>0.101327402921136</v>
      </c>
      <c r="T11" s="104" t="n">
        <f aca="false">I11+Q11</f>
        <v>0.0871216826787882</v>
      </c>
      <c r="U11" s="55" t="n">
        <f aca="false">T11/$T$14</f>
        <v>1.2586603043312</v>
      </c>
    </row>
    <row r="12" customFormat="false" ht="12.75" hidden="false" customHeight="false" outlineLevel="0" collapsed="false">
      <c r="A12" s="1"/>
      <c r="B12" s="1"/>
      <c r="C12" s="35"/>
      <c r="D12" s="35" t="s">
        <v>35</v>
      </c>
      <c r="E12" s="96" t="n">
        <f aca="false">[5]e20trans!$G$89+[5]e20trans!$G$92</f>
        <v>903092036.438311</v>
      </c>
      <c r="F12" s="97" t="n">
        <v>0.04149</v>
      </c>
      <c r="G12" s="105" t="n">
        <f aca="false">G10</f>
        <v>0.01</v>
      </c>
      <c r="H12" s="106" t="n">
        <f aca="false">H10</f>
        <v>-0.00432</v>
      </c>
      <c r="I12" s="99" t="n">
        <f aca="false">SUM(F12:H12)</f>
        <v>0.04717</v>
      </c>
      <c r="J12" s="92" t="n">
        <f aca="false">E12*I12</f>
        <v>42598851.3587951</v>
      </c>
      <c r="L12" s="92" t="n">
        <f aca="false">J12+E12*K6</f>
        <v>41376140.5682129</v>
      </c>
      <c r="M12" s="100" t="n">
        <f aca="false">L12/E12</f>
        <v>0.0458160839634856</v>
      </c>
      <c r="N12" s="94"/>
      <c r="P12" s="0" t="n">
        <v>1.1</v>
      </c>
      <c r="Q12" s="107" t="n">
        <f aca="false">P12*$Q$16</f>
        <v>0.024472567297778</v>
      </c>
      <c r="R12" s="103" t="n">
        <f aca="false">E12*Q12</f>
        <v>22100980.637824</v>
      </c>
      <c r="S12" s="94" t="n">
        <f aca="false">M12+Q12</f>
        <v>0.0702886512612637</v>
      </c>
      <c r="T12" s="104" t="n">
        <f aca="false">I12+Q12</f>
        <v>0.071642567297778</v>
      </c>
      <c r="U12" s="55" t="n">
        <f aca="false">T12/$T$14</f>
        <v>1.03503115166581</v>
      </c>
    </row>
    <row r="13" customFormat="false" ht="12.75" hidden="false" customHeight="false" outlineLevel="0" collapsed="false">
      <c r="A13" s="1"/>
      <c r="B13" s="1"/>
      <c r="C13" s="38" t="s">
        <v>19</v>
      </c>
      <c r="D13" s="35" t="s">
        <v>25</v>
      </c>
      <c r="E13" s="96" t="n">
        <f aca="false">[5]e20trans!$H$89+[5]e20trans!$H$92</f>
        <v>701553359.905618</v>
      </c>
      <c r="F13" s="97" t="n">
        <v>0.05317</v>
      </c>
      <c r="G13" s="105" t="n">
        <f aca="false">G10</f>
        <v>0.01</v>
      </c>
      <c r="H13" s="106" t="n">
        <f aca="false">H10</f>
        <v>-0.00432</v>
      </c>
      <c r="I13" s="99" t="n">
        <f aca="false">SUM(F13:H13)</f>
        <v>0.05885</v>
      </c>
      <c r="J13" s="92" t="n">
        <f aca="false">E13*I13</f>
        <v>41286415.2304456</v>
      </c>
      <c r="L13" s="92" t="n">
        <f aca="false">J7+J13+E13*K8</f>
        <v>45868618.3381598</v>
      </c>
      <c r="M13" s="100" t="n">
        <f aca="false">L13/E13</f>
        <v>0.0653815104589202</v>
      </c>
      <c r="N13" s="94"/>
      <c r="P13" s="0" t="n">
        <v>1.3</v>
      </c>
      <c r="Q13" s="107" t="n">
        <f aca="false">P13*$Q$16</f>
        <v>0.0289221249882831</v>
      </c>
      <c r="R13" s="103" t="n">
        <f aca="false">E13*Q13</f>
        <v>20290413.9611403</v>
      </c>
      <c r="S13" s="94" t="n">
        <f aca="false">M13+Q13</f>
        <v>0.0943036354472033</v>
      </c>
      <c r="T13" s="104" t="n">
        <f aca="false">I13+Q13</f>
        <v>0.0877721249882831</v>
      </c>
      <c r="U13" s="55" t="n">
        <f aca="false">T13/$T$14</f>
        <v>1.26805734408119</v>
      </c>
    </row>
    <row r="14" customFormat="false" ht="12.75" hidden="false" customHeight="false" outlineLevel="0" collapsed="false">
      <c r="A14" s="1"/>
      <c r="B14" s="1"/>
      <c r="C14" s="35"/>
      <c r="D14" s="35" t="s">
        <v>35</v>
      </c>
      <c r="E14" s="96" t="n">
        <f aca="false">[5]e20trans!$I$89+[5]e20trans!$I$92</f>
        <v>832055024.318496</v>
      </c>
      <c r="F14" s="97" t="n">
        <v>0.04129</v>
      </c>
      <c r="G14" s="105" t="n">
        <f aca="false">G10</f>
        <v>0.01</v>
      </c>
      <c r="H14" s="106" t="n">
        <f aca="false">H10</f>
        <v>-0.00432</v>
      </c>
      <c r="I14" s="99" t="n">
        <f aca="false">SUM(F14:H14)</f>
        <v>0.04697</v>
      </c>
      <c r="J14" s="108" t="n">
        <f aca="false">E14*I14</f>
        <v>39081624.4922398</v>
      </c>
      <c r="L14" s="108" t="n">
        <f aca="false">J14+E14*K8</f>
        <v>37955013.0152802</v>
      </c>
      <c r="M14" s="100" t="n">
        <f aca="false">L14/E14</f>
        <v>0.0456159892146168</v>
      </c>
      <c r="N14" s="94"/>
      <c r="P14" s="0" t="n">
        <v>1</v>
      </c>
      <c r="Q14" s="109" t="n">
        <f aca="false">P14*$Q$16</f>
        <v>0.0222477884525255</v>
      </c>
      <c r="R14" s="103" t="n">
        <f aca="false">E14*Q14</f>
        <v>18511384.1618988</v>
      </c>
      <c r="S14" s="94" t="n">
        <f aca="false">M14+Q14</f>
        <v>0.0678637776671422</v>
      </c>
      <c r="T14" s="104" t="n">
        <f aca="false">I14+Q14</f>
        <v>0.0692177884525255</v>
      </c>
      <c r="U14" s="55" t="n">
        <f aca="false">T14/$T$14</f>
        <v>1</v>
      </c>
    </row>
    <row r="15" customFormat="false" ht="12.75" hidden="false" customHeight="false" outlineLevel="0" collapsed="false">
      <c r="A15" s="1"/>
      <c r="B15" s="1"/>
      <c r="C15" s="35"/>
      <c r="D15" s="35"/>
      <c r="E15" s="96"/>
      <c r="F15" s="97"/>
      <c r="G15" s="105"/>
      <c r="H15" s="106"/>
      <c r="I15" s="99"/>
      <c r="J15" s="92"/>
      <c r="L15" s="92"/>
    </row>
    <row r="16" customFormat="false" ht="12.75" hidden="false" customHeight="false" outlineLevel="0" collapsed="false">
      <c r="A16" s="1"/>
      <c r="B16" s="1" t="s">
        <v>122</v>
      </c>
      <c r="C16" s="35"/>
      <c r="D16" s="35"/>
      <c r="E16" s="36" t="n">
        <f aca="false">SUM(E10:E14)</f>
        <v>3187593123.77636</v>
      </c>
      <c r="F16" s="97"/>
      <c r="G16" s="110"/>
      <c r="H16" s="99"/>
      <c r="I16" s="99"/>
      <c r="J16" s="111" t="n">
        <f aca="false">SUM(J4:J14)</f>
        <v>201524539.946411</v>
      </c>
      <c r="K16" s="1"/>
      <c r="L16" s="111" t="n">
        <f aca="false">SUM(L4:L14)</f>
        <v>201524539.946411</v>
      </c>
      <c r="N16" s="112" t="n">
        <f aca="false">E16*$N$1</f>
        <v>95627793.7132909</v>
      </c>
      <c r="O16" s="113" t="n">
        <f aca="false">E10*O10</f>
        <v>21948088.7915871</v>
      </c>
      <c r="P16" s="113" t="n">
        <f aca="false">N16-O16</f>
        <v>73679704.9217038</v>
      </c>
      <c r="Q16" s="19" t="n">
        <f aca="false">P16/SUMPRODUCT(E11:E14,P11:P14)</f>
        <v>0.0222477884525255</v>
      </c>
      <c r="R16" s="112" t="n">
        <f aca="false">SUM(R10:R14)</f>
        <v>95627793.7132909</v>
      </c>
      <c r="S16" s="1"/>
    </row>
    <row r="19" customFormat="false" ht="12.75" hidden="false" customHeight="false" outlineLevel="0" collapsed="false">
      <c r="A19" s="1" t="s">
        <v>51</v>
      </c>
      <c r="B19" s="71" t="s">
        <v>120</v>
      </c>
      <c r="C19" s="45" t="s">
        <v>16</v>
      </c>
      <c r="D19" s="0" t="s">
        <v>123</v>
      </c>
      <c r="E19" s="114" t="n">
        <f aca="false">[10]agtran!$C$76</f>
        <v>1059011.5</v>
      </c>
      <c r="F19" s="97" t="n">
        <v>0.04</v>
      </c>
      <c r="I19" s="91" t="n">
        <f aca="false">SUM(F19:H19)</f>
        <v>0.04</v>
      </c>
      <c r="J19" s="92" t="n">
        <f aca="false">E19*I19</f>
        <v>42360.46</v>
      </c>
      <c r="K19" s="94" t="n">
        <f aca="false">J19/SUM(E22:E23)</f>
        <v>0.000392828808075286</v>
      </c>
      <c r="T19" s="93" t="n">
        <f aca="false">I19+Q19</f>
        <v>0.04</v>
      </c>
    </row>
    <row r="20" customFormat="false" ht="12.75" hidden="false" customHeight="false" outlineLevel="0" collapsed="false">
      <c r="C20" s="45" t="s">
        <v>19</v>
      </c>
      <c r="D20" s="0" t="s">
        <v>123</v>
      </c>
      <c r="E20" s="114" t="n">
        <f aca="false">[10]agtran!$D$76</f>
        <v>1003566.5</v>
      </c>
      <c r="F20" s="97" t="n">
        <v>0.0300000000000003</v>
      </c>
      <c r="I20" s="91" t="n">
        <f aca="false">SUM(F20:H20)</f>
        <v>0.0300000000000003</v>
      </c>
      <c r="J20" s="92" t="n">
        <f aca="false">E20*I20</f>
        <v>30106.9950000003</v>
      </c>
      <c r="K20" s="94" t="n">
        <f aca="false">J20/SUM(E24:E25)</f>
        <v>0.00106092849917937</v>
      </c>
      <c r="T20" s="93" t="n">
        <f aca="false">I20+Q20</f>
        <v>0.0300000000000003</v>
      </c>
    </row>
    <row r="21" customFormat="false" ht="12.75" hidden="false" customHeight="false" outlineLevel="0" collapsed="false">
      <c r="F21" s="97"/>
    </row>
    <row r="22" customFormat="false" ht="12.75" hidden="false" customHeight="false" outlineLevel="0" collapsed="false">
      <c r="A22" s="1"/>
      <c r="B22" s="26" t="s">
        <v>15</v>
      </c>
      <c r="C22" s="28" t="s">
        <v>16</v>
      </c>
      <c r="D22" s="35" t="s">
        <v>32</v>
      </c>
      <c r="E22" s="115" t="n">
        <f aca="false">[10]agtran!$G$47</f>
        <v>12217637.8599</v>
      </c>
      <c r="F22" s="97" t="n">
        <v>0.27413</v>
      </c>
      <c r="G22" s="106" t="n">
        <f aca="false">G10</f>
        <v>0.01</v>
      </c>
      <c r="I22" s="99" t="n">
        <f aca="false">SUM(F22:H22)</f>
        <v>0.28413</v>
      </c>
      <c r="J22" s="92" t="n">
        <f aca="false">E22*I22</f>
        <v>3471397.44513339</v>
      </c>
      <c r="L22" s="92" t="n">
        <f aca="false">J22+E22*K19</f>
        <v>3476196.88525139</v>
      </c>
      <c r="M22" s="100" t="n">
        <f aca="false">L22/E22</f>
        <v>0.284522828808075</v>
      </c>
      <c r="N22" s="94"/>
      <c r="O22" s="101" t="n">
        <v>0</v>
      </c>
      <c r="Q22" s="102" t="n">
        <f aca="false">O22</f>
        <v>0</v>
      </c>
      <c r="R22" s="103" t="n">
        <f aca="false">E22*Q22</f>
        <v>0</v>
      </c>
      <c r="S22" s="94" t="n">
        <f aca="false">M22+Q22</f>
        <v>0.284522828808075</v>
      </c>
      <c r="T22" s="104" t="n">
        <f aca="false">I22+Q22</f>
        <v>0.28413</v>
      </c>
      <c r="U22" s="55" t="n">
        <f aca="false">T22/$T$25</f>
        <v>3.45913438923417</v>
      </c>
    </row>
    <row r="23" customFormat="false" ht="12.75" hidden="false" customHeight="false" outlineLevel="0" collapsed="false">
      <c r="A23" s="1"/>
      <c r="B23" s="26"/>
      <c r="C23" s="26"/>
      <c r="D23" s="35" t="s">
        <v>35</v>
      </c>
      <c r="E23" s="115" t="n">
        <f aca="false">[10]agtran!$I$47</f>
        <v>95616765.1401</v>
      </c>
      <c r="F23" s="97" t="n">
        <v>0.05855</v>
      </c>
      <c r="G23" s="106" t="n">
        <f aca="false">G22</f>
        <v>0.01</v>
      </c>
      <c r="I23" s="99" t="n">
        <f aca="false">SUM(F23:H23)</f>
        <v>0.06855</v>
      </c>
      <c r="J23" s="92" t="n">
        <f aca="false">E23*I23</f>
        <v>6554529.25035386</v>
      </c>
      <c r="L23" s="92" t="n">
        <f aca="false">J23+E23*K19</f>
        <v>6592090.27023586</v>
      </c>
      <c r="M23" s="100" t="n">
        <f aca="false">L23/E23</f>
        <v>0.0689428288080753</v>
      </c>
      <c r="N23" s="94"/>
      <c r="P23" s="0" t="n">
        <v>1.1</v>
      </c>
      <c r="Q23" s="107" t="n">
        <f aca="false">P23*$Q$27</f>
        <v>0.0329659510078374</v>
      </c>
      <c r="R23" s="103" t="n">
        <f aca="false">E23*Q23</f>
        <v>3152097.59513643</v>
      </c>
      <c r="S23" s="94" t="n">
        <f aca="false">M23+Q23</f>
        <v>0.101908779815913</v>
      </c>
      <c r="T23" s="104" t="n">
        <f aca="false">I23+Q23</f>
        <v>0.101515951007837</v>
      </c>
      <c r="U23" s="55" t="n">
        <f aca="false">T23/$T$25</f>
        <v>1.23590369614972</v>
      </c>
    </row>
    <row r="24" customFormat="false" ht="12.75" hidden="false" customHeight="false" outlineLevel="0" collapsed="false">
      <c r="A24" s="1"/>
      <c r="B24" s="26"/>
      <c r="C24" s="28" t="s">
        <v>19</v>
      </c>
      <c r="D24" s="35" t="s">
        <v>34</v>
      </c>
      <c r="E24" s="115" t="n">
        <f aca="false">[10]agtran!$J$47</f>
        <v>9322162.488</v>
      </c>
      <c r="F24" s="97" t="n">
        <v>0.05483</v>
      </c>
      <c r="G24" s="106" t="n">
        <f aca="false">G22</f>
        <v>0.01</v>
      </c>
      <c r="I24" s="99" t="n">
        <f aca="false">SUM(F24:H24)</f>
        <v>0.06483</v>
      </c>
      <c r="J24" s="92" t="n">
        <f aca="false">E24*I24</f>
        <v>604355.79409704</v>
      </c>
      <c r="L24" s="92" t="n">
        <f aca="false">J24+E24*K20</f>
        <v>614245.94195454</v>
      </c>
      <c r="M24" s="100" t="n">
        <f aca="false">L24/E24</f>
        <v>0.0658909284991794</v>
      </c>
      <c r="N24" s="94"/>
      <c r="P24" s="0" t="n">
        <v>1.3</v>
      </c>
      <c r="Q24" s="107" t="n">
        <f aca="false">P24*$Q$27</f>
        <v>0.0389597602819896</v>
      </c>
      <c r="R24" s="103" t="n">
        <f aca="false">E24*Q24</f>
        <v>363189.215842236</v>
      </c>
      <c r="S24" s="94" t="n">
        <f aca="false">M24+Q24</f>
        <v>0.104850688781169</v>
      </c>
      <c r="T24" s="104" t="n">
        <f aca="false">I24+Q24</f>
        <v>0.10378976028199</v>
      </c>
      <c r="U24" s="55" t="n">
        <f aca="false">T24/$T$25</f>
        <v>1.26358613677472</v>
      </c>
    </row>
    <row r="25" customFormat="false" ht="12.75" hidden="false" customHeight="false" outlineLevel="0" collapsed="false">
      <c r="A25" s="1"/>
      <c r="B25" s="26"/>
      <c r="C25" s="26"/>
      <c r="D25" s="35" t="s">
        <v>35</v>
      </c>
      <c r="E25" s="115" t="n">
        <f aca="false">[10]agtran!$B$76</f>
        <v>19055805.512</v>
      </c>
      <c r="F25" s="97" t="n">
        <v>0.04217</v>
      </c>
      <c r="G25" s="106" t="n">
        <f aca="false">G22</f>
        <v>0.01</v>
      </c>
      <c r="I25" s="99" t="n">
        <f aca="false">SUM(F25:H25)</f>
        <v>0.05217</v>
      </c>
      <c r="J25" s="108" t="n">
        <f aca="false">E25*I25</f>
        <v>994141.37356104</v>
      </c>
      <c r="L25" s="108" t="n">
        <f aca="false">J25+E25*K20</f>
        <v>1014358.22070354</v>
      </c>
      <c r="M25" s="100" t="n">
        <f aca="false">L25/E25</f>
        <v>0.0532309284991794</v>
      </c>
      <c r="N25" s="94"/>
      <c r="P25" s="0" t="n">
        <v>1</v>
      </c>
      <c r="Q25" s="109" t="n">
        <f aca="false">P25*$Q$27</f>
        <v>0.0299690463707612</v>
      </c>
      <c r="R25" s="103" t="n">
        <f aca="false">E25*Q25</f>
        <v>571084.319021336</v>
      </c>
      <c r="S25" s="94" t="n">
        <f aca="false">M25+Q25</f>
        <v>0.0831999748699406</v>
      </c>
      <c r="T25" s="104" t="n">
        <f aca="false">I25+Q25</f>
        <v>0.0821390463707613</v>
      </c>
      <c r="U25" s="55" t="n">
        <f aca="false">T25/$T$25</f>
        <v>1</v>
      </c>
    </row>
    <row r="27" customFormat="false" ht="12.75" hidden="false" customHeight="false" outlineLevel="0" collapsed="false">
      <c r="A27" s="116"/>
      <c r="B27" s="1" t="s">
        <v>122</v>
      </c>
      <c r="C27" s="117"/>
      <c r="D27" s="1"/>
      <c r="E27" s="118" t="n">
        <f aca="false">SUM(E22:E25)</f>
        <v>136212371</v>
      </c>
      <c r="F27" s="1"/>
      <c r="G27" s="1"/>
      <c r="H27" s="1"/>
      <c r="J27" s="111" t="n">
        <f aca="false">SUM(J19:J25)</f>
        <v>11696891.3181453</v>
      </c>
      <c r="K27" s="1"/>
      <c r="L27" s="111" t="n">
        <f aca="false">SUM(L19:L25)</f>
        <v>11696891.3181453</v>
      </c>
      <c r="N27" s="112" t="n">
        <f aca="false">E27*$N$1</f>
        <v>4086371.13</v>
      </c>
      <c r="O27" s="113" t="n">
        <f aca="false">O22*E27</f>
        <v>0</v>
      </c>
      <c r="P27" s="113" t="n">
        <f aca="false">N27-O27</f>
        <v>4086371.13</v>
      </c>
      <c r="Q27" s="19" t="n">
        <f aca="false">P27/SUMPRODUCT(E22:E25,P22:P25)</f>
        <v>0.0299690463707612</v>
      </c>
      <c r="R27" s="112" t="n">
        <f aca="false">SUM(R22:R25)</f>
        <v>4086371.13</v>
      </c>
      <c r="S27" s="1"/>
    </row>
    <row r="30" customFormat="false" ht="12.75" hidden="false" customHeight="false" outlineLevel="0" collapsed="false">
      <c r="A30" s="1" t="s">
        <v>56</v>
      </c>
      <c r="B30" s="71" t="s">
        <v>120</v>
      </c>
      <c r="C30" s="45" t="s">
        <v>16</v>
      </c>
      <c r="D30" s="0" t="s">
        <v>32</v>
      </c>
      <c r="E30" s="119" t="n">
        <f aca="false">[10]agtran!$E$79</f>
        <v>1328978.18294186</v>
      </c>
      <c r="F30" s="97" t="n">
        <v>0.04</v>
      </c>
      <c r="I30" s="91" t="n">
        <f aca="false">SUM(F30:H30)</f>
        <v>0.04</v>
      </c>
      <c r="J30" s="92" t="n">
        <f aca="false">E30*I30</f>
        <v>53159.1273176743</v>
      </c>
      <c r="T30" s="93" t="n">
        <f aca="false">I30+Q30</f>
        <v>0.04</v>
      </c>
    </row>
    <row r="31" customFormat="false" ht="12.75" hidden="false" customHeight="false" outlineLevel="0" collapsed="false">
      <c r="D31" s="0" t="s">
        <v>121</v>
      </c>
      <c r="E31" s="119" t="n">
        <f aca="false">[10]agtran!$C$79</f>
        <v>2568320.5</v>
      </c>
      <c r="F31" s="97" t="n">
        <v>0.04</v>
      </c>
      <c r="I31" s="91" t="n">
        <f aca="false">SUM(F31:H31)</f>
        <v>0.04</v>
      </c>
      <c r="J31" s="92" t="n">
        <f aca="false">E31*I31</f>
        <v>102732.82</v>
      </c>
      <c r="K31" s="94" t="n">
        <f aca="false">J31/SUM(E34:E35)</f>
        <v>0.000353647768769742</v>
      </c>
      <c r="T31" s="93" t="n">
        <f aca="false">I31+Q31</f>
        <v>0.04</v>
      </c>
    </row>
    <row r="32" customFormat="false" ht="12.75" hidden="false" customHeight="false" outlineLevel="0" collapsed="false">
      <c r="C32" s="45" t="s">
        <v>19</v>
      </c>
      <c r="D32" s="0" t="s">
        <v>121</v>
      </c>
      <c r="E32" s="119" t="n">
        <f aca="false">[10]agtran!$D$79</f>
        <v>2529345.5</v>
      </c>
      <c r="F32" s="97" t="n">
        <v>0.02</v>
      </c>
      <c r="I32" s="91" t="n">
        <f aca="false">SUM(F32:H32)</f>
        <v>0.02</v>
      </c>
      <c r="J32" s="92" t="n">
        <f aca="false">E32*I32</f>
        <v>50586.91</v>
      </c>
      <c r="K32" s="94" t="n">
        <f aca="false">J32/SUM(E36:E37)</f>
        <v>0.000597036674884438</v>
      </c>
      <c r="T32" s="93" t="n">
        <f aca="false">I32+Q32</f>
        <v>0.02</v>
      </c>
    </row>
    <row r="33" customFormat="false" ht="12.75" hidden="false" customHeight="false" outlineLevel="0" collapsed="false">
      <c r="F33" s="97"/>
    </row>
    <row r="34" customFormat="false" ht="12.75" hidden="false" customHeight="false" outlineLevel="0" collapsed="false">
      <c r="A34" s="1"/>
      <c r="B34" s="1"/>
      <c r="C34" s="28" t="s">
        <v>16</v>
      </c>
      <c r="D34" s="35" t="s">
        <v>32</v>
      </c>
      <c r="E34" s="119" t="n">
        <f aca="false">[10]agtran!$G$50</f>
        <v>44765240.89795</v>
      </c>
      <c r="F34" s="86" t="n">
        <v>0.19101</v>
      </c>
      <c r="G34" s="106" t="n">
        <f aca="false">G10</f>
        <v>0.01</v>
      </c>
      <c r="I34" s="99" t="n">
        <f aca="false">SUM(F34:H34)</f>
        <v>0.20101</v>
      </c>
      <c r="J34" s="92" t="n">
        <f aca="false">E34*I34</f>
        <v>8998261.07289693</v>
      </c>
      <c r="L34" s="92" t="n">
        <f aca="false">J30+J34+E34*K31</f>
        <v>9067251.3277766</v>
      </c>
      <c r="M34" s="100" t="n">
        <f aca="false">L34/E34</f>
        <v>0.202551156788075</v>
      </c>
      <c r="N34" s="94"/>
      <c r="O34" s="101" t="n">
        <v>0</v>
      </c>
      <c r="Q34" s="102" t="n">
        <f aca="false">O34</f>
        <v>0</v>
      </c>
      <c r="R34" s="103" t="n">
        <f aca="false">E34*Q34</f>
        <v>0</v>
      </c>
      <c r="S34" s="94" t="n">
        <f aca="false">M34+Q34</f>
        <v>0.202551156788075</v>
      </c>
      <c r="T34" s="104" t="n">
        <f aca="false">I34+Q34</f>
        <v>0.20101</v>
      </c>
      <c r="U34" s="55" t="n">
        <f aca="false">T34/$T$37</f>
        <v>2.26314692282103</v>
      </c>
    </row>
    <row r="35" customFormat="false" ht="12.75" hidden="false" customHeight="false" outlineLevel="0" collapsed="false">
      <c r="A35" s="1"/>
      <c r="B35" s="1"/>
      <c r="C35" s="26"/>
      <c r="D35" s="35" t="s">
        <v>35</v>
      </c>
      <c r="E35" s="119" t="n">
        <f aca="false">[10]agtran!$I$50</f>
        <v>245729508.60205</v>
      </c>
      <c r="F35" s="86" t="n">
        <v>0.05559</v>
      </c>
      <c r="G35" s="106" t="n">
        <f aca="false">G34</f>
        <v>0.01</v>
      </c>
      <c r="I35" s="99" t="n">
        <f aca="false">SUM(F35:H35)</f>
        <v>0.06559</v>
      </c>
      <c r="J35" s="92" t="n">
        <f aca="false">E35*I35</f>
        <v>16117398.4692085</v>
      </c>
      <c r="L35" s="92" t="n">
        <f aca="false">J35+E35*K31</f>
        <v>16204300.1616465</v>
      </c>
      <c r="M35" s="100" t="n">
        <f aca="false">L35/E35</f>
        <v>0.0659436477687698</v>
      </c>
      <c r="N35" s="94"/>
      <c r="P35" s="0" t="n">
        <v>1.1</v>
      </c>
      <c r="Q35" s="107" t="n">
        <f aca="false">P35*$Q$39</f>
        <v>0.0338236829606908</v>
      </c>
      <c r="R35" s="103" t="n">
        <f aca="false">E35*Q35</f>
        <v>8311476.99304208</v>
      </c>
      <c r="S35" s="94" t="n">
        <f aca="false">M35+Q35</f>
        <v>0.0997673307294605</v>
      </c>
      <c r="T35" s="104" t="n">
        <f aca="false">I35+Q35</f>
        <v>0.0994136829606908</v>
      </c>
      <c r="U35" s="55" t="n">
        <f aca="false">T35/$T$37</f>
        <v>1.11928645678719</v>
      </c>
    </row>
    <row r="36" customFormat="false" ht="12.75" hidden="false" customHeight="false" outlineLevel="0" collapsed="false">
      <c r="A36" s="1"/>
      <c r="B36" s="1"/>
      <c r="C36" s="28" t="s">
        <v>19</v>
      </c>
      <c r="D36" s="35" t="s">
        <v>34</v>
      </c>
      <c r="E36" s="119" t="n">
        <f aca="false">[10]agtran!$J$50</f>
        <v>36849071.56375</v>
      </c>
      <c r="F36" s="86" t="n">
        <v>0.0621</v>
      </c>
      <c r="G36" s="106" t="n">
        <f aca="false">G34</f>
        <v>0.01</v>
      </c>
      <c r="I36" s="99" t="n">
        <f aca="false">SUM(F36:H36)</f>
        <v>0.0721</v>
      </c>
      <c r="J36" s="92" t="n">
        <f aca="false">E36*I36</f>
        <v>2656818.05974638</v>
      </c>
      <c r="L36" s="92" t="n">
        <f aca="false">J36+E36*K32</f>
        <v>2678818.30690538</v>
      </c>
      <c r="M36" s="100" t="n">
        <f aca="false">L36/E36</f>
        <v>0.0726970366748844</v>
      </c>
      <c r="N36" s="94"/>
      <c r="P36" s="0" t="n">
        <v>1.3</v>
      </c>
      <c r="Q36" s="107" t="n">
        <f aca="false">P36*$Q$39</f>
        <v>0.0399734434989982</v>
      </c>
      <c r="R36" s="103" t="n">
        <f aca="false">E36*Q36</f>
        <v>1472984.2801441</v>
      </c>
      <c r="S36" s="94" t="n">
        <f aca="false">M36+Q36</f>
        <v>0.112670480173883</v>
      </c>
      <c r="T36" s="104" t="n">
        <f aca="false">I36+Q36</f>
        <v>0.112073443498998</v>
      </c>
      <c r="U36" s="55" t="n">
        <f aca="false">T36/$T$37</f>
        <v>1.26182114713056</v>
      </c>
    </row>
    <row r="37" customFormat="false" ht="12.75" hidden="false" customHeight="false" outlineLevel="0" collapsed="false">
      <c r="A37" s="1"/>
      <c r="B37" s="1"/>
      <c r="C37" s="26"/>
      <c r="D37" s="35" t="s">
        <v>35</v>
      </c>
      <c r="E37" s="119" t="n">
        <f aca="false">[10]agtran!$B$79</f>
        <v>47880915.93625</v>
      </c>
      <c r="F37" s="86" t="n">
        <v>0.04807</v>
      </c>
      <c r="G37" s="106" t="n">
        <f aca="false">G34</f>
        <v>0.01</v>
      </c>
      <c r="I37" s="99" t="n">
        <f aca="false">SUM(F37:H37)</f>
        <v>0.05807</v>
      </c>
      <c r="J37" s="108" t="n">
        <f aca="false">E37*I37</f>
        <v>2780444.78841804</v>
      </c>
      <c r="L37" s="108" t="n">
        <f aca="false">J37+E37*K32</f>
        <v>2809031.45125904</v>
      </c>
      <c r="M37" s="100" t="n">
        <f aca="false">L37/E37</f>
        <v>0.0586670366748844</v>
      </c>
      <c r="N37" s="94"/>
      <c r="P37" s="0" t="n">
        <v>1</v>
      </c>
      <c r="Q37" s="109" t="n">
        <f aca="false">P37*$Q$39</f>
        <v>0.0307488026915371</v>
      </c>
      <c r="R37" s="103" t="n">
        <f aca="false">E37*Q37</f>
        <v>1472280.83681382</v>
      </c>
      <c r="S37" s="94" t="n">
        <f aca="false">M37+Q37</f>
        <v>0.0894158393664215</v>
      </c>
      <c r="T37" s="104" t="n">
        <f aca="false">I37+Q37</f>
        <v>0.0888188026915371</v>
      </c>
      <c r="U37" s="55" t="n">
        <f aca="false">T37/$T$37</f>
        <v>1</v>
      </c>
    </row>
    <row r="39" customFormat="false" ht="12.75" hidden="false" customHeight="false" outlineLevel="0" collapsed="false">
      <c r="A39" s="116"/>
      <c r="B39" s="1" t="s">
        <v>122</v>
      </c>
      <c r="C39" s="117"/>
      <c r="D39" s="1"/>
      <c r="E39" s="118" t="n">
        <f aca="false">SUM(E34:E37)</f>
        <v>375224737</v>
      </c>
      <c r="F39" s="1"/>
      <c r="G39" s="1"/>
      <c r="H39" s="1"/>
      <c r="J39" s="111" t="n">
        <f aca="false">SUM(J30:J37)</f>
        <v>30759401.2475875</v>
      </c>
      <c r="K39" s="1"/>
      <c r="L39" s="111" t="n">
        <f aca="false">SUM(L30:L37)</f>
        <v>30759401.2475875</v>
      </c>
      <c r="N39" s="112" t="n">
        <f aca="false">E39*$N$1</f>
        <v>11256742.11</v>
      </c>
      <c r="O39" s="113" t="n">
        <f aca="false">O34*E39</f>
        <v>0</v>
      </c>
      <c r="P39" s="113" t="n">
        <f aca="false">N39-O39</f>
        <v>11256742.11</v>
      </c>
      <c r="Q39" s="19" t="n">
        <f aca="false">P39/SUMPRODUCT(E34:E37,P34:P37)</f>
        <v>0.0307488026915371</v>
      </c>
      <c r="R39" s="112" t="n">
        <f aca="false">SUM(R34:R37)</f>
        <v>11256742.11</v>
      </c>
      <c r="S39" s="1"/>
    </row>
  </sheetData>
  <printOptions headings="false" gridLines="false" gridLinesSet="true" horizontalCentered="false" verticalCentered="false"/>
  <pageMargins left="0.747916666666667" right="0.747916666666667" top="0.75" bottom="0.984027777777778" header="0.511811023622047" footer="0.5"/>
  <pageSetup paperSize="1" scale="8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
&amp;T&amp;R&amp;F
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N74"/>
  <sheetViews>
    <sheetView showFormulas="false" showGridLines="true" showRowColHeaders="true" showZeros="true" rightToLeft="false" tabSelected="false" showOutlineSymbols="true" defaultGridColor="true" view="normal" topLeftCell="M1" colorId="64" zoomScale="100" zoomScaleNormal="100" zoomScalePageLayoutView="100" workbookViewId="0">
      <selection pane="topLeft" activeCell="P6" activeCellId="0" sqref="P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120" width="4.41"/>
    <col collapsed="false" customWidth="true" hidden="false" outlineLevel="0" max="3" min="3" style="120" width="7.42"/>
    <col collapsed="false" customWidth="true" hidden="false" outlineLevel="0" max="4" min="4" style="120" width="10.99"/>
    <col collapsed="false" customWidth="true" hidden="false" outlineLevel="0" max="5" min="5" style="120" width="4.85"/>
    <col collapsed="false" customWidth="true" hidden="false" outlineLevel="0" max="6" min="6" style="120" width="7.42"/>
    <col collapsed="false" customWidth="true" hidden="false" outlineLevel="0" max="8" min="7" style="120" width="10.56"/>
    <col collapsed="false" customWidth="true" hidden="false" outlineLevel="0" max="9" min="9" style="120" width="4.85"/>
    <col collapsed="false" customWidth="true" hidden="false" outlineLevel="0" max="10" min="10" style="120" width="7.42"/>
    <col collapsed="false" customWidth="true" hidden="false" outlineLevel="0" max="11" min="11" style="120" width="10.71"/>
    <col collapsed="false" customWidth="true" hidden="false" outlineLevel="0" max="13" min="12" style="120" width="9.56"/>
    <col collapsed="false" customWidth="true" hidden="false" outlineLevel="0" max="14" min="14" style="120" width="4.85"/>
    <col collapsed="false" customWidth="true" hidden="false" outlineLevel="0" max="15" min="15" style="120" width="7.42"/>
    <col collapsed="false" customWidth="true" hidden="false" outlineLevel="0" max="18" min="16" style="120" width="10.56"/>
    <col collapsed="false" customWidth="true" hidden="false" outlineLevel="0" max="19" min="19" style="120" width="9.56"/>
    <col collapsed="false" customWidth="true" hidden="false" outlineLevel="0" max="20" min="20" style="120" width="4.85"/>
    <col collapsed="false" customWidth="true" hidden="false" outlineLevel="0" max="21" min="21" style="120" width="7.42"/>
    <col collapsed="false" customWidth="true" hidden="false" outlineLevel="0" max="25" min="22" style="120" width="10.56"/>
    <col collapsed="false" customWidth="true" hidden="false" outlineLevel="0" max="26" min="26" style="120" width="9.56"/>
    <col collapsed="false" customWidth="true" hidden="false" outlineLevel="0" max="27" min="27" style="120" width="8.99"/>
    <col collapsed="false" customWidth="true" hidden="false" outlineLevel="0" max="28" min="28" style="120" width="12.85"/>
    <col collapsed="false" customWidth="true" hidden="false" outlineLevel="0" max="30" min="29" style="120" width="11.99"/>
    <col collapsed="false" customWidth="true" hidden="false" outlineLevel="0" max="32" min="31" style="120" width="10.85"/>
    <col collapsed="false" customWidth="true" hidden="false" outlineLevel="0" max="33" min="33" style="120" width="13.28"/>
    <col collapsed="false" customWidth="true" hidden="false" outlineLevel="0" max="34" min="34" style="120" width="9.85"/>
    <col collapsed="false" customWidth="true" hidden="false" outlineLevel="0" max="37" min="35" style="120" width="12.85"/>
    <col collapsed="false" customWidth="true" hidden="false" outlineLevel="0" max="39" min="38" style="120" width="11.99"/>
    <col collapsed="false" customWidth="true" hidden="false" outlineLevel="0" max="40" min="40" style="120" width="12.85"/>
  </cols>
  <sheetData>
    <row r="1" customFormat="false" ht="12.2" hidden="false" customHeight="true" outlineLevel="0" collapsed="false">
      <c r="A1" s="120" t="s">
        <v>124</v>
      </c>
      <c r="B1" s="121" t="s">
        <v>125</v>
      </c>
      <c r="C1" s="120" t="s">
        <v>126</v>
      </c>
      <c r="D1" s="120" t="s">
        <v>127</v>
      </c>
      <c r="E1" s="120" t="s">
        <v>128</v>
      </c>
      <c r="F1" s="120" t="s">
        <v>126</v>
      </c>
      <c r="G1" s="120" t="s">
        <v>129</v>
      </c>
      <c r="H1" s="120" t="s">
        <v>130</v>
      </c>
      <c r="I1" s="120" t="s">
        <v>131</v>
      </c>
      <c r="J1" s="120" t="s">
        <v>126</v>
      </c>
      <c r="K1" s="120" t="s">
        <v>129</v>
      </c>
      <c r="L1" s="120" t="s">
        <v>132</v>
      </c>
      <c r="M1" s="120" t="s">
        <v>133</v>
      </c>
      <c r="N1" s="120" t="s">
        <v>134</v>
      </c>
      <c r="O1" s="120" t="s">
        <v>126</v>
      </c>
      <c r="P1" s="120" t="s">
        <v>129</v>
      </c>
      <c r="Q1" s="120" t="s">
        <v>132</v>
      </c>
      <c r="R1" s="120" t="s">
        <v>135</v>
      </c>
      <c r="S1" s="120" t="s">
        <v>136</v>
      </c>
      <c r="T1" s="120" t="s">
        <v>137</v>
      </c>
      <c r="U1" s="120" t="s">
        <v>126</v>
      </c>
      <c r="V1" s="120" t="s">
        <v>129</v>
      </c>
      <c r="W1" s="120" t="s">
        <v>132</v>
      </c>
      <c r="X1" s="120" t="s">
        <v>135</v>
      </c>
      <c r="Y1" s="120" t="s">
        <v>138</v>
      </c>
      <c r="Z1" s="120" t="s">
        <v>139</v>
      </c>
      <c r="AA1" s="120" t="s">
        <v>140</v>
      </c>
      <c r="AB1" s="120" t="s">
        <v>141</v>
      </c>
      <c r="AC1" s="120" t="s">
        <v>142</v>
      </c>
      <c r="AD1" s="120" t="s">
        <v>143</v>
      </c>
      <c r="AE1" s="120" t="s">
        <v>144</v>
      </c>
      <c r="AF1" s="120" t="s">
        <v>145</v>
      </c>
      <c r="AG1" s="120" t="s">
        <v>146</v>
      </c>
    </row>
    <row r="2" customFormat="false" ht="12.2" hidden="false" customHeight="true" outlineLevel="0" collapsed="false">
      <c r="A2" s="120" t="s">
        <v>147</v>
      </c>
      <c r="B2" s="121"/>
      <c r="N2" s="120" t="s">
        <v>147</v>
      </c>
      <c r="AA2" s="120" t="s">
        <v>147</v>
      </c>
    </row>
    <row r="3" customFormat="false" ht="12.75" hidden="false" customHeight="false" outlineLevel="0" collapsed="false">
      <c r="A3" s="120" t="s">
        <v>148</v>
      </c>
      <c r="B3" s="120" t="n">
        <v>1</v>
      </c>
      <c r="C3" s="0" t="n">
        <v>85</v>
      </c>
      <c r="D3" s="0" t="n">
        <v>13261</v>
      </c>
      <c r="E3" s="120" t="n">
        <v>1</v>
      </c>
      <c r="F3" s="0" t="n">
        <v>14172</v>
      </c>
      <c r="G3" s="0" t="n">
        <v>61051766</v>
      </c>
      <c r="H3" s="0" t="n">
        <v>983875</v>
      </c>
      <c r="I3" s="120" t="n">
        <v>1</v>
      </c>
      <c r="J3" s="0" t="n">
        <v>17838</v>
      </c>
      <c r="K3" s="0" t="n">
        <v>93300791</v>
      </c>
      <c r="L3" s="0" t="n">
        <v>8378498</v>
      </c>
      <c r="M3" s="0" t="n">
        <v>1485175</v>
      </c>
      <c r="N3" s="120" t="n">
        <v>1</v>
      </c>
      <c r="O3" s="0" t="n">
        <v>16469</v>
      </c>
      <c r="P3" s="0" t="n">
        <v>86889789</v>
      </c>
      <c r="Q3" s="0" t="n">
        <v>18078852</v>
      </c>
      <c r="R3" s="0" t="n">
        <v>18537781</v>
      </c>
      <c r="S3" s="0" t="n">
        <v>1581036</v>
      </c>
      <c r="T3" s="120" t="n">
        <v>1</v>
      </c>
      <c r="U3" s="0" t="n">
        <v>9567</v>
      </c>
      <c r="V3" s="0" t="n">
        <v>43286021</v>
      </c>
      <c r="W3" s="0" t="n">
        <v>10992887</v>
      </c>
      <c r="X3" s="0" t="n">
        <v>18655106</v>
      </c>
      <c r="Y3" s="0" t="n">
        <v>10729938</v>
      </c>
      <c r="Z3" s="0" t="n">
        <v>1923604</v>
      </c>
      <c r="AA3" s="120" t="n">
        <f aca="false">C3+F3+J3+O3+U3</f>
        <v>58131</v>
      </c>
      <c r="AB3" s="120" t="n">
        <f aca="false">D3+G3+K3+P3+V3</f>
        <v>284541628</v>
      </c>
      <c r="AC3" s="120" t="n">
        <f aca="false">H3+L3+Q3+W3</f>
        <v>38434112</v>
      </c>
      <c r="AD3" s="120" t="n">
        <f aca="false">M3+R3+X3</f>
        <v>38678062</v>
      </c>
      <c r="AE3" s="120" t="n">
        <f aca="false">S3+Y3</f>
        <v>12310974</v>
      </c>
      <c r="AF3" s="120" t="n">
        <f aca="false">Z3</f>
        <v>1923604</v>
      </c>
      <c r="AG3" s="120" t="n">
        <f aca="false">SUM(AB3:AF3)</f>
        <v>375888380</v>
      </c>
    </row>
    <row r="4" customFormat="false" ht="12.75" hidden="false" customHeight="false" outlineLevel="0" collapsed="false">
      <c r="A4" s="120" t="s">
        <v>148</v>
      </c>
      <c r="B4" s="120" t="n">
        <v>2</v>
      </c>
      <c r="C4" s="0" t="n">
        <v>95</v>
      </c>
      <c r="D4" s="0" t="n">
        <v>42956</v>
      </c>
      <c r="E4" s="120" t="n">
        <v>2</v>
      </c>
      <c r="F4" s="0" t="n">
        <v>9362</v>
      </c>
      <c r="G4" s="0" t="n">
        <v>42139813</v>
      </c>
      <c r="H4" s="0" t="n">
        <v>1079837</v>
      </c>
      <c r="I4" s="120" t="n">
        <v>2</v>
      </c>
      <c r="J4" s="0" t="n">
        <v>13402</v>
      </c>
      <c r="K4" s="0" t="n">
        <v>71920437</v>
      </c>
      <c r="L4" s="0" t="n">
        <v>8595850</v>
      </c>
      <c r="M4" s="0" t="n">
        <v>2627424</v>
      </c>
      <c r="N4" s="120" t="n">
        <v>2</v>
      </c>
      <c r="O4" s="0" t="n">
        <v>11188</v>
      </c>
      <c r="P4" s="0" t="n">
        <v>63378940</v>
      </c>
      <c r="Q4" s="0" t="n">
        <v>14169043</v>
      </c>
      <c r="R4" s="0" t="n">
        <v>17198397</v>
      </c>
      <c r="S4" s="0" t="n">
        <v>3124459</v>
      </c>
      <c r="T4" s="120" t="n">
        <v>2</v>
      </c>
      <c r="U4" s="0" t="n">
        <v>5502</v>
      </c>
      <c r="V4" s="0" t="n">
        <v>25247594</v>
      </c>
      <c r="W4" s="0" t="n">
        <v>6796552</v>
      </c>
      <c r="X4" s="0" t="n">
        <v>12478738</v>
      </c>
      <c r="Y4" s="0" t="n">
        <v>8852203</v>
      </c>
      <c r="Z4" s="0" t="n">
        <v>2326849</v>
      </c>
      <c r="AA4" s="120" t="n">
        <f aca="false">C4+F4+J4+O4+U4</f>
        <v>39549</v>
      </c>
      <c r="AB4" s="120" t="n">
        <f aca="false">D4+G4+K4+P4+V4</f>
        <v>202729740</v>
      </c>
      <c r="AC4" s="120" t="n">
        <f aca="false">H4+L4+Q4+W4</f>
        <v>30641282</v>
      </c>
      <c r="AD4" s="120" t="n">
        <f aca="false">M4+R4+X4</f>
        <v>32304559</v>
      </c>
      <c r="AE4" s="120" t="n">
        <f aca="false">S4+Y4</f>
        <v>11976662</v>
      </c>
      <c r="AF4" s="120" t="n">
        <f aca="false">Z4</f>
        <v>2326849</v>
      </c>
      <c r="AG4" s="120" t="n">
        <f aca="false">SUM(AB4:AF4)</f>
        <v>279979092</v>
      </c>
    </row>
    <row r="5" customFormat="false" ht="12.75" hidden="false" customHeight="false" outlineLevel="0" collapsed="false">
      <c r="A5" s="120" t="s">
        <v>148</v>
      </c>
      <c r="B5" s="120" t="n">
        <v>3</v>
      </c>
      <c r="C5" s="0" t="n">
        <v>139</v>
      </c>
      <c r="D5" s="0" t="n">
        <v>169690</v>
      </c>
      <c r="E5" s="120" t="n">
        <v>3</v>
      </c>
      <c r="F5" s="0" t="n">
        <v>6399</v>
      </c>
      <c r="G5" s="0" t="n">
        <v>33463521</v>
      </c>
      <c r="H5" s="0" t="n">
        <v>1131826</v>
      </c>
      <c r="I5" s="120" t="n">
        <v>3</v>
      </c>
      <c r="J5" s="0" t="n">
        <v>10634</v>
      </c>
      <c r="K5" s="0" t="n">
        <v>62748312</v>
      </c>
      <c r="L5" s="0" t="n">
        <v>9060821</v>
      </c>
      <c r="M5" s="0" t="n">
        <v>3865156</v>
      </c>
      <c r="N5" s="120" t="n">
        <v>3</v>
      </c>
      <c r="O5" s="0" t="n">
        <v>7807</v>
      </c>
      <c r="P5" s="0" t="n">
        <v>40252828</v>
      </c>
      <c r="Q5" s="0" t="n">
        <v>9933441</v>
      </c>
      <c r="R5" s="0" t="n">
        <v>13985852</v>
      </c>
      <c r="S5" s="0" t="n">
        <v>3438336</v>
      </c>
      <c r="T5" s="120" t="n">
        <v>3</v>
      </c>
      <c r="U5" s="0" t="n">
        <v>3727</v>
      </c>
      <c r="V5" s="0" t="n">
        <v>16936321</v>
      </c>
      <c r="W5" s="0" t="n">
        <v>4734175</v>
      </c>
      <c r="X5" s="0" t="n">
        <v>9311622</v>
      </c>
      <c r="Y5" s="0" t="n">
        <v>7554398</v>
      </c>
      <c r="Z5" s="0" t="n">
        <v>2807235</v>
      </c>
      <c r="AA5" s="120" t="n">
        <f aca="false">C5+F5+J5+O5+U5</f>
        <v>28706</v>
      </c>
      <c r="AB5" s="120" t="n">
        <f aca="false">D5+G5+K5+P5+V5</f>
        <v>153570672</v>
      </c>
      <c r="AC5" s="120" t="n">
        <f aca="false">H5+L5+Q5+W5</f>
        <v>24860263</v>
      </c>
      <c r="AD5" s="120" t="n">
        <f aca="false">M5+R5+X5</f>
        <v>27162630</v>
      </c>
      <c r="AE5" s="120" t="n">
        <f aca="false">S5+Y5</f>
        <v>10992734</v>
      </c>
      <c r="AF5" s="120" t="n">
        <f aca="false">Z5</f>
        <v>2807235</v>
      </c>
      <c r="AG5" s="120" t="n">
        <f aca="false">SUM(AB5:AF5)</f>
        <v>219393534</v>
      </c>
    </row>
    <row r="6" customFormat="false" ht="12.75" hidden="false" customHeight="false" outlineLevel="0" collapsed="false">
      <c r="A6" s="120" t="s">
        <v>148</v>
      </c>
      <c r="B6" s="120" t="n">
        <v>4</v>
      </c>
      <c r="C6" s="0" t="n">
        <v>137</v>
      </c>
      <c r="D6" s="0" t="n">
        <v>120023</v>
      </c>
      <c r="E6" s="120" t="n">
        <v>4</v>
      </c>
      <c r="F6" s="0" t="n">
        <v>4492</v>
      </c>
      <c r="G6" s="0" t="n">
        <v>26078370</v>
      </c>
      <c r="H6" s="0" t="n">
        <v>1045513</v>
      </c>
      <c r="I6" s="120" t="n">
        <v>4</v>
      </c>
      <c r="J6" s="0" t="n">
        <v>8082</v>
      </c>
      <c r="K6" s="0" t="n">
        <v>51885683</v>
      </c>
      <c r="L6" s="0" t="n">
        <v>8725876</v>
      </c>
      <c r="M6" s="0" t="n">
        <v>4044365</v>
      </c>
      <c r="N6" s="120" t="n">
        <v>4</v>
      </c>
      <c r="O6" s="0" t="n">
        <v>5054</v>
      </c>
      <c r="P6" s="0" t="n">
        <v>26097249</v>
      </c>
      <c r="Q6" s="0" t="n">
        <v>6961176</v>
      </c>
      <c r="R6" s="0" t="n">
        <v>10801537</v>
      </c>
      <c r="S6" s="0" t="n">
        <v>2745318</v>
      </c>
      <c r="T6" s="120" t="n">
        <v>4</v>
      </c>
      <c r="U6" s="0" t="n">
        <v>2575</v>
      </c>
      <c r="V6" s="0" t="n">
        <v>11629676</v>
      </c>
      <c r="W6" s="0" t="n">
        <v>3325793</v>
      </c>
      <c r="X6" s="0" t="n">
        <v>6882727</v>
      </c>
      <c r="Y6" s="0" t="n">
        <v>6193481</v>
      </c>
      <c r="Z6" s="0" t="n">
        <v>3033427</v>
      </c>
      <c r="AA6" s="120" t="n">
        <f aca="false">C6+F6+J6+O6+U6</f>
        <v>20340</v>
      </c>
      <c r="AB6" s="120" t="n">
        <f aca="false">D6+G6+K6+P6+V6</f>
        <v>115811001</v>
      </c>
      <c r="AC6" s="120" t="n">
        <f aca="false">H6+L6+Q6+W6</f>
        <v>20058358</v>
      </c>
      <c r="AD6" s="120" t="n">
        <f aca="false">M6+R6+X6</f>
        <v>21728629</v>
      </c>
      <c r="AE6" s="120" t="n">
        <f aca="false">S6+Y6</f>
        <v>8938799</v>
      </c>
      <c r="AF6" s="120" t="n">
        <f aca="false">Z6</f>
        <v>3033427</v>
      </c>
      <c r="AG6" s="120" t="n">
        <f aca="false">SUM(AB6:AF6)</f>
        <v>169570214</v>
      </c>
    </row>
    <row r="7" customFormat="false" ht="12.75" hidden="false" customHeight="false" outlineLevel="0" collapsed="false">
      <c r="A7" s="120" t="s">
        <v>148</v>
      </c>
      <c r="B7" s="120" t="n">
        <v>5</v>
      </c>
      <c r="C7" s="0" t="n">
        <v>168</v>
      </c>
      <c r="D7" s="0" t="n">
        <v>182537</v>
      </c>
      <c r="E7" s="120" t="n">
        <v>5</v>
      </c>
      <c r="F7" s="0" t="n">
        <v>3357</v>
      </c>
      <c r="G7" s="0" t="n">
        <v>20409485</v>
      </c>
      <c r="H7" s="0" t="n">
        <v>925150</v>
      </c>
      <c r="I7" s="120" t="n">
        <v>5</v>
      </c>
      <c r="J7" s="0" t="n">
        <v>6010</v>
      </c>
      <c r="K7" s="0" t="n">
        <v>35571799</v>
      </c>
      <c r="L7" s="0" t="n">
        <v>6762183</v>
      </c>
      <c r="M7" s="0" t="n">
        <v>3365155</v>
      </c>
      <c r="N7" s="120" t="n">
        <v>5</v>
      </c>
      <c r="O7" s="0" t="n">
        <v>3155</v>
      </c>
      <c r="P7" s="0" t="n">
        <v>14300179</v>
      </c>
      <c r="Q7" s="0" t="n">
        <v>3958252</v>
      </c>
      <c r="R7" s="0" t="n">
        <v>6741400</v>
      </c>
      <c r="S7" s="0" t="n">
        <v>1840113</v>
      </c>
      <c r="T7" s="120" t="n">
        <v>5</v>
      </c>
      <c r="U7" s="0" t="n">
        <v>1514</v>
      </c>
      <c r="V7" s="0" t="n">
        <v>6800326</v>
      </c>
      <c r="W7" s="0" t="n">
        <v>1978889</v>
      </c>
      <c r="X7" s="0" t="n">
        <v>4271590</v>
      </c>
      <c r="Y7" s="0" t="n">
        <v>4267382</v>
      </c>
      <c r="Z7" s="0" t="n">
        <v>2318632</v>
      </c>
      <c r="AA7" s="120" t="n">
        <f aca="false">C7+F7+J7+O7+U7</f>
        <v>14204</v>
      </c>
      <c r="AB7" s="120" t="n">
        <f aca="false">D7+G7+K7+P7+V7</f>
        <v>77264326</v>
      </c>
      <c r="AC7" s="120" t="n">
        <f aca="false">H7+L7+Q7+W7</f>
        <v>13624474</v>
      </c>
      <c r="AD7" s="120" t="n">
        <f aca="false">M7+R7+X7</f>
        <v>14378145</v>
      </c>
      <c r="AE7" s="120" t="n">
        <f aca="false">S7+Y7</f>
        <v>6107495</v>
      </c>
      <c r="AF7" s="120" t="n">
        <f aca="false">Z7</f>
        <v>2318632</v>
      </c>
      <c r="AG7" s="120" t="n">
        <f aca="false">SUM(AB7:AF7)</f>
        <v>113693072</v>
      </c>
    </row>
    <row r="8" customFormat="false" ht="12.75" hidden="false" customHeight="false" outlineLevel="0" collapsed="false">
      <c r="A8" s="120" t="s">
        <v>148</v>
      </c>
      <c r="B8" s="120" t="n">
        <v>6</v>
      </c>
      <c r="C8" s="0" t="n">
        <v>210</v>
      </c>
      <c r="D8" s="0" t="n">
        <v>237504</v>
      </c>
      <c r="E8" s="120" t="n">
        <v>6</v>
      </c>
      <c r="F8" s="0" t="n">
        <v>2384</v>
      </c>
      <c r="G8" s="0" t="n">
        <v>18189472</v>
      </c>
      <c r="H8" s="0" t="n">
        <v>1041427</v>
      </c>
      <c r="I8" s="120" t="n">
        <v>6</v>
      </c>
      <c r="J8" s="0" t="n">
        <v>4840</v>
      </c>
      <c r="K8" s="0" t="n">
        <v>29123384</v>
      </c>
      <c r="L8" s="0" t="n">
        <v>6332366</v>
      </c>
      <c r="M8" s="0" t="n">
        <v>3147822</v>
      </c>
      <c r="N8" s="120" t="n">
        <v>6</v>
      </c>
      <c r="O8" s="0" t="n">
        <v>2264</v>
      </c>
      <c r="P8" s="0" t="n">
        <v>10031893</v>
      </c>
      <c r="Q8" s="0" t="n">
        <v>2869942</v>
      </c>
      <c r="R8" s="0" t="n">
        <v>5254973</v>
      </c>
      <c r="S8" s="0" t="n">
        <v>1517200</v>
      </c>
      <c r="T8" s="120" t="n">
        <v>6</v>
      </c>
      <c r="U8" s="0" t="n">
        <v>1029</v>
      </c>
      <c r="V8" s="0" t="n">
        <v>4450392</v>
      </c>
      <c r="W8" s="0" t="n">
        <v>1310293</v>
      </c>
      <c r="X8" s="0" t="n">
        <v>2940859</v>
      </c>
      <c r="Y8" s="0" t="n">
        <v>3191639</v>
      </c>
      <c r="Z8" s="0" t="n">
        <v>1834437</v>
      </c>
      <c r="AA8" s="120" t="n">
        <f aca="false">C8+F8+J8+O8+U8</f>
        <v>10727</v>
      </c>
      <c r="AB8" s="120" t="n">
        <f aca="false">D8+G8+K8+P8+V8</f>
        <v>62032645</v>
      </c>
      <c r="AC8" s="120" t="n">
        <f aca="false">H8+L8+Q8+W8</f>
        <v>11554028</v>
      </c>
      <c r="AD8" s="120" t="n">
        <f aca="false">M8+R8+X8</f>
        <v>11343654</v>
      </c>
      <c r="AE8" s="120" t="n">
        <f aca="false">S8+Y8</f>
        <v>4708839</v>
      </c>
      <c r="AF8" s="120" t="n">
        <f aca="false">Z8</f>
        <v>1834437</v>
      </c>
      <c r="AG8" s="120" t="n">
        <f aca="false">SUM(AB8:AF8)</f>
        <v>91473603</v>
      </c>
    </row>
    <row r="9" customFormat="false" ht="12.75" hidden="false" customHeight="false" outlineLevel="0" collapsed="false">
      <c r="A9" s="120" t="s">
        <v>148</v>
      </c>
      <c r="B9" s="120" t="n">
        <v>7</v>
      </c>
      <c r="C9" s="0" t="n">
        <v>238</v>
      </c>
      <c r="D9" s="0" t="n">
        <v>1339841</v>
      </c>
      <c r="E9" s="120" t="n">
        <v>7</v>
      </c>
      <c r="F9" s="0" t="n">
        <v>1524</v>
      </c>
      <c r="G9" s="0" t="n">
        <v>13024268</v>
      </c>
      <c r="H9" s="0" t="n">
        <v>811531</v>
      </c>
      <c r="I9" s="120" t="n">
        <v>7</v>
      </c>
      <c r="J9" s="0" t="n">
        <v>3252</v>
      </c>
      <c r="K9" s="0" t="n">
        <v>19960289</v>
      </c>
      <c r="L9" s="0" t="n">
        <v>4872118</v>
      </c>
      <c r="M9" s="0" t="n">
        <v>2440502</v>
      </c>
      <c r="N9" s="120" t="n">
        <v>7</v>
      </c>
      <c r="O9" s="0" t="n">
        <v>1590</v>
      </c>
      <c r="P9" s="0" t="n">
        <v>6909202</v>
      </c>
      <c r="Q9" s="0" t="n">
        <v>2025291</v>
      </c>
      <c r="R9" s="0" t="n">
        <v>4057015</v>
      </c>
      <c r="S9" s="0" t="n">
        <v>1244696</v>
      </c>
      <c r="T9" s="120" t="n">
        <v>7</v>
      </c>
      <c r="U9" s="0" t="n">
        <v>680</v>
      </c>
      <c r="V9" s="0" t="n">
        <v>2835555</v>
      </c>
      <c r="W9" s="0" t="n">
        <v>837711</v>
      </c>
      <c r="X9" s="0" t="n">
        <v>1895657</v>
      </c>
      <c r="Y9" s="0" t="n">
        <v>2276833</v>
      </c>
      <c r="Z9" s="0" t="n">
        <v>1249792</v>
      </c>
      <c r="AA9" s="120" t="n">
        <f aca="false">C9+F9+J9+O9+U9</f>
        <v>7284</v>
      </c>
      <c r="AB9" s="120" t="n">
        <f aca="false">D9+G9+K9+P9+V9</f>
        <v>44069155</v>
      </c>
      <c r="AC9" s="120" t="n">
        <f aca="false">H9+L9+Q9+W9</f>
        <v>8546651</v>
      </c>
      <c r="AD9" s="120" t="n">
        <f aca="false">M9+R9+X9</f>
        <v>8393174</v>
      </c>
      <c r="AE9" s="120" t="n">
        <f aca="false">S9+Y9</f>
        <v>3521529</v>
      </c>
      <c r="AF9" s="120" t="n">
        <f aca="false">Z9</f>
        <v>1249792</v>
      </c>
      <c r="AG9" s="120" t="n">
        <f aca="false">SUM(AB9:AF9)</f>
        <v>65780301</v>
      </c>
    </row>
    <row r="10" customFormat="false" ht="12.75" hidden="false" customHeight="false" outlineLevel="0" collapsed="false">
      <c r="A10" s="120" t="s">
        <v>148</v>
      </c>
      <c r="B10" s="120" t="n">
        <v>8</v>
      </c>
      <c r="C10" s="0" t="n">
        <v>288</v>
      </c>
      <c r="D10" s="0" t="n">
        <v>578274</v>
      </c>
      <c r="E10" s="120" t="n">
        <v>8</v>
      </c>
      <c r="F10" s="0" t="n">
        <v>1179</v>
      </c>
      <c r="G10" s="0" t="n">
        <v>8674362</v>
      </c>
      <c r="H10" s="0" t="n">
        <v>565222</v>
      </c>
      <c r="I10" s="120" t="n">
        <v>8</v>
      </c>
      <c r="J10" s="0" t="n">
        <v>2802</v>
      </c>
      <c r="K10" s="0" t="n">
        <v>17728713</v>
      </c>
      <c r="L10" s="0" t="n">
        <v>4634758</v>
      </c>
      <c r="M10" s="0" t="n">
        <v>2406668</v>
      </c>
      <c r="N10" s="120" t="n">
        <v>8</v>
      </c>
      <c r="O10" s="0" t="n">
        <v>1170</v>
      </c>
      <c r="P10" s="0" t="n">
        <v>4911075</v>
      </c>
      <c r="Q10" s="0" t="n">
        <v>1450825</v>
      </c>
      <c r="R10" s="0" t="n">
        <v>3044218</v>
      </c>
      <c r="S10" s="0" t="n">
        <v>1037907</v>
      </c>
      <c r="T10" s="120" t="n">
        <v>8</v>
      </c>
      <c r="U10" s="0" t="n">
        <v>542</v>
      </c>
      <c r="V10" s="0" t="n">
        <v>2186019</v>
      </c>
      <c r="W10" s="0" t="n">
        <v>650278</v>
      </c>
      <c r="X10" s="0" t="n">
        <v>1495738</v>
      </c>
      <c r="Y10" s="0" t="n">
        <v>1907425</v>
      </c>
      <c r="Z10" s="0" t="n">
        <v>1211125</v>
      </c>
      <c r="AA10" s="120" t="n">
        <f aca="false">C10+F10+J10+O10+U10</f>
        <v>5981</v>
      </c>
      <c r="AB10" s="120" t="n">
        <f aca="false">D10+G10+K10+P10+V10</f>
        <v>34078443</v>
      </c>
      <c r="AC10" s="120" t="n">
        <f aca="false">H10+L10+Q10+W10</f>
        <v>7301083</v>
      </c>
      <c r="AD10" s="120" t="n">
        <f aca="false">M10+R10+X10</f>
        <v>6946624</v>
      </c>
      <c r="AE10" s="120" t="n">
        <f aca="false">S10+Y10</f>
        <v>2945332</v>
      </c>
      <c r="AF10" s="120" t="n">
        <f aca="false">Z10</f>
        <v>1211125</v>
      </c>
      <c r="AG10" s="120" t="n">
        <f aca="false">SUM(AB10:AF10)</f>
        <v>52482607</v>
      </c>
    </row>
    <row r="11" customFormat="false" ht="12.75" hidden="false" customHeight="false" outlineLevel="0" collapsed="false">
      <c r="A11" s="120" t="s">
        <v>148</v>
      </c>
      <c r="B11" s="120" t="n">
        <v>9</v>
      </c>
      <c r="C11" s="0" t="n">
        <v>335</v>
      </c>
      <c r="D11" s="0" t="n">
        <v>619828</v>
      </c>
      <c r="E11" s="120" t="n">
        <v>9</v>
      </c>
      <c r="F11" s="0" t="n">
        <v>855</v>
      </c>
      <c r="G11" s="0" t="n">
        <v>7878552</v>
      </c>
      <c r="H11" s="0" t="n">
        <v>624434</v>
      </c>
      <c r="I11" s="120" t="n">
        <v>9</v>
      </c>
      <c r="J11" s="0" t="n">
        <v>2476</v>
      </c>
      <c r="K11" s="0" t="n">
        <v>15103592</v>
      </c>
      <c r="L11" s="0" t="n">
        <v>4136912</v>
      </c>
      <c r="M11" s="0" t="n">
        <v>2369595</v>
      </c>
      <c r="N11" s="120" t="n">
        <v>9</v>
      </c>
      <c r="O11" s="0" t="n">
        <v>1072</v>
      </c>
      <c r="P11" s="0" t="n">
        <v>4334487</v>
      </c>
      <c r="Q11" s="0" t="n">
        <v>1288799</v>
      </c>
      <c r="R11" s="0" t="n">
        <v>2808426</v>
      </c>
      <c r="S11" s="0" t="n">
        <v>1034078</v>
      </c>
      <c r="T11" s="120" t="n">
        <v>9</v>
      </c>
      <c r="U11" s="0" t="n">
        <v>440</v>
      </c>
      <c r="V11" s="0" t="n">
        <v>1803162</v>
      </c>
      <c r="W11" s="0" t="n">
        <v>536183</v>
      </c>
      <c r="X11" s="0" t="n">
        <v>1237167</v>
      </c>
      <c r="Y11" s="0" t="n">
        <v>1629767</v>
      </c>
      <c r="Z11" s="0" t="n">
        <v>1139259</v>
      </c>
      <c r="AA11" s="120" t="n">
        <f aca="false">C11+F11+J11+O11+U11</f>
        <v>5178</v>
      </c>
      <c r="AB11" s="120" t="n">
        <f aca="false">D11+G11+K11+P11+V11</f>
        <v>29739621</v>
      </c>
      <c r="AC11" s="120" t="n">
        <f aca="false">H11+L11+Q11+W11</f>
        <v>6586328</v>
      </c>
      <c r="AD11" s="120" t="n">
        <f aca="false">M11+R11+X11</f>
        <v>6415188</v>
      </c>
      <c r="AE11" s="120" t="n">
        <f aca="false">S11+Y11</f>
        <v>2663845</v>
      </c>
      <c r="AF11" s="120" t="n">
        <f aca="false">Z11</f>
        <v>1139259</v>
      </c>
      <c r="AG11" s="120" t="n">
        <f aca="false">SUM(AB11:AF11)</f>
        <v>46544241</v>
      </c>
    </row>
    <row r="12" customFormat="false" ht="12.75" hidden="false" customHeight="false" outlineLevel="0" collapsed="false">
      <c r="A12" s="120" t="s">
        <v>148</v>
      </c>
      <c r="B12" s="120" t="n">
        <v>10</v>
      </c>
      <c r="C12" s="0" t="n">
        <v>478</v>
      </c>
      <c r="D12" s="0" t="n">
        <v>1187245</v>
      </c>
      <c r="E12" s="120" t="n">
        <v>10</v>
      </c>
      <c r="F12" s="0" t="n">
        <v>685</v>
      </c>
      <c r="G12" s="0" t="n">
        <v>15852794</v>
      </c>
      <c r="H12" s="0" t="n">
        <v>1322087</v>
      </c>
      <c r="I12" s="120" t="n">
        <v>10</v>
      </c>
      <c r="J12" s="0" t="n">
        <v>2353</v>
      </c>
      <c r="K12" s="0" t="n">
        <v>16352184</v>
      </c>
      <c r="L12" s="0" t="n">
        <v>4678048</v>
      </c>
      <c r="M12" s="0" t="n">
        <v>2747701</v>
      </c>
      <c r="N12" s="120" t="n">
        <v>10</v>
      </c>
      <c r="O12" s="0" t="n">
        <v>976</v>
      </c>
      <c r="P12" s="0" t="n">
        <v>3808143</v>
      </c>
      <c r="Q12" s="0" t="n">
        <v>1135985</v>
      </c>
      <c r="R12" s="0" t="n">
        <v>2547285</v>
      </c>
      <c r="S12" s="0" t="n">
        <v>1068072</v>
      </c>
      <c r="T12" s="120" t="n">
        <v>10</v>
      </c>
      <c r="U12" s="0" t="n">
        <v>433</v>
      </c>
      <c r="V12" s="0" t="n">
        <v>1712238</v>
      </c>
      <c r="W12" s="0" t="n">
        <v>511389</v>
      </c>
      <c r="X12" s="0" t="n">
        <v>1183314</v>
      </c>
      <c r="Y12" s="0" t="n">
        <v>1609334</v>
      </c>
      <c r="Z12" s="0" t="n">
        <v>1252469</v>
      </c>
      <c r="AA12" s="120" t="n">
        <f aca="false">C12+F12+J12+O12+U12</f>
        <v>4925</v>
      </c>
      <c r="AB12" s="120" t="n">
        <f aca="false">D12+G12+K12+P12+V12</f>
        <v>38912604</v>
      </c>
      <c r="AC12" s="120" t="n">
        <f aca="false">H12+L12+Q12+W12</f>
        <v>7647509</v>
      </c>
      <c r="AD12" s="120" t="n">
        <f aca="false">M12+R12+X12</f>
        <v>6478300</v>
      </c>
      <c r="AE12" s="120" t="n">
        <f aca="false">S12+Y12</f>
        <v>2677406</v>
      </c>
      <c r="AF12" s="120" t="n">
        <f aca="false">Z12</f>
        <v>1252469</v>
      </c>
      <c r="AG12" s="120" t="n">
        <f aca="false">SUM(AB12:AF12)</f>
        <v>56968288</v>
      </c>
    </row>
    <row r="13" customFormat="false" ht="12.75" hidden="false" customHeight="false" outlineLevel="0" collapsed="false">
      <c r="A13" s="120" t="s">
        <v>148</v>
      </c>
      <c r="B13" s="120" t="n">
        <v>11</v>
      </c>
      <c r="C13" s="0" t="n">
        <v>1279</v>
      </c>
      <c r="D13" s="0" t="n">
        <v>3763611</v>
      </c>
      <c r="E13" s="120" t="n">
        <v>11</v>
      </c>
      <c r="F13" s="0" t="n">
        <v>621</v>
      </c>
      <c r="G13" s="0" t="n">
        <v>10288488</v>
      </c>
      <c r="H13" s="0" t="n">
        <v>1133909</v>
      </c>
      <c r="I13" s="120" t="n">
        <v>11</v>
      </c>
      <c r="J13" s="0" t="n">
        <v>2312</v>
      </c>
      <c r="K13" s="0" t="n">
        <v>18687730</v>
      </c>
      <c r="L13" s="0" t="n">
        <v>5485895</v>
      </c>
      <c r="M13" s="0" t="n">
        <v>4263808</v>
      </c>
      <c r="N13" s="120" t="n">
        <v>11</v>
      </c>
      <c r="O13" s="0" t="n">
        <v>879</v>
      </c>
      <c r="P13" s="0" t="n">
        <v>3301493</v>
      </c>
      <c r="Q13" s="0" t="n">
        <v>988789</v>
      </c>
      <c r="R13" s="0" t="n">
        <v>2272736</v>
      </c>
      <c r="S13" s="0" t="n">
        <v>1099808</v>
      </c>
      <c r="T13" s="120" t="n">
        <v>11</v>
      </c>
      <c r="U13" s="0" t="n">
        <v>482</v>
      </c>
      <c r="V13" s="0" t="n">
        <v>1829802</v>
      </c>
      <c r="W13" s="0" t="n">
        <v>547486</v>
      </c>
      <c r="X13" s="0" t="n">
        <v>1272352</v>
      </c>
      <c r="Y13" s="0" t="n">
        <v>1779991</v>
      </c>
      <c r="Z13" s="0" t="n">
        <v>1713769</v>
      </c>
      <c r="AA13" s="120" t="n">
        <f aca="false">C13+F13+J13+O13+U13</f>
        <v>5573</v>
      </c>
      <c r="AB13" s="120" t="n">
        <f aca="false">D13+G13+K13+P13+V13</f>
        <v>37871124</v>
      </c>
      <c r="AC13" s="120" t="n">
        <f aca="false">H13+L13+Q13+W13</f>
        <v>8156079</v>
      </c>
      <c r="AD13" s="120" t="n">
        <f aca="false">M13+R13+X13</f>
        <v>7808896</v>
      </c>
      <c r="AE13" s="120" t="n">
        <f aca="false">S13+Y13</f>
        <v>2879799</v>
      </c>
      <c r="AF13" s="120" t="n">
        <f aca="false">Z13</f>
        <v>1713769</v>
      </c>
      <c r="AG13" s="120" t="n">
        <f aca="false">SUM(AB13:AF13)</f>
        <v>58429667</v>
      </c>
    </row>
    <row r="14" customFormat="false" ht="12.75" hidden="false" customHeight="false" outlineLevel="0" collapsed="false">
      <c r="A14" s="120" t="s">
        <v>148</v>
      </c>
      <c r="B14" s="120" t="n">
        <v>12</v>
      </c>
      <c r="C14" s="0" t="n">
        <v>74566</v>
      </c>
      <c r="D14" s="0" t="n">
        <v>243820991</v>
      </c>
      <c r="E14" s="120" t="n">
        <v>12</v>
      </c>
      <c r="F14" s="0" t="n">
        <v>640</v>
      </c>
      <c r="G14" s="0" t="n">
        <v>16014531</v>
      </c>
      <c r="H14" s="0" t="n">
        <v>2529352</v>
      </c>
      <c r="I14" s="120" t="n">
        <v>12</v>
      </c>
      <c r="J14" s="0" t="n">
        <v>3752</v>
      </c>
      <c r="K14" s="0" t="n">
        <v>31636697</v>
      </c>
      <c r="L14" s="0" t="n">
        <v>9492082</v>
      </c>
      <c r="M14" s="0" t="n">
        <v>9191763</v>
      </c>
      <c r="N14" s="120" t="n">
        <v>12</v>
      </c>
      <c r="O14" s="0" t="n">
        <v>1273</v>
      </c>
      <c r="P14" s="0" t="n">
        <v>4792218</v>
      </c>
      <c r="Q14" s="0" t="n">
        <v>1437982</v>
      </c>
      <c r="R14" s="0" t="n">
        <v>3354236</v>
      </c>
      <c r="S14" s="0" t="n">
        <v>2092683</v>
      </c>
      <c r="T14" s="120" t="n">
        <v>12</v>
      </c>
      <c r="U14" s="0" t="n">
        <v>974</v>
      </c>
      <c r="V14" s="0" t="n">
        <v>3636843</v>
      </c>
      <c r="W14" s="0" t="n">
        <v>1091322</v>
      </c>
      <c r="X14" s="0" t="n">
        <v>2545521</v>
      </c>
      <c r="Y14" s="0" t="n">
        <v>3636843</v>
      </c>
      <c r="Z14" s="0" t="n">
        <v>5911944</v>
      </c>
      <c r="AA14" s="120" t="n">
        <f aca="false">C14+F14+J14+O14+U14</f>
        <v>81205</v>
      </c>
      <c r="AB14" s="120" t="n">
        <f aca="false">D14+G14+K14+P14+V14</f>
        <v>299901280</v>
      </c>
      <c r="AC14" s="120" t="n">
        <f aca="false">H14+L14+Q14+W14</f>
        <v>14550738</v>
      </c>
      <c r="AD14" s="120" t="n">
        <f aca="false">M14+R14+X14</f>
        <v>15091520</v>
      </c>
      <c r="AE14" s="120" t="n">
        <f aca="false">S14+Y14</f>
        <v>5729526</v>
      </c>
      <c r="AF14" s="120" t="n">
        <f aca="false">Z14</f>
        <v>5911944</v>
      </c>
      <c r="AG14" s="120" t="n">
        <f aca="false">SUM(AB14:AF14)</f>
        <v>341185008</v>
      </c>
    </row>
    <row r="15" customFormat="false" ht="12.75" hidden="false" customHeight="false" outlineLevel="0" collapsed="false">
      <c r="A15" s="120" t="s">
        <v>149</v>
      </c>
      <c r="B15" s="120" t="n">
        <v>1</v>
      </c>
      <c r="C15" s="0"/>
      <c r="D15" s="0"/>
      <c r="E15" s="120" t="n">
        <v>1</v>
      </c>
      <c r="F15" s="0" t="n">
        <v>56</v>
      </c>
      <c r="G15" s="0" t="n">
        <v>327399</v>
      </c>
      <c r="H15" s="0" t="n">
        <v>11523</v>
      </c>
      <c r="I15" s="120" t="n">
        <v>1</v>
      </c>
      <c r="J15" s="0" t="n">
        <v>71</v>
      </c>
      <c r="K15" s="0" t="n">
        <v>413338</v>
      </c>
      <c r="L15" s="0" t="n">
        <v>37413</v>
      </c>
      <c r="M15" s="0" t="n">
        <v>7193</v>
      </c>
      <c r="N15" s="120" t="n">
        <v>1</v>
      </c>
      <c r="O15" s="0" t="n">
        <v>94</v>
      </c>
      <c r="P15" s="0" t="n">
        <v>612593</v>
      </c>
      <c r="Q15" s="0" t="n">
        <v>136585</v>
      </c>
      <c r="R15" s="0" t="n">
        <v>145688</v>
      </c>
      <c r="S15" s="0" t="n">
        <v>9938</v>
      </c>
      <c r="T15" s="120" t="n">
        <v>1</v>
      </c>
      <c r="U15" s="0" t="n">
        <v>71</v>
      </c>
      <c r="V15" s="0" t="n">
        <v>389680</v>
      </c>
      <c r="W15" s="0" t="n">
        <v>103763</v>
      </c>
      <c r="X15" s="0" t="n">
        <v>187805</v>
      </c>
      <c r="Y15" s="0" t="n">
        <v>105184</v>
      </c>
      <c r="Z15" s="0" t="n">
        <v>37317</v>
      </c>
      <c r="AA15" s="120" t="n">
        <f aca="false">C15+F15+J15+O15+U15</f>
        <v>292</v>
      </c>
      <c r="AB15" s="120" t="n">
        <f aca="false">D15+G15+K15+P15+V15</f>
        <v>1743010</v>
      </c>
      <c r="AC15" s="120" t="n">
        <f aca="false">H15+L15+Q15+W15</f>
        <v>289284</v>
      </c>
      <c r="AD15" s="120" t="n">
        <f aca="false">M15+R15+X15</f>
        <v>340686</v>
      </c>
      <c r="AE15" s="120" t="n">
        <f aca="false">S15+Y15</f>
        <v>115122</v>
      </c>
      <c r="AF15" s="120" t="n">
        <f aca="false">Z15</f>
        <v>37317</v>
      </c>
      <c r="AG15" s="120" t="n">
        <f aca="false">SUM(AB15:AF15)</f>
        <v>2525419</v>
      </c>
    </row>
    <row r="16" customFormat="false" ht="12.75" hidden="false" customHeight="false" outlineLevel="0" collapsed="false">
      <c r="A16" s="120" t="s">
        <v>149</v>
      </c>
      <c r="B16" s="120" t="n">
        <v>2</v>
      </c>
      <c r="C16" s="0"/>
      <c r="D16" s="0"/>
      <c r="E16" s="120" t="n">
        <v>2</v>
      </c>
      <c r="F16" s="0" t="n">
        <v>27</v>
      </c>
      <c r="G16" s="0" t="n">
        <v>174296</v>
      </c>
      <c r="H16" s="0" t="n">
        <v>6255</v>
      </c>
      <c r="I16" s="120" t="n">
        <v>2</v>
      </c>
      <c r="J16" s="0" t="n">
        <v>45</v>
      </c>
      <c r="K16" s="0" t="n">
        <v>271464</v>
      </c>
      <c r="L16" s="0" t="n">
        <v>28483</v>
      </c>
      <c r="M16" s="0" t="n">
        <v>7409</v>
      </c>
      <c r="N16" s="120" t="n">
        <v>2</v>
      </c>
      <c r="O16" s="0" t="n">
        <v>76</v>
      </c>
      <c r="P16" s="0" t="n">
        <v>467344</v>
      </c>
      <c r="Q16" s="0" t="n">
        <v>109394</v>
      </c>
      <c r="R16" s="0" t="n">
        <v>137388</v>
      </c>
      <c r="S16" s="0" t="n">
        <v>20126</v>
      </c>
      <c r="T16" s="120" t="n">
        <v>2</v>
      </c>
      <c r="U16" s="0" t="n">
        <v>59</v>
      </c>
      <c r="V16" s="0" t="n">
        <v>327058</v>
      </c>
      <c r="W16" s="0" t="n">
        <v>89864</v>
      </c>
      <c r="X16" s="0" t="n">
        <v>178910</v>
      </c>
      <c r="Y16" s="0" t="n">
        <v>124064</v>
      </c>
      <c r="Z16" s="0" t="n">
        <v>25501</v>
      </c>
      <c r="AA16" s="120" t="n">
        <f aca="false">C16+F16+J16+O16+U16</f>
        <v>207</v>
      </c>
      <c r="AB16" s="120" t="n">
        <f aca="false">D16+G16+K16+P16+V16</f>
        <v>1240162</v>
      </c>
      <c r="AC16" s="120" t="n">
        <f aca="false">H16+L16+Q16+W16</f>
        <v>233996</v>
      </c>
      <c r="AD16" s="120" t="n">
        <f aca="false">M16+R16+X16</f>
        <v>323707</v>
      </c>
      <c r="AE16" s="120" t="n">
        <f aca="false">S16+Y16</f>
        <v>144190</v>
      </c>
      <c r="AF16" s="120" t="n">
        <f aca="false">Z16</f>
        <v>25501</v>
      </c>
      <c r="AG16" s="120" t="n">
        <f aca="false">SUM(AB16:AF16)</f>
        <v>1967556</v>
      </c>
    </row>
    <row r="17" customFormat="false" ht="12.75" hidden="false" customHeight="false" outlineLevel="0" collapsed="false">
      <c r="A17" s="120" t="s">
        <v>149</v>
      </c>
      <c r="B17" s="120" t="n">
        <v>3</v>
      </c>
      <c r="C17" s="0"/>
      <c r="D17" s="0"/>
      <c r="E17" s="120" t="n">
        <v>3</v>
      </c>
      <c r="F17" s="0" t="n">
        <v>17</v>
      </c>
      <c r="G17" s="0" t="n">
        <v>98820</v>
      </c>
      <c r="H17" s="0" t="n">
        <v>4491</v>
      </c>
      <c r="I17" s="120" t="n">
        <v>3</v>
      </c>
      <c r="J17" s="0" t="n">
        <v>45</v>
      </c>
      <c r="K17" s="0" t="n">
        <v>305491</v>
      </c>
      <c r="L17" s="0" t="n">
        <v>42785</v>
      </c>
      <c r="M17" s="0" t="n">
        <v>17418</v>
      </c>
      <c r="N17" s="120" t="n">
        <v>3</v>
      </c>
      <c r="O17" s="0" t="n">
        <v>53</v>
      </c>
      <c r="P17" s="0" t="n">
        <v>349091</v>
      </c>
      <c r="Q17" s="0" t="n">
        <v>81799</v>
      </c>
      <c r="R17" s="0" t="n">
        <v>115065</v>
      </c>
      <c r="S17" s="0" t="n">
        <v>21659</v>
      </c>
      <c r="T17" s="120" t="n">
        <v>3</v>
      </c>
      <c r="U17" s="0" t="n">
        <v>43</v>
      </c>
      <c r="V17" s="0" t="n">
        <v>260134</v>
      </c>
      <c r="W17" s="0" t="n">
        <v>71504</v>
      </c>
      <c r="X17" s="0" t="n">
        <v>141669</v>
      </c>
      <c r="Y17" s="0" t="n">
        <v>117719</v>
      </c>
      <c r="Z17" s="0" t="n">
        <v>35843</v>
      </c>
      <c r="AA17" s="120" t="n">
        <f aca="false">C17+F17+J17+O17+U17</f>
        <v>158</v>
      </c>
      <c r="AB17" s="120" t="n">
        <f aca="false">D17+G17+K17+P17+V17</f>
        <v>1013536</v>
      </c>
      <c r="AC17" s="120" t="n">
        <f aca="false">H17+L17+Q17+W17</f>
        <v>200579</v>
      </c>
      <c r="AD17" s="120" t="n">
        <f aca="false">M17+R17+X17</f>
        <v>274152</v>
      </c>
      <c r="AE17" s="120" t="n">
        <f aca="false">S17+Y17</f>
        <v>139378</v>
      </c>
      <c r="AF17" s="120" t="n">
        <f aca="false">Z17</f>
        <v>35843</v>
      </c>
      <c r="AG17" s="120" t="n">
        <f aca="false">SUM(AB17:AF17)</f>
        <v>1663488</v>
      </c>
    </row>
    <row r="18" customFormat="false" ht="12.75" hidden="false" customHeight="false" outlineLevel="0" collapsed="false">
      <c r="A18" s="120" t="s">
        <v>149</v>
      </c>
      <c r="B18" s="120" t="n">
        <v>4</v>
      </c>
      <c r="C18" s="0"/>
      <c r="D18" s="0"/>
      <c r="E18" s="120" t="n">
        <v>4</v>
      </c>
      <c r="F18" s="0" t="n">
        <v>19</v>
      </c>
      <c r="G18" s="0" t="n">
        <v>111376</v>
      </c>
      <c r="H18" s="0" t="n">
        <v>5491</v>
      </c>
      <c r="I18" s="120" t="n">
        <v>4</v>
      </c>
      <c r="J18" s="0" t="n">
        <v>43</v>
      </c>
      <c r="K18" s="0" t="n">
        <v>293489</v>
      </c>
      <c r="L18" s="0" t="n">
        <v>49815</v>
      </c>
      <c r="M18" s="0" t="n">
        <v>25119</v>
      </c>
      <c r="N18" s="120" t="n">
        <v>4</v>
      </c>
      <c r="O18" s="0" t="n">
        <v>40</v>
      </c>
      <c r="P18" s="0" t="n">
        <v>218237</v>
      </c>
      <c r="Q18" s="0" t="n">
        <v>58160</v>
      </c>
      <c r="R18" s="0" t="n">
        <v>91587</v>
      </c>
      <c r="S18" s="0" t="n">
        <v>20133</v>
      </c>
      <c r="T18" s="120" t="n">
        <v>4</v>
      </c>
      <c r="U18" s="0" t="n">
        <v>35</v>
      </c>
      <c r="V18" s="0" t="n">
        <v>173694</v>
      </c>
      <c r="W18" s="0" t="n">
        <v>50588</v>
      </c>
      <c r="X18" s="0" t="n">
        <v>110348</v>
      </c>
      <c r="Y18" s="0" t="n">
        <v>97904</v>
      </c>
      <c r="Z18" s="0" t="n">
        <v>33464</v>
      </c>
      <c r="AA18" s="120" t="n">
        <f aca="false">C18+F18+J18+O18+U18</f>
        <v>137</v>
      </c>
      <c r="AB18" s="120" t="n">
        <f aca="false">D18+G18+K18+P18+V18</f>
        <v>796796</v>
      </c>
      <c r="AC18" s="120" t="n">
        <f aca="false">H18+L18+Q18+W18</f>
        <v>164054</v>
      </c>
      <c r="AD18" s="120" t="n">
        <f aca="false">M18+R18+X18</f>
        <v>227054</v>
      </c>
      <c r="AE18" s="120" t="n">
        <f aca="false">S18+Y18</f>
        <v>118037</v>
      </c>
      <c r="AF18" s="120" t="n">
        <f aca="false">Z18</f>
        <v>33464</v>
      </c>
      <c r="AG18" s="120" t="n">
        <f aca="false">SUM(AB18:AF18)</f>
        <v>1339405</v>
      </c>
    </row>
    <row r="19" customFormat="false" ht="12.75" hidden="false" customHeight="false" outlineLevel="0" collapsed="false">
      <c r="A19" s="120" t="s">
        <v>149</v>
      </c>
      <c r="B19" s="120" t="n">
        <v>5</v>
      </c>
      <c r="C19" s="0"/>
      <c r="D19" s="0"/>
      <c r="E19" s="120" t="n">
        <v>5</v>
      </c>
      <c r="F19" s="0" t="n">
        <v>13</v>
      </c>
      <c r="G19" s="0" t="n">
        <v>85598</v>
      </c>
      <c r="H19" s="0" t="n">
        <v>4194</v>
      </c>
      <c r="I19" s="120" t="n">
        <v>5</v>
      </c>
      <c r="J19" s="0" t="n">
        <v>37</v>
      </c>
      <c r="K19" s="0" t="n">
        <v>241501</v>
      </c>
      <c r="L19" s="0" t="n">
        <v>42934</v>
      </c>
      <c r="M19" s="0" t="n">
        <v>21453</v>
      </c>
      <c r="N19" s="120" t="n">
        <v>5</v>
      </c>
      <c r="O19" s="0" t="n">
        <v>43</v>
      </c>
      <c r="P19" s="0" t="n">
        <v>289881</v>
      </c>
      <c r="Q19" s="0" t="n">
        <v>80394</v>
      </c>
      <c r="R19" s="0" t="n">
        <v>121199</v>
      </c>
      <c r="S19" s="0" t="n">
        <v>33782</v>
      </c>
      <c r="T19" s="120" t="n">
        <v>5</v>
      </c>
      <c r="U19" s="0" t="n">
        <v>30</v>
      </c>
      <c r="V19" s="0" t="n">
        <v>165688</v>
      </c>
      <c r="W19" s="0" t="n">
        <v>47366</v>
      </c>
      <c r="X19" s="0" t="n">
        <v>102576</v>
      </c>
      <c r="Y19" s="0" t="n">
        <v>100302</v>
      </c>
      <c r="Z19" s="0" t="n">
        <v>37798</v>
      </c>
      <c r="AA19" s="120" t="n">
        <f aca="false">C19+F19+J19+O19+U19</f>
        <v>123</v>
      </c>
      <c r="AB19" s="120" t="n">
        <f aca="false">D19+G19+K19+P19+V19</f>
        <v>782668</v>
      </c>
      <c r="AC19" s="120" t="n">
        <f aca="false">H19+L19+Q19+W19</f>
        <v>174888</v>
      </c>
      <c r="AD19" s="120" t="n">
        <f aca="false">M19+R19+X19</f>
        <v>245228</v>
      </c>
      <c r="AE19" s="120" t="n">
        <f aca="false">S19+Y19</f>
        <v>134084</v>
      </c>
      <c r="AF19" s="120" t="n">
        <f aca="false">Z19</f>
        <v>37798</v>
      </c>
      <c r="AG19" s="120" t="n">
        <f aca="false">SUM(AB19:AF19)</f>
        <v>1374666</v>
      </c>
    </row>
    <row r="20" customFormat="false" ht="12.75" hidden="false" customHeight="false" outlineLevel="0" collapsed="false">
      <c r="A20" s="120" t="s">
        <v>149</v>
      </c>
      <c r="B20" s="120" t="n">
        <v>6</v>
      </c>
      <c r="C20" s="0"/>
      <c r="D20" s="0"/>
      <c r="E20" s="120" t="n">
        <v>6</v>
      </c>
      <c r="F20" s="0" t="n">
        <v>11</v>
      </c>
      <c r="G20" s="0" t="n">
        <v>60046</v>
      </c>
      <c r="H20" s="0" t="n">
        <v>3438</v>
      </c>
      <c r="I20" s="120" t="n">
        <v>6</v>
      </c>
      <c r="J20" s="0" t="n">
        <v>42</v>
      </c>
      <c r="K20" s="0" t="n">
        <v>298465</v>
      </c>
      <c r="L20" s="0" t="n">
        <v>52320</v>
      </c>
      <c r="M20" s="0" t="n">
        <v>36124</v>
      </c>
      <c r="N20" s="120" t="n">
        <v>6</v>
      </c>
      <c r="O20" s="0" t="n">
        <v>34</v>
      </c>
      <c r="P20" s="0" t="n">
        <v>194144</v>
      </c>
      <c r="Q20" s="0" t="n">
        <v>57019</v>
      </c>
      <c r="R20" s="0" t="n">
        <v>95756</v>
      </c>
      <c r="S20" s="0" t="n">
        <v>28089</v>
      </c>
      <c r="T20" s="120" t="n">
        <v>6</v>
      </c>
      <c r="U20" s="0" t="n">
        <v>20</v>
      </c>
      <c r="V20" s="0" t="n">
        <v>88867</v>
      </c>
      <c r="W20" s="0" t="n">
        <v>25836</v>
      </c>
      <c r="X20" s="0" t="n">
        <v>58703</v>
      </c>
      <c r="Y20" s="0" t="n">
        <v>64301</v>
      </c>
      <c r="Z20" s="0" t="n">
        <v>31011</v>
      </c>
      <c r="AA20" s="120" t="n">
        <f aca="false">C20+F20+J20+O20+U20</f>
        <v>107</v>
      </c>
      <c r="AB20" s="120" t="n">
        <f aca="false">D20+G20+K20+P20+V20</f>
        <v>641522</v>
      </c>
      <c r="AC20" s="120" t="n">
        <f aca="false">H20+L20+Q20+W20</f>
        <v>138613</v>
      </c>
      <c r="AD20" s="120" t="n">
        <f aca="false">M20+R20+X20</f>
        <v>190583</v>
      </c>
      <c r="AE20" s="120" t="n">
        <f aca="false">S20+Y20</f>
        <v>92390</v>
      </c>
      <c r="AF20" s="120" t="n">
        <f aca="false">Z20</f>
        <v>31011</v>
      </c>
      <c r="AG20" s="120" t="n">
        <f aca="false">SUM(AB20:AF20)</f>
        <v>1094119</v>
      </c>
    </row>
    <row r="21" customFormat="false" ht="12.75" hidden="false" customHeight="false" outlineLevel="0" collapsed="false">
      <c r="A21" s="120" t="s">
        <v>149</v>
      </c>
      <c r="B21" s="120" t="n">
        <v>7</v>
      </c>
      <c r="C21" s="0" t="n">
        <v>1</v>
      </c>
      <c r="D21" s="0" t="n">
        <v>2757</v>
      </c>
      <c r="E21" s="120" t="n">
        <v>7</v>
      </c>
      <c r="F21" s="0" t="n">
        <v>12</v>
      </c>
      <c r="G21" s="0" t="n">
        <v>59666</v>
      </c>
      <c r="H21" s="0" t="n">
        <v>3679</v>
      </c>
      <c r="I21" s="120" t="n">
        <v>7</v>
      </c>
      <c r="J21" s="0" t="n">
        <v>29</v>
      </c>
      <c r="K21" s="0" t="n">
        <v>200440</v>
      </c>
      <c r="L21" s="0" t="n">
        <v>44817</v>
      </c>
      <c r="M21" s="0" t="n">
        <v>30403</v>
      </c>
      <c r="N21" s="120" t="n">
        <v>7</v>
      </c>
      <c r="O21" s="0" t="n">
        <v>22</v>
      </c>
      <c r="P21" s="0" t="n">
        <v>120882</v>
      </c>
      <c r="Q21" s="0" t="n">
        <v>35662</v>
      </c>
      <c r="R21" s="0" t="n">
        <v>70535</v>
      </c>
      <c r="S21" s="0" t="n">
        <v>25382</v>
      </c>
      <c r="T21" s="120" t="n">
        <v>7</v>
      </c>
      <c r="U21" s="0" t="n">
        <v>23</v>
      </c>
      <c r="V21" s="0" t="n">
        <v>114784</v>
      </c>
      <c r="W21" s="0" t="n">
        <v>33515</v>
      </c>
      <c r="X21" s="0" t="n">
        <v>75924</v>
      </c>
      <c r="Y21" s="0" t="n">
        <v>91004</v>
      </c>
      <c r="Z21" s="0" t="n">
        <v>49607</v>
      </c>
      <c r="AA21" s="120" t="n">
        <f aca="false">C21+F21+J21+O21+U21</f>
        <v>87</v>
      </c>
      <c r="AB21" s="120" t="n">
        <f aca="false">D21+G21+K21+P21+V21</f>
        <v>498529</v>
      </c>
      <c r="AC21" s="120" t="n">
        <f aca="false">H21+L21+Q21+W21</f>
        <v>117673</v>
      </c>
      <c r="AD21" s="120" t="n">
        <f aca="false">M21+R21+X21</f>
        <v>176862</v>
      </c>
      <c r="AE21" s="120" t="n">
        <f aca="false">S21+Y21</f>
        <v>116386</v>
      </c>
      <c r="AF21" s="120" t="n">
        <f aca="false">Z21</f>
        <v>49607</v>
      </c>
      <c r="AG21" s="120" t="n">
        <f aca="false">SUM(AB21:AF21)</f>
        <v>959057</v>
      </c>
    </row>
    <row r="22" customFormat="false" ht="12.75" hidden="false" customHeight="false" outlineLevel="0" collapsed="false">
      <c r="A22" s="120" t="s">
        <v>149</v>
      </c>
      <c r="B22" s="120" t="n">
        <v>8</v>
      </c>
      <c r="C22" s="0"/>
      <c r="D22" s="0"/>
      <c r="E22" s="120" t="n">
        <v>8</v>
      </c>
      <c r="F22" s="0" t="n">
        <v>4</v>
      </c>
      <c r="G22" s="0" t="n">
        <v>24960</v>
      </c>
      <c r="H22" s="0" t="n">
        <v>1841</v>
      </c>
      <c r="I22" s="120" t="n">
        <v>8</v>
      </c>
      <c r="J22" s="0" t="n">
        <v>16</v>
      </c>
      <c r="K22" s="0" t="n">
        <v>102955</v>
      </c>
      <c r="L22" s="0" t="n">
        <v>25034</v>
      </c>
      <c r="M22" s="0" t="n">
        <v>16224</v>
      </c>
      <c r="N22" s="120" t="n">
        <v>8</v>
      </c>
      <c r="O22" s="0" t="n">
        <v>13</v>
      </c>
      <c r="P22" s="0" t="n">
        <v>72759</v>
      </c>
      <c r="Q22" s="0" t="n">
        <v>21819</v>
      </c>
      <c r="R22" s="0" t="n">
        <v>45449</v>
      </c>
      <c r="S22" s="0" t="n">
        <v>14348</v>
      </c>
      <c r="T22" s="120" t="n">
        <v>8</v>
      </c>
      <c r="U22" s="0" t="n">
        <v>8</v>
      </c>
      <c r="V22" s="0" t="n">
        <v>44135</v>
      </c>
      <c r="W22" s="0" t="n">
        <v>13241</v>
      </c>
      <c r="X22" s="0" t="n">
        <v>30406</v>
      </c>
      <c r="Y22" s="0" t="n">
        <v>37985</v>
      </c>
      <c r="Z22" s="0" t="n">
        <v>23043</v>
      </c>
      <c r="AA22" s="120" t="n">
        <f aca="false">C22+F22+J22+O22+U22</f>
        <v>41</v>
      </c>
      <c r="AB22" s="120" t="n">
        <f aca="false">D22+G22+K22+P22+V22</f>
        <v>244809</v>
      </c>
      <c r="AC22" s="120" t="n">
        <f aca="false">H22+L22+Q22+W22</f>
        <v>61935</v>
      </c>
      <c r="AD22" s="120" t="n">
        <f aca="false">M22+R22+X22</f>
        <v>92079</v>
      </c>
      <c r="AE22" s="120" t="n">
        <f aca="false">S22+Y22</f>
        <v>52333</v>
      </c>
      <c r="AF22" s="120" t="n">
        <f aca="false">Z22</f>
        <v>23043</v>
      </c>
      <c r="AG22" s="120" t="n">
        <f aca="false">SUM(AB22:AF22)</f>
        <v>474199</v>
      </c>
    </row>
    <row r="23" customFormat="false" ht="12.75" hidden="false" customHeight="false" outlineLevel="0" collapsed="false">
      <c r="A23" s="120" t="s">
        <v>149</v>
      </c>
      <c r="B23" s="120" t="n">
        <v>9</v>
      </c>
      <c r="C23" s="0" t="n">
        <v>1</v>
      </c>
      <c r="D23" s="0" t="n">
        <v>1930</v>
      </c>
      <c r="E23" s="120" t="n">
        <v>9</v>
      </c>
      <c r="F23" s="0" t="n">
        <v>1</v>
      </c>
      <c r="G23" s="0" t="n">
        <v>3267</v>
      </c>
      <c r="H23" s="0" t="n">
        <v>184</v>
      </c>
      <c r="I23" s="120" t="n">
        <v>9</v>
      </c>
      <c r="J23" s="0" t="n">
        <v>19</v>
      </c>
      <c r="K23" s="0" t="n">
        <v>107248</v>
      </c>
      <c r="L23" s="0" t="n">
        <v>27532</v>
      </c>
      <c r="M23" s="0" t="n">
        <v>19712</v>
      </c>
      <c r="N23" s="120" t="n">
        <v>9</v>
      </c>
      <c r="O23" s="0" t="n">
        <v>19</v>
      </c>
      <c r="P23" s="0" t="n">
        <v>92328</v>
      </c>
      <c r="Q23" s="0" t="n">
        <v>27521</v>
      </c>
      <c r="R23" s="0" t="n">
        <v>59016</v>
      </c>
      <c r="S23" s="0" t="n">
        <v>24152</v>
      </c>
      <c r="T23" s="120" t="n">
        <v>9</v>
      </c>
      <c r="U23" s="0" t="n">
        <v>13</v>
      </c>
      <c r="V23" s="0" t="n">
        <v>55745</v>
      </c>
      <c r="W23" s="0" t="n">
        <v>16725</v>
      </c>
      <c r="X23" s="0" t="n">
        <v>38603</v>
      </c>
      <c r="Y23" s="0" t="n">
        <v>50548</v>
      </c>
      <c r="Z23" s="0" t="n">
        <v>37676</v>
      </c>
      <c r="AA23" s="120" t="n">
        <f aca="false">C23+F23+J23+O23+U23</f>
        <v>53</v>
      </c>
      <c r="AB23" s="120" t="n">
        <f aca="false">D23+G23+K23+P23+V23</f>
        <v>260518</v>
      </c>
      <c r="AC23" s="120" t="n">
        <f aca="false">H23+L23+Q23+W23</f>
        <v>71962</v>
      </c>
      <c r="AD23" s="120" t="n">
        <f aca="false">M23+R23+X23</f>
        <v>117331</v>
      </c>
      <c r="AE23" s="120" t="n">
        <f aca="false">S23+Y23</f>
        <v>74700</v>
      </c>
      <c r="AF23" s="120" t="n">
        <f aca="false">Z23</f>
        <v>37676</v>
      </c>
      <c r="AG23" s="120" t="n">
        <f aca="false">SUM(AB23:AF23)</f>
        <v>562187</v>
      </c>
    </row>
    <row r="24" customFormat="false" ht="12.75" hidden="false" customHeight="false" outlineLevel="0" collapsed="false">
      <c r="A24" s="120" t="s">
        <v>149</v>
      </c>
      <c r="B24" s="120" t="n">
        <v>10</v>
      </c>
      <c r="C24" s="0" t="n">
        <v>1</v>
      </c>
      <c r="D24" s="0" t="n">
        <v>3375</v>
      </c>
      <c r="E24" s="120" t="n">
        <v>10</v>
      </c>
      <c r="F24" s="0" t="n">
        <v>2</v>
      </c>
      <c r="G24" s="0" t="n">
        <v>14098</v>
      </c>
      <c r="H24" s="0" t="n">
        <v>904</v>
      </c>
      <c r="I24" s="120" t="n">
        <v>10</v>
      </c>
      <c r="J24" s="0" t="n">
        <v>20</v>
      </c>
      <c r="K24" s="0" t="n">
        <v>104982</v>
      </c>
      <c r="L24" s="0" t="n">
        <v>29008</v>
      </c>
      <c r="M24" s="0" t="n">
        <v>26132</v>
      </c>
      <c r="N24" s="120" t="n">
        <v>10</v>
      </c>
      <c r="O24" s="0" t="n">
        <v>10</v>
      </c>
      <c r="P24" s="0" t="n">
        <v>50917</v>
      </c>
      <c r="Q24" s="0" t="n">
        <v>15168</v>
      </c>
      <c r="R24" s="0" t="n">
        <v>34175</v>
      </c>
      <c r="S24" s="0" t="n">
        <v>16874</v>
      </c>
      <c r="T24" s="120" t="n">
        <v>10</v>
      </c>
      <c r="U24" s="0" t="n">
        <v>15</v>
      </c>
      <c r="V24" s="0" t="n">
        <v>69413</v>
      </c>
      <c r="W24" s="0" t="n">
        <v>20698</v>
      </c>
      <c r="X24" s="0" t="n">
        <v>48162</v>
      </c>
      <c r="Y24" s="0" t="n">
        <v>64828</v>
      </c>
      <c r="Z24" s="0" t="n">
        <v>60252</v>
      </c>
      <c r="AA24" s="120" t="n">
        <f aca="false">C24+F24+J24+O24+U24</f>
        <v>48</v>
      </c>
      <c r="AB24" s="120" t="n">
        <f aca="false">D24+G24+K24+P24+V24</f>
        <v>242785</v>
      </c>
      <c r="AC24" s="120" t="n">
        <f aca="false">H24+L24+Q24+W24</f>
        <v>65778</v>
      </c>
      <c r="AD24" s="120" t="n">
        <f aca="false">M24+R24+X24</f>
        <v>108469</v>
      </c>
      <c r="AE24" s="120" t="n">
        <f aca="false">S24+Y24</f>
        <v>81702</v>
      </c>
      <c r="AF24" s="120" t="n">
        <f aca="false">Z24</f>
        <v>60252</v>
      </c>
      <c r="AG24" s="120" t="n">
        <f aca="false">SUM(AB24:AF24)</f>
        <v>558986</v>
      </c>
    </row>
    <row r="25" customFormat="false" ht="12.75" hidden="false" customHeight="false" outlineLevel="0" collapsed="false">
      <c r="A25" s="120" t="s">
        <v>149</v>
      </c>
      <c r="B25" s="120" t="n">
        <v>11</v>
      </c>
      <c r="C25" s="0"/>
      <c r="D25" s="0"/>
      <c r="E25" s="120" t="n">
        <v>11</v>
      </c>
      <c r="F25" s="0" t="n">
        <v>4</v>
      </c>
      <c r="G25" s="0" t="n">
        <v>16255</v>
      </c>
      <c r="H25" s="0" t="n">
        <v>1859</v>
      </c>
      <c r="I25" s="120" t="n">
        <v>11</v>
      </c>
      <c r="J25" s="0" t="n">
        <v>12</v>
      </c>
      <c r="K25" s="0" t="n">
        <v>69614</v>
      </c>
      <c r="L25" s="0" t="n">
        <v>20247</v>
      </c>
      <c r="M25" s="0" t="n">
        <v>16754</v>
      </c>
      <c r="N25" s="120" t="n">
        <v>11</v>
      </c>
      <c r="O25" s="0" t="n">
        <v>8</v>
      </c>
      <c r="P25" s="0" t="n">
        <v>30938</v>
      </c>
      <c r="Q25" s="0" t="n">
        <v>9281</v>
      </c>
      <c r="R25" s="0" t="n">
        <v>21271</v>
      </c>
      <c r="S25" s="0" t="n">
        <v>10670</v>
      </c>
      <c r="T25" s="120" t="n">
        <v>11</v>
      </c>
      <c r="U25" s="0" t="n">
        <v>12</v>
      </c>
      <c r="V25" s="0" t="n">
        <v>48434</v>
      </c>
      <c r="W25" s="0" t="n">
        <v>14531</v>
      </c>
      <c r="X25" s="0" t="n">
        <v>33903</v>
      </c>
      <c r="Y25" s="0" t="n">
        <v>47600</v>
      </c>
      <c r="Z25" s="0" t="n">
        <v>42686</v>
      </c>
      <c r="AA25" s="120" t="n">
        <f aca="false">C25+F25+J25+O25+U25</f>
        <v>36</v>
      </c>
      <c r="AB25" s="120" t="n">
        <f aca="false">D25+G25+K25+P25+V25</f>
        <v>165241</v>
      </c>
      <c r="AC25" s="120" t="n">
        <f aca="false">H25+L25+Q25+W25</f>
        <v>45918</v>
      </c>
      <c r="AD25" s="120" t="n">
        <f aca="false">M25+R25+X25</f>
        <v>71928</v>
      </c>
      <c r="AE25" s="120" t="n">
        <f aca="false">S25+Y25</f>
        <v>58270</v>
      </c>
      <c r="AF25" s="120" t="n">
        <f aca="false">Z25</f>
        <v>42686</v>
      </c>
      <c r="AG25" s="120" t="n">
        <f aca="false">SUM(AB25:AF25)</f>
        <v>384043</v>
      </c>
    </row>
    <row r="26" customFormat="false" ht="12.75" hidden="false" customHeight="false" outlineLevel="0" collapsed="false">
      <c r="A26" s="120" t="s">
        <v>149</v>
      </c>
      <c r="B26" s="120" t="n">
        <v>12</v>
      </c>
      <c r="C26" s="0" t="n">
        <v>143</v>
      </c>
      <c r="D26" s="0" t="n">
        <v>629667</v>
      </c>
      <c r="E26" s="120" t="n">
        <v>12</v>
      </c>
      <c r="F26" s="0" t="n">
        <v>2</v>
      </c>
      <c r="G26" s="0" t="n">
        <v>7097</v>
      </c>
      <c r="H26" s="0" t="n">
        <v>1108</v>
      </c>
      <c r="I26" s="120" t="n">
        <v>12</v>
      </c>
      <c r="J26" s="0" t="n">
        <v>27</v>
      </c>
      <c r="K26" s="0" t="n">
        <v>122411</v>
      </c>
      <c r="L26" s="0" t="n">
        <v>36746</v>
      </c>
      <c r="M26" s="0" t="n">
        <v>39390</v>
      </c>
      <c r="N26" s="120" t="n">
        <v>12</v>
      </c>
      <c r="O26" s="0" t="n">
        <v>13</v>
      </c>
      <c r="P26" s="0" t="n">
        <v>43743</v>
      </c>
      <c r="Q26" s="0" t="n">
        <v>13128</v>
      </c>
      <c r="R26" s="0" t="n">
        <v>30615</v>
      </c>
      <c r="S26" s="0" t="n">
        <v>19715</v>
      </c>
      <c r="T26" s="120" t="n">
        <v>12</v>
      </c>
      <c r="U26" s="0" t="n">
        <v>45</v>
      </c>
      <c r="V26" s="0" t="n">
        <v>177972</v>
      </c>
      <c r="W26" s="0" t="n">
        <v>53416</v>
      </c>
      <c r="X26" s="0" t="n">
        <v>124556</v>
      </c>
      <c r="Y26" s="0" t="n">
        <v>177972</v>
      </c>
      <c r="Z26" s="0" t="n">
        <v>337230</v>
      </c>
      <c r="AA26" s="120" t="n">
        <f aca="false">C26+F26+J26+O26+U26</f>
        <v>230</v>
      </c>
      <c r="AB26" s="120" t="n">
        <f aca="false">D26+G26+K26+P26+V26</f>
        <v>980890</v>
      </c>
      <c r="AC26" s="120" t="n">
        <f aca="false">H26+L26+Q26+W26</f>
        <v>104398</v>
      </c>
      <c r="AD26" s="120" t="n">
        <f aca="false">M26+R26+X26</f>
        <v>194561</v>
      </c>
      <c r="AE26" s="120" t="n">
        <f aca="false">S26+Y26</f>
        <v>197687</v>
      </c>
      <c r="AF26" s="120" t="n">
        <f aca="false">Z26</f>
        <v>337230</v>
      </c>
      <c r="AG26" s="120" t="n">
        <f aca="false">SUM(AB26:AF26)</f>
        <v>1814766</v>
      </c>
    </row>
    <row r="27" customFormat="false" ht="12.75" hidden="false" customHeight="false" outlineLevel="0" collapsed="false">
      <c r="A27" s="120" t="s">
        <v>150</v>
      </c>
      <c r="B27" s="120" t="n">
        <v>1</v>
      </c>
      <c r="C27" s="0"/>
      <c r="D27" s="0"/>
      <c r="E27" s="120" t="n">
        <v>1</v>
      </c>
      <c r="F27" s="0" t="n">
        <v>72</v>
      </c>
      <c r="G27" s="0" t="n">
        <v>392673</v>
      </c>
      <c r="H27" s="0" t="n">
        <v>59645</v>
      </c>
      <c r="I27" s="120" t="n">
        <v>1</v>
      </c>
      <c r="J27" s="0" t="n">
        <v>81</v>
      </c>
      <c r="K27" s="0" t="n">
        <v>464668</v>
      </c>
      <c r="L27" s="0" t="n">
        <v>60492</v>
      </c>
      <c r="M27" s="0" t="n">
        <v>70705</v>
      </c>
      <c r="N27" s="120" t="n">
        <v>1</v>
      </c>
      <c r="O27" s="0" t="n">
        <v>229</v>
      </c>
      <c r="P27" s="0" t="n">
        <v>1713326</v>
      </c>
      <c r="Q27" s="0" t="n">
        <v>375665</v>
      </c>
      <c r="R27" s="0" t="n">
        <v>402819</v>
      </c>
      <c r="S27" s="0" t="n">
        <v>29708</v>
      </c>
      <c r="T27" s="120" t="n">
        <v>1</v>
      </c>
      <c r="U27" s="0" t="n">
        <v>376</v>
      </c>
      <c r="V27" s="0" t="n">
        <v>2533433</v>
      </c>
      <c r="W27" s="0" t="n">
        <v>713221</v>
      </c>
      <c r="X27" s="0" t="n">
        <v>1303399</v>
      </c>
      <c r="Y27" s="0" t="n">
        <v>737015</v>
      </c>
      <c r="Z27" s="0" t="n">
        <v>64734</v>
      </c>
      <c r="AA27" s="120" t="n">
        <f aca="false">C27+F27+J27+O27+U27</f>
        <v>758</v>
      </c>
      <c r="AB27" s="120" t="n">
        <f aca="false">D27+G27+K27+P27+V27</f>
        <v>5104100</v>
      </c>
      <c r="AC27" s="120" t="n">
        <f aca="false">H27+L27+Q27+W27</f>
        <v>1209023</v>
      </c>
      <c r="AD27" s="120" t="n">
        <f aca="false">M27+R27+X27</f>
        <v>1776923</v>
      </c>
      <c r="AE27" s="120" t="n">
        <f aca="false">S27+Y27</f>
        <v>766723</v>
      </c>
      <c r="AF27" s="120" t="n">
        <f aca="false">Z27</f>
        <v>64734</v>
      </c>
      <c r="AG27" s="120" t="n">
        <f aca="false">SUM(AB27:AF27)</f>
        <v>8921503</v>
      </c>
    </row>
    <row r="28" customFormat="false" ht="12.75" hidden="false" customHeight="false" outlineLevel="0" collapsed="false">
      <c r="A28" s="120" t="s">
        <v>150</v>
      </c>
      <c r="B28" s="120" t="n">
        <v>2</v>
      </c>
      <c r="C28" s="0"/>
      <c r="D28" s="0"/>
      <c r="E28" s="120" t="n">
        <v>2</v>
      </c>
      <c r="F28" s="0" t="n">
        <v>23</v>
      </c>
      <c r="G28" s="0" t="n">
        <v>134046</v>
      </c>
      <c r="H28" s="0" t="n">
        <v>8205</v>
      </c>
      <c r="I28" s="120" t="n">
        <v>2</v>
      </c>
      <c r="J28" s="0" t="n">
        <v>69</v>
      </c>
      <c r="K28" s="0" t="n">
        <v>461009</v>
      </c>
      <c r="L28" s="0" t="n">
        <v>54979</v>
      </c>
      <c r="M28" s="0" t="n">
        <v>25973</v>
      </c>
      <c r="N28" s="120" t="n">
        <v>2</v>
      </c>
      <c r="O28" s="0" t="n">
        <v>188</v>
      </c>
      <c r="P28" s="0" t="n">
        <v>1402636</v>
      </c>
      <c r="Q28" s="0" t="n">
        <v>338412</v>
      </c>
      <c r="R28" s="0" t="n">
        <v>419963</v>
      </c>
      <c r="S28" s="0" t="n">
        <v>65116</v>
      </c>
      <c r="T28" s="120" t="n">
        <v>2</v>
      </c>
      <c r="U28" s="0" t="n">
        <v>337</v>
      </c>
      <c r="V28" s="0" t="n">
        <v>2151489</v>
      </c>
      <c r="W28" s="0" t="n">
        <v>613174</v>
      </c>
      <c r="X28" s="0" t="n">
        <v>1187870</v>
      </c>
      <c r="Y28" s="0" t="n">
        <v>828911</v>
      </c>
      <c r="Z28" s="0" t="n">
        <v>156220</v>
      </c>
      <c r="AA28" s="120" t="n">
        <f aca="false">C28+F28+J28+O28+U28</f>
        <v>617</v>
      </c>
      <c r="AB28" s="120" t="n">
        <f aca="false">D28+G28+K28+P28+V28</f>
        <v>4149180</v>
      </c>
      <c r="AC28" s="120" t="n">
        <f aca="false">H28+L28+Q28+W28</f>
        <v>1014770</v>
      </c>
      <c r="AD28" s="120" t="n">
        <f aca="false">M28+R28+X28</f>
        <v>1633806</v>
      </c>
      <c r="AE28" s="120" t="n">
        <f aca="false">S28+Y28</f>
        <v>894027</v>
      </c>
      <c r="AF28" s="120" t="n">
        <f aca="false">Z28</f>
        <v>156220</v>
      </c>
      <c r="AG28" s="120" t="n">
        <f aca="false">SUM(AB28:AF28)</f>
        <v>7848003</v>
      </c>
    </row>
    <row r="29" customFormat="false" ht="12.75" hidden="false" customHeight="false" outlineLevel="0" collapsed="false">
      <c r="A29" s="120" t="s">
        <v>150</v>
      </c>
      <c r="B29" s="120" t="n">
        <v>3</v>
      </c>
      <c r="C29" s="0" t="n">
        <v>1</v>
      </c>
      <c r="D29" s="0" t="n">
        <v>716</v>
      </c>
      <c r="E29" s="120" t="n">
        <v>3</v>
      </c>
      <c r="F29" s="0" t="n">
        <v>19</v>
      </c>
      <c r="G29" s="0" t="n">
        <v>118425</v>
      </c>
      <c r="H29" s="0" t="n">
        <v>4649</v>
      </c>
      <c r="I29" s="120" t="n">
        <v>3</v>
      </c>
      <c r="J29" s="0" t="n">
        <v>67</v>
      </c>
      <c r="K29" s="0" t="n">
        <v>470606</v>
      </c>
      <c r="L29" s="0" t="n">
        <v>70027</v>
      </c>
      <c r="M29" s="0" t="n">
        <v>36828</v>
      </c>
      <c r="N29" s="120" t="n">
        <v>3</v>
      </c>
      <c r="O29" s="0" t="n">
        <v>184</v>
      </c>
      <c r="P29" s="0" t="n">
        <v>1446716</v>
      </c>
      <c r="Q29" s="0" t="n">
        <v>365370</v>
      </c>
      <c r="R29" s="0" t="n">
        <v>499599</v>
      </c>
      <c r="S29" s="0" t="n">
        <v>98094</v>
      </c>
      <c r="T29" s="120" t="n">
        <v>3</v>
      </c>
      <c r="U29" s="0" t="n">
        <v>276</v>
      </c>
      <c r="V29" s="0" t="n">
        <v>1680125</v>
      </c>
      <c r="W29" s="0" t="n">
        <v>485015</v>
      </c>
      <c r="X29" s="0" t="n">
        <v>974084</v>
      </c>
      <c r="Y29" s="0" t="n">
        <v>784919</v>
      </c>
      <c r="Z29" s="0" t="n">
        <v>233827</v>
      </c>
      <c r="AA29" s="120" t="n">
        <f aca="false">C29+F29+J29+O29+U29</f>
        <v>547</v>
      </c>
      <c r="AB29" s="120" t="n">
        <f aca="false">D29+G29+K29+P29+V29</f>
        <v>3716588</v>
      </c>
      <c r="AC29" s="120" t="n">
        <f aca="false">H29+L29+Q29+W29</f>
        <v>925061</v>
      </c>
      <c r="AD29" s="120" t="n">
        <f aca="false">M29+R29+X29</f>
        <v>1510511</v>
      </c>
      <c r="AE29" s="120" t="n">
        <f aca="false">S29+Y29</f>
        <v>883013</v>
      </c>
      <c r="AF29" s="120" t="n">
        <f aca="false">Z29</f>
        <v>233827</v>
      </c>
      <c r="AG29" s="120" t="n">
        <f aca="false">SUM(AB29:AF29)</f>
        <v>7269000</v>
      </c>
    </row>
    <row r="30" customFormat="false" ht="12.75" hidden="false" customHeight="false" outlineLevel="0" collapsed="false">
      <c r="A30" s="120" t="s">
        <v>150</v>
      </c>
      <c r="B30" s="120" t="n">
        <v>4</v>
      </c>
      <c r="C30" s="0"/>
      <c r="D30" s="0"/>
      <c r="E30" s="120" t="n">
        <v>4</v>
      </c>
      <c r="F30" s="0" t="n">
        <v>13</v>
      </c>
      <c r="G30" s="0" t="n">
        <v>89547</v>
      </c>
      <c r="H30" s="0" t="n">
        <v>5227</v>
      </c>
      <c r="I30" s="120" t="n">
        <v>4</v>
      </c>
      <c r="J30" s="0" t="n">
        <v>61</v>
      </c>
      <c r="K30" s="0" t="n">
        <v>446322</v>
      </c>
      <c r="L30" s="0" t="n">
        <v>77328</v>
      </c>
      <c r="M30" s="0" t="n">
        <v>43765</v>
      </c>
      <c r="N30" s="120" t="n">
        <v>4</v>
      </c>
      <c r="O30" s="0" t="n">
        <v>177</v>
      </c>
      <c r="P30" s="0" t="n">
        <v>1322975</v>
      </c>
      <c r="Q30" s="0" t="n">
        <v>348101</v>
      </c>
      <c r="R30" s="0" t="n">
        <v>529301</v>
      </c>
      <c r="S30" s="0" t="n">
        <v>140108</v>
      </c>
      <c r="T30" s="120" t="n">
        <v>4</v>
      </c>
      <c r="U30" s="0" t="n">
        <v>324</v>
      </c>
      <c r="V30" s="0" t="n">
        <v>1937072</v>
      </c>
      <c r="W30" s="0" t="n">
        <v>565358</v>
      </c>
      <c r="X30" s="0" t="n">
        <v>1191286</v>
      </c>
      <c r="Y30" s="0" t="n">
        <v>1062762</v>
      </c>
      <c r="Z30" s="0" t="n">
        <v>444478</v>
      </c>
      <c r="AA30" s="120" t="n">
        <f aca="false">C30+F30+J30+O30+U30</f>
        <v>575</v>
      </c>
      <c r="AB30" s="120" t="n">
        <f aca="false">D30+G30+K30+P30+V30</f>
        <v>3795916</v>
      </c>
      <c r="AC30" s="120" t="n">
        <f aca="false">H30+L30+Q30+W30</f>
        <v>996014</v>
      </c>
      <c r="AD30" s="120" t="n">
        <f aca="false">M30+R30+X30</f>
        <v>1764352</v>
      </c>
      <c r="AE30" s="120" t="n">
        <f aca="false">S30+Y30</f>
        <v>1202870</v>
      </c>
      <c r="AF30" s="120" t="n">
        <f aca="false">Z30</f>
        <v>444478</v>
      </c>
      <c r="AG30" s="120" t="n">
        <f aca="false">SUM(AB30:AF30)</f>
        <v>8203630</v>
      </c>
    </row>
    <row r="31" customFormat="false" ht="12.75" hidden="false" customHeight="false" outlineLevel="0" collapsed="false">
      <c r="A31" s="120" t="s">
        <v>150</v>
      </c>
      <c r="B31" s="120" t="n">
        <v>5</v>
      </c>
      <c r="C31" s="0"/>
      <c r="D31" s="0"/>
      <c r="E31" s="120" t="n">
        <v>5</v>
      </c>
      <c r="F31" s="0" t="n">
        <v>12</v>
      </c>
      <c r="G31" s="0" t="n">
        <v>83927</v>
      </c>
      <c r="H31" s="0" t="n">
        <v>4645</v>
      </c>
      <c r="I31" s="120" t="n">
        <v>5</v>
      </c>
      <c r="J31" s="0" t="n">
        <v>51</v>
      </c>
      <c r="K31" s="0" t="n">
        <v>371317</v>
      </c>
      <c r="L31" s="0" t="n">
        <v>69050</v>
      </c>
      <c r="M31" s="0" t="n">
        <v>45147</v>
      </c>
      <c r="N31" s="120" t="n">
        <v>5</v>
      </c>
      <c r="O31" s="0" t="n">
        <v>145</v>
      </c>
      <c r="P31" s="0" t="n">
        <v>1126913</v>
      </c>
      <c r="Q31" s="0" t="n">
        <v>315020</v>
      </c>
      <c r="R31" s="0" t="n">
        <v>483142</v>
      </c>
      <c r="S31" s="0" t="n">
        <v>146774</v>
      </c>
      <c r="T31" s="120" t="n">
        <v>5</v>
      </c>
      <c r="U31" s="0" t="n">
        <v>248</v>
      </c>
      <c r="V31" s="0" t="n">
        <v>1433425</v>
      </c>
      <c r="W31" s="0" t="n">
        <v>424777</v>
      </c>
      <c r="X31" s="0" t="n">
        <v>932757</v>
      </c>
      <c r="Y31" s="0" t="n">
        <v>890144</v>
      </c>
      <c r="Z31" s="0" t="n">
        <v>445213</v>
      </c>
      <c r="AA31" s="120" t="n">
        <f aca="false">C31+F31+J31+O31+U31</f>
        <v>456</v>
      </c>
      <c r="AB31" s="120" t="n">
        <f aca="false">D31+G31+K31+P31+V31</f>
        <v>3015582</v>
      </c>
      <c r="AC31" s="120" t="n">
        <f aca="false">H31+L31+Q31+W31</f>
        <v>813492</v>
      </c>
      <c r="AD31" s="120" t="n">
        <f aca="false">M31+R31+X31</f>
        <v>1461046</v>
      </c>
      <c r="AE31" s="120" t="n">
        <f aca="false">S31+Y31</f>
        <v>1036918</v>
      </c>
      <c r="AF31" s="120" t="n">
        <f aca="false">Z31</f>
        <v>445213</v>
      </c>
      <c r="AG31" s="120" t="n">
        <f aca="false">SUM(AB31:AF31)</f>
        <v>6772251</v>
      </c>
    </row>
    <row r="32" customFormat="false" ht="12.75" hidden="false" customHeight="false" outlineLevel="0" collapsed="false">
      <c r="A32" s="120" t="s">
        <v>150</v>
      </c>
      <c r="B32" s="120" t="n">
        <v>6</v>
      </c>
      <c r="C32" s="0"/>
      <c r="D32" s="0"/>
      <c r="E32" s="120" t="n">
        <v>6</v>
      </c>
      <c r="F32" s="0" t="n">
        <v>15</v>
      </c>
      <c r="G32" s="0" t="n">
        <v>111312</v>
      </c>
      <c r="H32" s="0" t="n">
        <v>11157</v>
      </c>
      <c r="I32" s="120" t="n">
        <v>6</v>
      </c>
      <c r="J32" s="0" t="n">
        <v>74</v>
      </c>
      <c r="K32" s="0" t="n">
        <v>559937</v>
      </c>
      <c r="L32" s="0" t="n">
        <v>111640</v>
      </c>
      <c r="M32" s="0" t="n">
        <v>76728</v>
      </c>
      <c r="N32" s="120" t="n">
        <v>6</v>
      </c>
      <c r="O32" s="0" t="n">
        <v>122</v>
      </c>
      <c r="P32" s="0" t="n">
        <v>918301</v>
      </c>
      <c r="Q32" s="0" t="n">
        <v>264145</v>
      </c>
      <c r="R32" s="0" t="n">
        <v>453961</v>
      </c>
      <c r="S32" s="0" t="n">
        <v>149646</v>
      </c>
      <c r="T32" s="120" t="n">
        <v>6</v>
      </c>
      <c r="U32" s="0" t="n">
        <v>231</v>
      </c>
      <c r="V32" s="0" t="n">
        <v>1306651</v>
      </c>
      <c r="W32" s="0" t="n">
        <v>386014</v>
      </c>
      <c r="X32" s="0" t="n">
        <v>864308</v>
      </c>
      <c r="Y32" s="0" t="n">
        <v>904240</v>
      </c>
      <c r="Z32" s="0" t="n">
        <v>607655</v>
      </c>
      <c r="AA32" s="120" t="n">
        <f aca="false">C32+F32+J32+O32+U32</f>
        <v>442</v>
      </c>
      <c r="AB32" s="120" t="n">
        <f aca="false">D32+G32+K32+P32+V32</f>
        <v>2896201</v>
      </c>
      <c r="AC32" s="120" t="n">
        <f aca="false">H32+L32+Q32+W32</f>
        <v>772956</v>
      </c>
      <c r="AD32" s="120" t="n">
        <f aca="false">M32+R32+X32</f>
        <v>1394997</v>
      </c>
      <c r="AE32" s="120" t="n">
        <f aca="false">S32+Y32</f>
        <v>1053886</v>
      </c>
      <c r="AF32" s="120" t="n">
        <f aca="false">Z32</f>
        <v>607655</v>
      </c>
      <c r="AG32" s="120" t="n">
        <f aca="false">SUM(AB32:AF32)</f>
        <v>6725695</v>
      </c>
    </row>
    <row r="33" customFormat="false" ht="12.75" hidden="false" customHeight="false" outlineLevel="0" collapsed="false">
      <c r="A33" s="120" t="s">
        <v>150</v>
      </c>
      <c r="B33" s="120" t="n">
        <v>7</v>
      </c>
      <c r="C33" s="0"/>
      <c r="D33" s="0"/>
      <c r="E33" s="120" t="n">
        <v>7</v>
      </c>
      <c r="F33" s="0" t="n">
        <v>5</v>
      </c>
      <c r="G33" s="0" t="n">
        <v>30917</v>
      </c>
      <c r="H33" s="0" t="n">
        <v>2765</v>
      </c>
      <c r="I33" s="120" t="n">
        <v>7</v>
      </c>
      <c r="J33" s="0" t="n">
        <v>40</v>
      </c>
      <c r="K33" s="0" t="n">
        <v>299108</v>
      </c>
      <c r="L33" s="0" t="n">
        <v>66735</v>
      </c>
      <c r="M33" s="0" t="n">
        <v>46953</v>
      </c>
      <c r="N33" s="120" t="n">
        <v>7</v>
      </c>
      <c r="O33" s="0" t="n">
        <v>78</v>
      </c>
      <c r="P33" s="0" t="n">
        <v>550851</v>
      </c>
      <c r="Q33" s="0" t="n">
        <v>161736</v>
      </c>
      <c r="R33" s="0" t="n">
        <v>311196</v>
      </c>
      <c r="S33" s="0" t="n">
        <v>110957</v>
      </c>
      <c r="T33" s="120" t="n">
        <v>7</v>
      </c>
      <c r="U33" s="0" t="n">
        <v>197</v>
      </c>
      <c r="V33" s="0" t="n">
        <v>1021317</v>
      </c>
      <c r="W33" s="0" t="n">
        <v>301743</v>
      </c>
      <c r="X33" s="0" t="n">
        <v>682966</v>
      </c>
      <c r="Y33" s="0" t="n">
        <v>796600</v>
      </c>
      <c r="Z33" s="0" t="n">
        <v>584820</v>
      </c>
      <c r="AA33" s="120" t="n">
        <f aca="false">C33+F33+J33+O33+U33</f>
        <v>320</v>
      </c>
      <c r="AB33" s="120" t="n">
        <f aca="false">D33+G33+K33+P33+V33</f>
        <v>1902193</v>
      </c>
      <c r="AC33" s="120" t="n">
        <f aca="false">H33+L33+Q33+W33</f>
        <v>532979</v>
      </c>
      <c r="AD33" s="120" t="n">
        <f aca="false">M33+R33+X33</f>
        <v>1041115</v>
      </c>
      <c r="AE33" s="120" t="n">
        <f aca="false">S33+Y33</f>
        <v>907557</v>
      </c>
      <c r="AF33" s="120" t="n">
        <f aca="false">Z33</f>
        <v>584820</v>
      </c>
      <c r="AG33" s="120" t="n">
        <f aca="false">SUM(AB33:AF33)</f>
        <v>4968664</v>
      </c>
    </row>
    <row r="34" customFormat="false" ht="12.75" hidden="false" customHeight="false" outlineLevel="0" collapsed="false">
      <c r="A34" s="120" t="s">
        <v>150</v>
      </c>
      <c r="B34" s="120" t="n">
        <v>8</v>
      </c>
      <c r="C34" s="0"/>
      <c r="D34" s="0"/>
      <c r="E34" s="120" t="n">
        <v>8</v>
      </c>
      <c r="F34" s="0" t="n">
        <v>7</v>
      </c>
      <c r="G34" s="0" t="n">
        <v>52129</v>
      </c>
      <c r="H34" s="0" t="n">
        <v>4010</v>
      </c>
      <c r="I34" s="120" t="n">
        <v>8</v>
      </c>
      <c r="J34" s="0" t="n">
        <v>32</v>
      </c>
      <c r="K34" s="0" t="n">
        <v>274968</v>
      </c>
      <c r="L34" s="0" t="n">
        <v>68899</v>
      </c>
      <c r="M34" s="0" t="n">
        <v>49447</v>
      </c>
      <c r="N34" s="120" t="n">
        <v>8</v>
      </c>
      <c r="O34" s="0" t="n">
        <v>44</v>
      </c>
      <c r="P34" s="0" t="n">
        <v>298886</v>
      </c>
      <c r="Q34" s="0" t="n">
        <v>88075</v>
      </c>
      <c r="R34" s="0" t="n">
        <v>176004</v>
      </c>
      <c r="S34" s="0" t="n">
        <v>64567</v>
      </c>
      <c r="T34" s="120" t="n">
        <v>8</v>
      </c>
      <c r="U34" s="0" t="n">
        <v>142</v>
      </c>
      <c r="V34" s="0" t="n">
        <v>703981</v>
      </c>
      <c r="W34" s="0" t="n">
        <v>209303</v>
      </c>
      <c r="X34" s="0" t="n">
        <v>481511</v>
      </c>
      <c r="Y34" s="0" t="n">
        <v>600504</v>
      </c>
      <c r="Z34" s="0" t="n">
        <v>482621</v>
      </c>
      <c r="AA34" s="120" t="n">
        <f aca="false">C34+F34+J34+O34+U34</f>
        <v>225</v>
      </c>
      <c r="AB34" s="120" t="n">
        <f aca="false">D34+G34+K34+P34+V34</f>
        <v>1329964</v>
      </c>
      <c r="AC34" s="120" t="n">
        <f aca="false">H34+L34+Q34+W34</f>
        <v>370287</v>
      </c>
      <c r="AD34" s="120" t="n">
        <f aca="false">M34+R34+X34</f>
        <v>706962</v>
      </c>
      <c r="AE34" s="120" t="n">
        <f aca="false">S34+Y34</f>
        <v>665071</v>
      </c>
      <c r="AF34" s="120" t="n">
        <f aca="false">Z34</f>
        <v>482621</v>
      </c>
      <c r="AG34" s="120" t="n">
        <f aca="false">SUM(AB34:AF34)</f>
        <v>3554905</v>
      </c>
    </row>
    <row r="35" customFormat="false" ht="12.75" hidden="false" customHeight="false" outlineLevel="0" collapsed="false">
      <c r="A35" s="120" t="s">
        <v>150</v>
      </c>
      <c r="B35" s="120" t="n">
        <v>9</v>
      </c>
      <c r="C35" s="0"/>
      <c r="D35" s="0"/>
      <c r="E35" s="120" t="n">
        <v>9</v>
      </c>
      <c r="F35" s="0" t="n">
        <v>1</v>
      </c>
      <c r="G35" s="0" t="n">
        <v>4048</v>
      </c>
      <c r="H35" s="0" t="n">
        <v>403</v>
      </c>
      <c r="I35" s="120" t="n">
        <v>9</v>
      </c>
      <c r="J35" s="0" t="n">
        <v>26</v>
      </c>
      <c r="K35" s="0" t="n">
        <v>211012</v>
      </c>
      <c r="L35" s="0" t="n">
        <v>55466</v>
      </c>
      <c r="M35" s="0" t="n">
        <v>38097</v>
      </c>
      <c r="N35" s="120" t="n">
        <v>9</v>
      </c>
      <c r="O35" s="0" t="n">
        <v>50</v>
      </c>
      <c r="P35" s="0" t="n">
        <v>346213</v>
      </c>
      <c r="Q35" s="0" t="n">
        <v>103344</v>
      </c>
      <c r="R35" s="0" t="n">
        <v>219158</v>
      </c>
      <c r="S35" s="0" t="n">
        <v>95529</v>
      </c>
      <c r="T35" s="120" t="n">
        <v>9</v>
      </c>
      <c r="U35" s="0" t="n">
        <v>138</v>
      </c>
      <c r="V35" s="0" t="n">
        <v>710679</v>
      </c>
      <c r="W35" s="0" t="n">
        <v>212291</v>
      </c>
      <c r="X35" s="0" t="n">
        <v>489319</v>
      </c>
      <c r="Y35" s="0" t="n">
        <v>640468</v>
      </c>
      <c r="Z35" s="0" t="n">
        <v>559070</v>
      </c>
      <c r="AA35" s="120" t="n">
        <f aca="false">C35+F35+J35+O35+U35</f>
        <v>215</v>
      </c>
      <c r="AB35" s="120" t="n">
        <f aca="false">D35+G35+K35+P35+V35</f>
        <v>1271952</v>
      </c>
      <c r="AC35" s="120" t="n">
        <f aca="false">H35+L35+Q35+W35</f>
        <v>371504</v>
      </c>
      <c r="AD35" s="120" t="n">
        <f aca="false">M35+R35+X35</f>
        <v>746574</v>
      </c>
      <c r="AE35" s="120" t="n">
        <f aca="false">S35+Y35</f>
        <v>735997</v>
      </c>
      <c r="AF35" s="120" t="n">
        <f aca="false">Z35</f>
        <v>559070</v>
      </c>
      <c r="AG35" s="120" t="n">
        <f aca="false">SUM(AB35:AF35)</f>
        <v>3685097</v>
      </c>
    </row>
    <row r="36" customFormat="false" ht="12.75" hidden="false" customHeight="false" outlineLevel="0" collapsed="false">
      <c r="A36" s="120" t="s">
        <v>150</v>
      </c>
      <c r="B36" s="120" t="n">
        <v>10</v>
      </c>
      <c r="C36" s="0"/>
      <c r="D36" s="0"/>
      <c r="E36" s="120" t="n">
        <v>10</v>
      </c>
      <c r="F36" s="0" t="n">
        <v>3</v>
      </c>
      <c r="G36" s="0" t="n">
        <v>22504</v>
      </c>
      <c r="H36" s="0" t="n">
        <v>2500</v>
      </c>
      <c r="I36" s="120" t="n">
        <v>10</v>
      </c>
      <c r="J36" s="0" t="n">
        <v>24</v>
      </c>
      <c r="K36" s="0" t="n">
        <v>189622</v>
      </c>
      <c r="L36" s="0" t="n">
        <v>51433</v>
      </c>
      <c r="M36" s="0" t="n">
        <v>44989</v>
      </c>
      <c r="N36" s="120" t="n">
        <v>10</v>
      </c>
      <c r="O36" s="0" t="n">
        <v>39</v>
      </c>
      <c r="P36" s="0" t="n">
        <v>248162</v>
      </c>
      <c r="Q36" s="0" t="n">
        <v>74474</v>
      </c>
      <c r="R36" s="0" t="n">
        <v>165122</v>
      </c>
      <c r="S36" s="0" t="n">
        <v>77059</v>
      </c>
      <c r="T36" s="120" t="n">
        <v>10</v>
      </c>
      <c r="U36" s="0" t="n">
        <v>142</v>
      </c>
      <c r="V36" s="0" t="n">
        <v>737250</v>
      </c>
      <c r="W36" s="0" t="n">
        <v>220512</v>
      </c>
      <c r="X36" s="0" t="n">
        <v>510959</v>
      </c>
      <c r="Y36" s="0" t="n">
        <v>691067</v>
      </c>
      <c r="Z36" s="0" t="n">
        <v>711414</v>
      </c>
      <c r="AA36" s="120" t="n">
        <f aca="false">C36+F36+J36+O36+U36</f>
        <v>208</v>
      </c>
      <c r="AB36" s="120" t="n">
        <f aca="false">D36+G36+K36+P36+V36</f>
        <v>1197538</v>
      </c>
      <c r="AC36" s="120" t="n">
        <f aca="false">H36+L36+Q36+W36</f>
        <v>348919</v>
      </c>
      <c r="AD36" s="120" t="n">
        <f aca="false">M36+R36+X36</f>
        <v>721070</v>
      </c>
      <c r="AE36" s="120" t="n">
        <f aca="false">S36+Y36</f>
        <v>768126</v>
      </c>
      <c r="AF36" s="120" t="n">
        <f aca="false">Z36</f>
        <v>711414</v>
      </c>
      <c r="AG36" s="120" t="n">
        <f aca="false">SUM(AB36:AF36)</f>
        <v>3747067</v>
      </c>
    </row>
    <row r="37" customFormat="false" ht="12.75" hidden="false" customHeight="false" outlineLevel="0" collapsed="false">
      <c r="A37" s="120" t="s">
        <v>150</v>
      </c>
      <c r="B37" s="120" t="n">
        <v>11</v>
      </c>
      <c r="C37" s="0"/>
      <c r="D37" s="0"/>
      <c r="E37" s="120" t="n">
        <v>11</v>
      </c>
      <c r="I37" s="120" t="n">
        <v>11</v>
      </c>
      <c r="J37" s="0" t="n">
        <v>22</v>
      </c>
      <c r="K37" s="0" t="n">
        <v>186869</v>
      </c>
      <c r="L37" s="0" t="n">
        <v>53716</v>
      </c>
      <c r="M37" s="0" t="n">
        <v>50667</v>
      </c>
      <c r="N37" s="120" t="n">
        <v>11</v>
      </c>
      <c r="O37" s="0" t="n">
        <v>32</v>
      </c>
      <c r="P37" s="0" t="n">
        <v>184928</v>
      </c>
      <c r="Q37" s="0" t="n">
        <v>55441</v>
      </c>
      <c r="R37" s="0" t="n">
        <v>125949</v>
      </c>
      <c r="S37" s="0" t="n">
        <v>71764</v>
      </c>
      <c r="T37" s="120" t="n">
        <v>11</v>
      </c>
      <c r="U37" s="0" t="n">
        <v>189</v>
      </c>
      <c r="V37" s="0" t="n">
        <v>907719</v>
      </c>
      <c r="W37" s="0" t="n">
        <v>272028</v>
      </c>
      <c r="X37" s="0" t="n">
        <v>632230</v>
      </c>
      <c r="Y37" s="0" t="n">
        <v>882959</v>
      </c>
      <c r="Z37" s="0" t="n">
        <v>1157985</v>
      </c>
      <c r="AA37" s="120" t="n">
        <f aca="false">C37+F37+J37+O37+U37</f>
        <v>243</v>
      </c>
      <c r="AB37" s="120" t="n">
        <f aca="false">D37+G37+K37+P37+V37</f>
        <v>1279516</v>
      </c>
      <c r="AC37" s="120" t="n">
        <f aca="false">H37+L37+Q37+W37</f>
        <v>381185</v>
      </c>
      <c r="AD37" s="120" t="n">
        <f aca="false">M37+R37+X37</f>
        <v>808846</v>
      </c>
      <c r="AE37" s="120" t="n">
        <f aca="false">S37+Y37</f>
        <v>954723</v>
      </c>
      <c r="AF37" s="120" t="n">
        <f aca="false">Z37</f>
        <v>1157985</v>
      </c>
      <c r="AG37" s="120" t="n">
        <f aca="false">SUM(AB37:AF37)</f>
        <v>4582255</v>
      </c>
    </row>
    <row r="38" customFormat="false" ht="12.75" hidden="false" customHeight="false" outlineLevel="0" collapsed="false">
      <c r="A38" s="120" t="s">
        <v>150</v>
      </c>
      <c r="B38" s="120" t="n">
        <v>12</v>
      </c>
      <c r="C38" s="0" t="n">
        <v>55</v>
      </c>
      <c r="D38" s="0" t="n">
        <v>259588</v>
      </c>
      <c r="E38" s="120" t="n">
        <v>12</v>
      </c>
      <c r="I38" s="120" t="n">
        <v>12</v>
      </c>
      <c r="J38" s="0" t="n">
        <v>16</v>
      </c>
      <c r="K38" s="0" t="n">
        <v>105066</v>
      </c>
      <c r="L38" s="0" t="n">
        <v>31525</v>
      </c>
      <c r="M38" s="0" t="n">
        <v>33031</v>
      </c>
      <c r="N38" s="120" t="n">
        <v>12</v>
      </c>
      <c r="O38" s="0" t="n">
        <v>24</v>
      </c>
      <c r="P38" s="0" t="n">
        <v>102356</v>
      </c>
      <c r="Q38" s="0" t="n">
        <v>30718</v>
      </c>
      <c r="R38" s="0" t="n">
        <v>71638</v>
      </c>
      <c r="S38" s="0" t="n">
        <v>46791</v>
      </c>
      <c r="T38" s="120" t="n">
        <v>12</v>
      </c>
      <c r="U38" s="0" t="n">
        <v>482</v>
      </c>
      <c r="V38" s="0" t="n">
        <v>2099753</v>
      </c>
      <c r="W38" s="0" t="n">
        <v>630031</v>
      </c>
      <c r="X38" s="0" t="n">
        <v>1469722</v>
      </c>
      <c r="Y38" s="0" t="n">
        <v>2099753</v>
      </c>
      <c r="Z38" s="0" t="n">
        <v>4603117</v>
      </c>
      <c r="AA38" s="120" t="n">
        <f aca="false">C38+F38+J38+O38+U38</f>
        <v>577</v>
      </c>
      <c r="AB38" s="120" t="n">
        <f aca="false">D38+G38+K38+P38+V38</f>
        <v>2566763</v>
      </c>
      <c r="AC38" s="120" t="n">
        <f aca="false">H38+L38+Q38+W38</f>
        <v>692274</v>
      </c>
      <c r="AD38" s="120" t="n">
        <f aca="false">M38+R38+X38</f>
        <v>1574391</v>
      </c>
      <c r="AE38" s="120" t="n">
        <f aca="false">S38+Y38</f>
        <v>2146544</v>
      </c>
      <c r="AF38" s="120" t="n">
        <f aca="false">Z38</f>
        <v>4603117</v>
      </c>
      <c r="AG38" s="120" t="n">
        <f aca="false">SUM(AB38:AF38)</f>
        <v>11583089</v>
      </c>
    </row>
    <row r="39" customFormat="false" ht="12.2" hidden="false" customHeight="true" outlineLevel="0" collapsed="false">
      <c r="A39" s="120" t="s">
        <v>151</v>
      </c>
      <c r="B39" s="121" t="n">
        <v>1</v>
      </c>
      <c r="C39" s="120" t="n">
        <f aca="false">C3+C15+C27</f>
        <v>85</v>
      </c>
      <c r="D39" s="120" t="n">
        <f aca="false">D3+D15+D27</f>
        <v>13261</v>
      </c>
      <c r="F39" s="120" t="n">
        <f aca="false">F3+F15+F27</f>
        <v>14300</v>
      </c>
      <c r="G39" s="120" t="n">
        <f aca="false">G3+G15+G27</f>
        <v>61771838</v>
      </c>
      <c r="H39" s="120" t="n">
        <f aca="false">H3+H15+H27</f>
        <v>1055043</v>
      </c>
      <c r="J39" s="120" t="n">
        <f aca="false">J3+J15+J27</f>
        <v>17990</v>
      </c>
      <c r="K39" s="120" t="n">
        <f aca="false">K3+K15+K27</f>
        <v>94178797</v>
      </c>
      <c r="L39" s="120" t="n">
        <f aca="false">L3+L15+L27</f>
        <v>8476403</v>
      </c>
      <c r="M39" s="120" t="n">
        <f aca="false">M3+M15+M27</f>
        <v>1563073</v>
      </c>
      <c r="O39" s="120" t="n">
        <f aca="false">O3+O15+O27</f>
        <v>16792</v>
      </c>
      <c r="P39" s="120" t="n">
        <f aca="false">P3+P15+P27</f>
        <v>89215708</v>
      </c>
      <c r="Q39" s="120" t="n">
        <f aca="false">Q3+Q15+Q27</f>
        <v>18591102</v>
      </c>
      <c r="R39" s="120" t="n">
        <f aca="false">R3+R15+R27</f>
        <v>19086288</v>
      </c>
      <c r="S39" s="120" t="n">
        <f aca="false">S3+S15+S27</f>
        <v>1620682</v>
      </c>
      <c r="U39" s="120" t="n">
        <f aca="false">U3+U15+U27</f>
        <v>10014</v>
      </c>
      <c r="V39" s="120" t="n">
        <f aca="false">V3+V15+V27</f>
        <v>46209134</v>
      </c>
      <c r="W39" s="120" t="n">
        <f aca="false">W3+W15+W27</f>
        <v>11809871</v>
      </c>
      <c r="X39" s="120" t="n">
        <f aca="false">X3+X15+X27</f>
        <v>20146310</v>
      </c>
      <c r="Y39" s="120" t="n">
        <f aca="false">Y3+Y15+Y27</f>
        <v>11572137</v>
      </c>
      <c r="Z39" s="120" t="n">
        <f aca="false">Z3+Z15+Z27</f>
        <v>2025655</v>
      </c>
      <c r="AA39" s="120" t="n">
        <f aca="false">C39+F39+J39+O39+U39</f>
        <v>59181</v>
      </c>
      <c r="AB39" s="120" t="n">
        <f aca="false">D39+G39+K39+P39+V39</f>
        <v>291388738</v>
      </c>
      <c r="AC39" s="120" t="n">
        <f aca="false">H39+L39+Q39+W39</f>
        <v>39932419</v>
      </c>
      <c r="AD39" s="120" t="n">
        <f aca="false">M39+R39+X39</f>
        <v>40795671</v>
      </c>
      <c r="AE39" s="120" t="n">
        <f aca="false">S39+Y39</f>
        <v>13192819</v>
      </c>
      <c r="AF39" s="120" t="n">
        <f aca="false">Z39</f>
        <v>2025655</v>
      </c>
      <c r="AG39" s="120" t="n">
        <f aca="false">SUM(AB39:AF39)</f>
        <v>387335302</v>
      </c>
      <c r="AH39" s="120" t="n">
        <f aca="false">O39+U39</f>
        <v>26806</v>
      </c>
      <c r="AI39" s="120" t="n">
        <f aca="false">P39+V39</f>
        <v>135424842</v>
      </c>
      <c r="AJ39" s="120" t="n">
        <f aca="false">Q39+W39</f>
        <v>30400973</v>
      </c>
      <c r="AK39" s="120" t="n">
        <f aca="false">R39+X39</f>
        <v>39232598</v>
      </c>
      <c r="AL39" s="120" t="n">
        <f aca="false">S39+Y39</f>
        <v>13192819</v>
      </c>
      <c r="AM39" s="120" t="n">
        <f aca="false">Z39</f>
        <v>2025655</v>
      </c>
    </row>
    <row r="40" customFormat="false" ht="12.2" hidden="false" customHeight="true" outlineLevel="0" collapsed="false">
      <c r="A40" s="120" t="s">
        <v>151</v>
      </c>
      <c r="B40" s="121" t="n">
        <v>2</v>
      </c>
      <c r="C40" s="120" t="n">
        <f aca="false">C4+C16+C28</f>
        <v>95</v>
      </c>
      <c r="D40" s="120" t="n">
        <f aca="false">D4+D16+D28</f>
        <v>42956</v>
      </c>
      <c r="F40" s="120" t="n">
        <f aca="false">F4+F16+F28</f>
        <v>9412</v>
      </c>
      <c r="G40" s="120" t="n">
        <f aca="false">G4+G16+G28</f>
        <v>42448155</v>
      </c>
      <c r="H40" s="120" t="n">
        <f aca="false">H4+H16+H28</f>
        <v>1094297</v>
      </c>
      <c r="J40" s="120" t="n">
        <f aca="false">J4+J16+J28</f>
        <v>13516</v>
      </c>
      <c r="K40" s="120" t="n">
        <f aca="false">K4+K16+K28</f>
        <v>72652910</v>
      </c>
      <c r="L40" s="120" t="n">
        <f aca="false">L4+L16+L28</f>
        <v>8679312</v>
      </c>
      <c r="M40" s="120" t="n">
        <f aca="false">M4+M16+M28</f>
        <v>2660806</v>
      </c>
      <c r="O40" s="120" t="n">
        <f aca="false">O4+O16+O28</f>
        <v>11452</v>
      </c>
      <c r="P40" s="120" t="n">
        <f aca="false">P4+P16+P28</f>
        <v>65248920</v>
      </c>
      <c r="Q40" s="120" t="n">
        <f aca="false">Q4+Q16+Q28</f>
        <v>14616849</v>
      </c>
      <c r="R40" s="120" t="n">
        <f aca="false">R4+R16+R28</f>
        <v>17755748</v>
      </c>
      <c r="S40" s="120" t="n">
        <f aca="false">S4+S16+S28</f>
        <v>3209701</v>
      </c>
      <c r="U40" s="120" t="n">
        <f aca="false">U4+U16+U28</f>
        <v>5898</v>
      </c>
      <c r="V40" s="120" t="n">
        <f aca="false">V4+V16+V28</f>
        <v>27726141</v>
      </c>
      <c r="W40" s="120" t="n">
        <f aca="false">W4+W16+W28</f>
        <v>7499590</v>
      </c>
      <c r="X40" s="120" t="n">
        <f aca="false">X4+X16+X28</f>
        <v>13845518</v>
      </c>
      <c r="Y40" s="120" t="n">
        <f aca="false">Y4+Y16+Y28</f>
        <v>9805178</v>
      </c>
      <c r="Z40" s="120" t="n">
        <f aca="false">Z4+Z16+Z28</f>
        <v>2508570</v>
      </c>
      <c r="AA40" s="120" t="n">
        <f aca="false">C40+F40+J40+O40+U40</f>
        <v>40373</v>
      </c>
      <c r="AB40" s="120" t="n">
        <f aca="false">D40+G40+K40+P40+V40</f>
        <v>208119082</v>
      </c>
      <c r="AC40" s="120" t="n">
        <f aca="false">H40+L40+Q40+W40</f>
        <v>31890048</v>
      </c>
      <c r="AD40" s="120" t="n">
        <f aca="false">M40+R40+X40</f>
        <v>34262072</v>
      </c>
      <c r="AE40" s="120" t="n">
        <f aca="false">S40+Y40</f>
        <v>13014879</v>
      </c>
      <c r="AF40" s="120" t="n">
        <f aca="false">Z40</f>
        <v>2508570</v>
      </c>
      <c r="AG40" s="120" t="n">
        <f aca="false">SUM(AB40:AF40)</f>
        <v>289794651</v>
      </c>
      <c r="AH40" s="120" t="n">
        <f aca="false">O40+U40</f>
        <v>17350</v>
      </c>
      <c r="AI40" s="120" t="n">
        <f aca="false">P40+V40</f>
        <v>92975061</v>
      </c>
      <c r="AJ40" s="120" t="n">
        <f aca="false">Q40+W40</f>
        <v>22116439</v>
      </c>
      <c r="AK40" s="120" t="n">
        <f aca="false">R40+X40</f>
        <v>31601266</v>
      </c>
      <c r="AL40" s="120" t="n">
        <f aca="false">S40+Y40</f>
        <v>13014879</v>
      </c>
      <c r="AM40" s="120" t="n">
        <f aca="false">Z40</f>
        <v>2508570</v>
      </c>
    </row>
    <row r="41" customFormat="false" ht="12.2" hidden="false" customHeight="true" outlineLevel="0" collapsed="false">
      <c r="A41" s="120" t="s">
        <v>151</v>
      </c>
      <c r="B41" s="121" t="n">
        <v>3</v>
      </c>
      <c r="C41" s="120" t="n">
        <f aca="false">C5+C17+C29</f>
        <v>140</v>
      </c>
      <c r="D41" s="120" t="n">
        <f aca="false">D5+D17+D29</f>
        <v>170406</v>
      </c>
      <c r="F41" s="120" t="n">
        <f aca="false">F5+F17+F29</f>
        <v>6435</v>
      </c>
      <c r="G41" s="120" t="n">
        <f aca="false">G5+G17+G29</f>
        <v>33680766</v>
      </c>
      <c r="H41" s="120" t="n">
        <f aca="false">H5+H17+H29</f>
        <v>1140966</v>
      </c>
      <c r="J41" s="120" t="n">
        <f aca="false">J5+J17+J29</f>
        <v>10746</v>
      </c>
      <c r="K41" s="120" t="n">
        <f aca="false">K5+K17+K29</f>
        <v>63524409</v>
      </c>
      <c r="L41" s="120" t="n">
        <f aca="false">L5+L17+L29</f>
        <v>9173633</v>
      </c>
      <c r="M41" s="120" t="n">
        <f aca="false">M5+M17+M29</f>
        <v>3919402</v>
      </c>
      <c r="O41" s="120" t="n">
        <f aca="false">O5+O17+O29</f>
        <v>8044</v>
      </c>
      <c r="P41" s="120" t="n">
        <f aca="false">P5+P17+P29</f>
        <v>42048635</v>
      </c>
      <c r="Q41" s="120" t="n">
        <f aca="false">Q5+Q17+Q29</f>
        <v>10380610</v>
      </c>
      <c r="R41" s="120" t="n">
        <f aca="false">R5+R17+R29</f>
        <v>14600516</v>
      </c>
      <c r="S41" s="120" t="n">
        <f aca="false">S5+S17+S29</f>
        <v>3558089</v>
      </c>
      <c r="U41" s="120" t="n">
        <f aca="false">U5+U17+U29</f>
        <v>4046</v>
      </c>
      <c r="V41" s="120" t="n">
        <f aca="false">V5+V17+V29</f>
        <v>18876580</v>
      </c>
      <c r="W41" s="120" t="n">
        <f aca="false">W5+W17+W29</f>
        <v>5290694</v>
      </c>
      <c r="X41" s="120" t="n">
        <f aca="false">X5+X17+X29</f>
        <v>10427375</v>
      </c>
      <c r="Y41" s="120" t="n">
        <f aca="false">Y5+Y17+Y29</f>
        <v>8457036</v>
      </c>
      <c r="Z41" s="120" t="n">
        <f aca="false">Z5+Z17+Z29</f>
        <v>3076905</v>
      </c>
      <c r="AA41" s="120" t="n">
        <f aca="false">C41+F41+J41+O41+U41</f>
        <v>29411</v>
      </c>
      <c r="AB41" s="120" t="n">
        <f aca="false">D41+G41+K41+P41+V41</f>
        <v>158300796</v>
      </c>
      <c r="AC41" s="120" t="n">
        <f aca="false">H41+L41+Q41+W41</f>
        <v>25985903</v>
      </c>
      <c r="AD41" s="120" t="n">
        <f aca="false">M41+R41+X41</f>
        <v>28947293</v>
      </c>
      <c r="AE41" s="120" t="n">
        <f aca="false">S41+Y41</f>
        <v>12015125</v>
      </c>
      <c r="AF41" s="120" t="n">
        <f aca="false">Z41</f>
        <v>3076905</v>
      </c>
      <c r="AG41" s="120" t="n">
        <f aca="false">SUM(AB41:AF41)</f>
        <v>228326022</v>
      </c>
      <c r="AH41" s="120" t="n">
        <f aca="false">O41+U41</f>
        <v>12090</v>
      </c>
      <c r="AI41" s="120" t="n">
        <f aca="false">P41+V41</f>
        <v>60925215</v>
      </c>
      <c r="AJ41" s="120" t="n">
        <f aca="false">Q41+W41</f>
        <v>15671304</v>
      </c>
      <c r="AK41" s="120" t="n">
        <f aca="false">R41+X41</f>
        <v>25027891</v>
      </c>
      <c r="AL41" s="120" t="n">
        <f aca="false">S41+Y41</f>
        <v>12015125</v>
      </c>
      <c r="AM41" s="120" t="n">
        <f aca="false">Z41</f>
        <v>3076905</v>
      </c>
    </row>
    <row r="42" customFormat="false" ht="12.2" hidden="false" customHeight="true" outlineLevel="0" collapsed="false">
      <c r="A42" s="120" t="s">
        <v>151</v>
      </c>
      <c r="B42" s="121" t="n">
        <v>4</v>
      </c>
      <c r="C42" s="120" t="n">
        <f aca="false">C6+C18+C30</f>
        <v>137</v>
      </c>
      <c r="D42" s="120" t="n">
        <f aca="false">D6+D18+D30</f>
        <v>120023</v>
      </c>
      <c r="F42" s="120" t="n">
        <f aca="false">F6+F18+F30</f>
        <v>4524</v>
      </c>
      <c r="G42" s="120" t="n">
        <f aca="false">G6+G18+G30</f>
        <v>26279293</v>
      </c>
      <c r="H42" s="120" t="n">
        <f aca="false">H6+H18+H30</f>
        <v>1056231</v>
      </c>
      <c r="J42" s="120" t="n">
        <f aca="false">J6+J18+J30</f>
        <v>8186</v>
      </c>
      <c r="K42" s="120" t="n">
        <f aca="false">K6+K18+K30</f>
        <v>52625494</v>
      </c>
      <c r="L42" s="120" t="n">
        <f aca="false">L6+L18+L30</f>
        <v>8853019</v>
      </c>
      <c r="M42" s="120" t="n">
        <f aca="false">M6+M18+M30</f>
        <v>4113249</v>
      </c>
      <c r="O42" s="120" t="n">
        <f aca="false">O6+O18+O30</f>
        <v>5271</v>
      </c>
      <c r="P42" s="120" t="n">
        <f aca="false">P6+P18+P30</f>
        <v>27638461</v>
      </c>
      <c r="Q42" s="120" t="n">
        <f aca="false">Q6+Q18+Q30</f>
        <v>7367437</v>
      </c>
      <c r="R42" s="120" t="n">
        <f aca="false">R6+R18+R30</f>
        <v>11422425</v>
      </c>
      <c r="S42" s="120" t="n">
        <f aca="false">S6+S18+S30</f>
        <v>2905559</v>
      </c>
      <c r="U42" s="120" t="n">
        <f aca="false">U6+U18+U30</f>
        <v>2934</v>
      </c>
      <c r="V42" s="120" t="n">
        <f aca="false">V6+V18+V30</f>
        <v>13740442</v>
      </c>
      <c r="W42" s="120" t="n">
        <f aca="false">W6+W18+W30</f>
        <v>3941739</v>
      </c>
      <c r="X42" s="120" t="n">
        <f aca="false">X6+X18+X30</f>
        <v>8184361</v>
      </c>
      <c r="Y42" s="120" t="n">
        <f aca="false">Y6+Y18+Y30</f>
        <v>7354147</v>
      </c>
      <c r="Z42" s="120" t="n">
        <f aca="false">Z6+Z18+Z30</f>
        <v>3511369</v>
      </c>
      <c r="AA42" s="120" t="n">
        <f aca="false">C42+F42+J42+O42+U42</f>
        <v>21052</v>
      </c>
      <c r="AB42" s="120" t="n">
        <f aca="false">D42+G42+K42+P42+V42</f>
        <v>120403713</v>
      </c>
      <c r="AC42" s="120" t="n">
        <f aca="false">H42+L42+Q42+W42</f>
        <v>21218426</v>
      </c>
      <c r="AD42" s="120" t="n">
        <f aca="false">M42+R42+X42</f>
        <v>23720035</v>
      </c>
      <c r="AE42" s="120" t="n">
        <f aca="false">S42+Y42</f>
        <v>10259706</v>
      </c>
      <c r="AF42" s="120" t="n">
        <f aca="false">Z42</f>
        <v>3511369</v>
      </c>
      <c r="AG42" s="120" t="n">
        <f aca="false">SUM(AB42:AF42)</f>
        <v>179113249</v>
      </c>
      <c r="AH42" s="120" t="n">
        <f aca="false">O42+U42</f>
        <v>8205</v>
      </c>
      <c r="AI42" s="120" t="n">
        <f aca="false">P42+V42</f>
        <v>41378903</v>
      </c>
      <c r="AJ42" s="120" t="n">
        <f aca="false">Q42+W42</f>
        <v>11309176</v>
      </c>
      <c r="AK42" s="120" t="n">
        <f aca="false">R42+X42</f>
        <v>19606786</v>
      </c>
      <c r="AL42" s="120" t="n">
        <f aca="false">S42+Y42</f>
        <v>10259706</v>
      </c>
      <c r="AM42" s="120" t="n">
        <f aca="false">Z42</f>
        <v>3511369</v>
      </c>
    </row>
    <row r="43" customFormat="false" ht="12.2" hidden="false" customHeight="true" outlineLevel="0" collapsed="false">
      <c r="A43" s="120" t="s">
        <v>151</v>
      </c>
      <c r="B43" s="121" t="n">
        <v>5</v>
      </c>
      <c r="C43" s="120" t="n">
        <f aca="false">C7+C19+C31</f>
        <v>168</v>
      </c>
      <c r="D43" s="120" t="n">
        <f aca="false">D7+D19+D31</f>
        <v>182537</v>
      </c>
      <c r="F43" s="120" t="n">
        <f aca="false">F7+F19+F31</f>
        <v>3382</v>
      </c>
      <c r="G43" s="120" t="n">
        <f aca="false">G7+G19+G31</f>
        <v>20579010</v>
      </c>
      <c r="H43" s="120" t="n">
        <f aca="false">H7+H19+H31</f>
        <v>933989</v>
      </c>
      <c r="J43" s="120" t="n">
        <f aca="false">J7+J19+J31</f>
        <v>6098</v>
      </c>
      <c r="K43" s="120" t="n">
        <f aca="false">K7+K19+K31</f>
        <v>36184617</v>
      </c>
      <c r="L43" s="120" t="n">
        <f aca="false">L7+L19+L31</f>
        <v>6874167</v>
      </c>
      <c r="M43" s="120" t="n">
        <f aca="false">M7+M19+M31</f>
        <v>3431755</v>
      </c>
      <c r="O43" s="120" t="n">
        <f aca="false">O7+O19+O31</f>
        <v>3343</v>
      </c>
      <c r="P43" s="120" t="n">
        <f aca="false">P7+P19+P31</f>
        <v>15716973</v>
      </c>
      <c r="Q43" s="120" t="n">
        <f aca="false">Q7+Q19+Q31</f>
        <v>4353666</v>
      </c>
      <c r="R43" s="120" t="n">
        <f aca="false">R7+R19+R31</f>
        <v>7345741</v>
      </c>
      <c r="S43" s="120" t="n">
        <f aca="false">S7+S19+S31</f>
        <v>2020669</v>
      </c>
      <c r="U43" s="120" t="n">
        <f aca="false">U7+U19+U31</f>
        <v>1792</v>
      </c>
      <c r="V43" s="120" t="n">
        <f aca="false">V7+V19+V31</f>
        <v>8399439</v>
      </c>
      <c r="W43" s="120" t="n">
        <f aca="false">W7+W19+W31</f>
        <v>2451032</v>
      </c>
      <c r="X43" s="120" t="n">
        <f aca="false">X7+X19+X31</f>
        <v>5306923</v>
      </c>
      <c r="Y43" s="120" t="n">
        <f aca="false">Y7+Y19+Y31</f>
        <v>5257828</v>
      </c>
      <c r="Z43" s="120" t="n">
        <f aca="false">Z7+Z19+Z31</f>
        <v>2801643</v>
      </c>
      <c r="AA43" s="120" t="n">
        <f aca="false">C43+F43+J43+O43+U43</f>
        <v>14783</v>
      </c>
      <c r="AB43" s="120" t="n">
        <f aca="false">D43+G43+K43+P43+V43</f>
        <v>81062576</v>
      </c>
      <c r="AC43" s="120" t="n">
        <f aca="false">H43+L43+Q43+W43</f>
        <v>14612854</v>
      </c>
      <c r="AD43" s="120" t="n">
        <f aca="false">M43+R43+X43</f>
        <v>16084419</v>
      </c>
      <c r="AE43" s="120" t="n">
        <f aca="false">S43+Y43</f>
        <v>7278497</v>
      </c>
      <c r="AF43" s="120" t="n">
        <f aca="false">Z43</f>
        <v>2801643</v>
      </c>
      <c r="AG43" s="120" t="n">
        <f aca="false">SUM(AB43:AF43)</f>
        <v>121839989</v>
      </c>
      <c r="AH43" s="120" t="n">
        <f aca="false">O43+U43</f>
        <v>5135</v>
      </c>
      <c r="AI43" s="120" t="n">
        <f aca="false">P43+V43</f>
        <v>24116412</v>
      </c>
      <c r="AJ43" s="120" t="n">
        <f aca="false">Q43+W43</f>
        <v>6804698</v>
      </c>
      <c r="AK43" s="120" t="n">
        <f aca="false">R43+X43</f>
        <v>12652664</v>
      </c>
      <c r="AL43" s="120" t="n">
        <f aca="false">S43+Y43</f>
        <v>7278497</v>
      </c>
      <c r="AM43" s="120" t="n">
        <f aca="false">Z43</f>
        <v>2801643</v>
      </c>
    </row>
    <row r="44" customFormat="false" ht="12.2" hidden="false" customHeight="true" outlineLevel="0" collapsed="false">
      <c r="A44" s="120" t="s">
        <v>151</v>
      </c>
      <c r="B44" s="121" t="n">
        <v>6</v>
      </c>
      <c r="C44" s="120" t="n">
        <f aca="false">C8+C20+C32</f>
        <v>210</v>
      </c>
      <c r="D44" s="120" t="n">
        <f aca="false">D8+D20+D32</f>
        <v>237504</v>
      </c>
      <c r="F44" s="120" t="n">
        <f aca="false">F8+F20+F32</f>
        <v>2410</v>
      </c>
      <c r="G44" s="120" t="n">
        <f aca="false">G8+G20+G32</f>
        <v>18360830</v>
      </c>
      <c r="H44" s="120" t="n">
        <f aca="false">H8+H20+H32</f>
        <v>1056022</v>
      </c>
      <c r="J44" s="120" t="n">
        <f aca="false">J8+J20+J32</f>
        <v>4956</v>
      </c>
      <c r="K44" s="120" t="n">
        <f aca="false">K8+K20+K32</f>
        <v>29981786</v>
      </c>
      <c r="L44" s="120" t="n">
        <f aca="false">L8+L20+L32</f>
        <v>6496326</v>
      </c>
      <c r="M44" s="120" t="n">
        <f aca="false">M8+M20+M32</f>
        <v>3260674</v>
      </c>
      <c r="O44" s="120" t="n">
        <f aca="false">O8+O20+O32</f>
        <v>2420</v>
      </c>
      <c r="P44" s="120" t="n">
        <f aca="false">P8+P20+P32</f>
        <v>11144338</v>
      </c>
      <c r="Q44" s="120" t="n">
        <f aca="false">Q8+Q20+Q32</f>
        <v>3191106</v>
      </c>
      <c r="R44" s="120" t="n">
        <f aca="false">R8+R20+R32</f>
        <v>5804690</v>
      </c>
      <c r="S44" s="120" t="n">
        <f aca="false">S8+S20+S32</f>
        <v>1694935</v>
      </c>
      <c r="U44" s="120" t="n">
        <f aca="false">U8+U20+U32</f>
        <v>1280</v>
      </c>
      <c r="V44" s="120" t="n">
        <f aca="false">V8+V20+V32</f>
        <v>5845910</v>
      </c>
      <c r="W44" s="120" t="n">
        <f aca="false">W8+W20+W32</f>
        <v>1722143</v>
      </c>
      <c r="X44" s="120" t="n">
        <f aca="false">X8+X20+X32</f>
        <v>3863870</v>
      </c>
      <c r="Y44" s="120" t="n">
        <f aca="false">Y8+Y20+Y32</f>
        <v>4160180</v>
      </c>
      <c r="Z44" s="120" t="n">
        <f aca="false">Z8+Z20+Z32</f>
        <v>2473103</v>
      </c>
      <c r="AA44" s="120" t="n">
        <f aca="false">C44+F44+J44+O44+U44</f>
        <v>11276</v>
      </c>
      <c r="AB44" s="120" t="n">
        <f aca="false">D44+G44+K44+P44+V44</f>
        <v>65570368</v>
      </c>
      <c r="AC44" s="120" t="n">
        <f aca="false">H44+L44+Q44+W44</f>
        <v>12465597</v>
      </c>
      <c r="AD44" s="120" t="n">
        <f aca="false">M44+R44+X44</f>
        <v>12929234</v>
      </c>
      <c r="AE44" s="120" t="n">
        <f aca="false">S44+Y44</f>
        <v>5855115</v>
      </c>
      <c r="AF44" s="120" t="n">
        <f aca="false">Z44</f>
        <v>2473103</v>
      </c>
      <c r="AG44" s="120" t="n">
        <f aca="false">SUM(AB44:AF44)</f>
        <v>99293417</v>
      </c>
      <c r="AH44" s="120" t="n">
        <f aca="false">O44+U44</f>
        <v>3700</v>
      </c>
      <c r="AI44" s="120" t="n">
        <f aca="false">P44+V44</f>
        <v>16990248</v>
      </c>
      <c r="AJ44" s="120" t="n">
        <f aca="false">Q44+W44</f>
        <v>4913249</v>
      </c>
      <c r="AK44" s="120" t="n">
        <f aca="false">R44+X44</f>
        <v>9668560</v>
      </c>
      <c r="AL44" s="120" t="n">
        <f aca="false">S44+Y44</f>
        <v>5855115</v>
      </c>
      <c r="AM44" s="120" t="n">
        <f aca="false">Z44</f>
        <v>2473103</v>
      </c>
    </row>
    <row r="45" customFormat="false" ht="12.2" hidden="false" customHeight="true" outlineLevel="0" collapsed="false">
      <c r="A45" s="120" t="s">
        <v>151</v>
      </c>
      <c r="B45" s="121" t="n">
        <v>7</v>
      </c>
      <c r="C45" s="120" t="n">
        <f aca="false">C9+C21+C33</f>
        <v>239</v>
      </c>
      <c r="D45" s="120" t="n">
        <f aca="false">D9+D21+D33</f>
        <v>1342598</v>
      </c>
      <c r="F45" s="120" t="n">
        <f aca="false">F9+F21+F33</f>
        <v>1541</v>
      </c>
      <c r="G45" s="120" t="n">
        <f aca="false">G9+G21+G33</f>
        <v>13114851</v>
      </c>
      <c r="H45" s="120" t="n">
        <f aca="false">H9+H21+H33</f>
        <v>817975</v>
      </c>
      <c r="J45" s="120" t="n">
        <f aca="false">J9+J21+J33</f>
        <v>3321</v>
      </c>
      <c r="K45" s="120" t="n">
        <f aca="false">K9+K21+K33</f>
        <v>20459837</v>
      </c>
      <c r="L45" s="120" t="n">
        <f aca="false">L9+L21+L33</f>
        <v>4983670</v>
      </c>
      <c r="M45" s="120" t="n">
        <f aca="false">M9+M21+M33</f>
        <v>2517858</v>
      </c>
      <c r="O45" s="120" t="n">
        <f aca="false">O9+O21+O33</f>
        <v>1690</v>
      </c>
      <c r="P45" s="120" t="n">
        <f aca="false">P9+P21+P33</f>
        <v>7580935</v>
      </c>
      <c r="Q45" s="120" t="n">
        <f aca="false">Q9+Q21+Q33</f>
        <v>2222689</v>
      </c>
      <c r="R45" s="120" t="n">
        <f aca="false">R9+R21+R33</f>
        <v>4438746</v>
      </c>
      <c r="S45" s="120" t="n">
        <f aca="false">S9+S21+S33</f>
        <v>1381035</v>
      </c>
      <c r="U45" s="120" t="n">
        <f aca="false">U9+U21+U33</f>
        <v>900</v>
      </c>
      <c r="V45" s="120" t="n">
        <f aca="false">V9+V21+V33</f>
        <v>3971656</v>
      </c>
      <c r="W45" s="120" t="n">
        <f aca="false">W9+W21+W33</f>
        <v>1172969</v>
      </c>
      <c r="X45" s="120" t="n">
        <f aca="false">X9+X21+X33</f>
        <v>2654547</v>
      </c>
      <c r="Y45" s="120" t="n">
        <f aca="false">Y9+Y21+Y33</f>
        <v>3164437</v>
      </c>
      <c r="Z45" s="120" t="n">
        <f aca="false">Z9+Z21+Z33</f>
        <v>1884219</v>
      </c>
      <c r="AA45" s="120" t="n">
        <f aca="false">C45+F45+J45+O45+U45</f>
        <v>7691</v>
      </c>
      <c r="AB45" s="120" t="n">
        <f aca="false">D45+G45+K45+P45+V45</f>
        <v>46469877</v>
      </c>
      <c r="AC45" s="120" t="n">
        <f aca="false">H45+L45+Q45+W45</f>
        <v>9197303</v>
      </c>
      <c r="AD45" s="120" t="n">
        <f aca="false">M45+R45+X45</f>
        <v>9611151</v>
      </c>
      <c r="AE45" s="120" t="n">
        <f aca="false">S45+Y45</f>
        <v>4545472</v>
      </c>
      <c r="AF45" s="120" t="n">
        <f aca="false">Z45</f>
        <v>1884219</v>
      </c>
      <c r="AG45" s="120" t="n">
        <f aca="false">SUM(AB45:AF45)</f>
        <v>71708022</v>
      </c>
      <c r="AH45" s="120" t="n">
        <f aca="false">O45+U45</f>
        <v>2590</v>
      </c>
      <c r="AI45" s="120" t="n">
        <f aca="false">P45+V45</f>
        <v>11552591</v>
      </c>
      <c r="AJ45" s="120" t="n">
        <f aca="false">Q45+W45</f>
        <v>3395658</v>
      </c>
      <c r="AK45" s="120" t="n">
        <f aca="false">R45+X45</f>
        <v>7093293</v>
      </c>
      <c r="AL45" s="120" t="n">
        <f aca="false">S45+Y45</f>
        <v>4545472</v>
      </c>
      <c r="AM45" s="120" t="n">
        <f aca="false">Z45</f>
        <v>1884219</v>
      </c>
    </row>
    <row r="46" customFormat="false" ht="12.2" hidden="false" customHeight="true" outlineLevel="0" collapsed="false">
      <c r="A46" s="120" t="s">
        <v>151</v>
      </c>
      <c r="B46" s="121" t="n">
        <v>8</v>
      </c>
      <c r="C46" s="120" t="n">
        <f aca="false">C10+C22+C34</f>
        <v>288</v>
      </c>
      <c r="D46" s="120" t="n">
        <f aca="false">D10+D22+D34</f>
        <v>578274</v>
      </c>
      <c r="F46" s="120" t="n">
        <f aca="false">F10+F22+F34</f>
        <v>1190</v>
      </c>
      <c r="G46" s="120" t="n">
        <f aca="false">G10+G22+G34</f>
        <v>8751451</v>
      </c>
      <c r="H46" s="120" t="n">
        <f aca="false">H10+H22+H34</f>
        <v>571073</v>
      </c>
      <c r="J46" s="120" t="n">
        <f aca="false">J10+J22+J34</f>
        <v>2850</v>
      </c>
      <c r="K46" s="120" t="n">
        <f aca="false">K10+K22+K34</f>
        <v>18106636</v>
      </c>
      <c r="L46" s="120" t="n">
        <f aca="false">L10+L22+L34</f>
        <v>4728691</v>
      </c>
      <c r="M46" s="120" t="n">
        <f aca="false">M10+M22+M34</f>
        <v>2472339</v>
      </c>
      <c r="O46" s="120" t="n">
        <f aca="false">O10+O22+O34</f>
        <v>1227</v>
      </c>
      <c r="P46" s="120" t="n">
        <f aca="false">P10+P22+P34</f>
        <v>5282720</v>
      </c>
      <c r="Q46" s="120" t="n">
        <f aca="false">Q10+Q22+Q34</f>
        <v>1560719</v>
      </c>
      <c r="R46" s="120" t="n">
        <f aca="false">R10+R22+R34</f>
        <v>3265671</v>
      </c>
      <c r="S46" s="120" t="n">
        <f aca="false">S10+S22+S34</f>
        <v>1116822</v>
      </c>
      <c r="U46" s="120" t="n">
        <f aca="false">U10+U22+U34</f>
        <v>692</v>
      </c>
      <c r="V46" s="120" t="n">
        <f aca="false">V10+V22+V34</f>
        <v>2934135</v>
      </c>
      <c r="W46" s="120" t="n">
        <f aca="false">W10+W22+W34</f>
        <v>872822</v>
      </c>
      <c r="X46" s="120" t="n">
        <f aca="false">X10+X22+X34</f>
        <v>2007655</v>
      </c>
      <c r="Y46" s="120" t="n">
        <f aca="false">Y10+Y22+Y34</f>
        <v>2545914</v>
      </c>
      <c r="Z46" s="120" t="n">
        <f aca="false">Z10+Z22+Z34</f>
        <v>1716789</v>
      </c>
      <c r="AA46" s="120" t="n">
        <f aca="false">C46+F46+J46+O46+U46</f>
        <v>6247</v>
      </c>
      <c r="AB46" s="120" t="n">
        <f aca="false">D46+G46+K46+P46+V46</f>
        <v>35653216</v>
      </c>
      <c r="AC46" s="120" t="n">
        <f aca="false">H46+L46+Q46+W46</f>
        <v>7733305</v>
      </c>
      <c r="AD46" s="120" t="n">
        <f aca="false">M46+R46+X46</f>
        <v>7745665</v>
      </c>
      <c r="AE46" s="120" t="n">
        <f aca="false">S46+Y46</f>
        <v>3662736</v>
      </c>
      <c r="AF46" s="120" t="n">
        <f aca="false">Z46</f>
        <v>1716789</v>
      </c>
      <c r="AG46" s="120" t="n">
        <f aca="false">SUM(AB46:AF46)</f>
        <v>56511711</v>
      </c>
      <c r="AH46" s="120" t="n">
        <f aca="false">O46+U46</f>
        <v>1919</v>
      </c>
      <c r="AI46" s="120" t="n">
        <f aca="false">P46+V46</f>
        <v>8216855</v>
      </c>
      <c r="AJ46" s="120" t="n">
        <f aca="false">Q46+W46</f>
        <v>2433541</v>
      </c>
      <c r="AK46" s="120" t="n">
        <f aca="false">R46+X46</f>
        <v>5273326</v>
      </c>
      <c r="AL46" s="120" t="n">
        <f aca="false">S46+Y46</f>
        <v>3662736</v>
      </c>
      <c r="AM46" s="120" t="n">
        <f aca="false">Z46</f>
        <v>1716789</v>
      </c>
    </row>
    <row r="47" customFormat="false" ht="12.2" hidden="false" customHeight="true" outlineLevel="0" collapsed="false">
      <c r="A47" s="120" t="s">
        <v>151</v>
      </c>
      <c r="B47" s="121" t="n">
        <v>9</v>
      </c>
      <c r="C47" s="120" t="n">
        <f aca="false">C11+C23+C35</f>
        <v>336</v>
      </c>
      <c r="D47" s="120" t="n">
        <f aca="false">D11+D23+D35</f>
        <v>621758</v>
      </c>
      <c r="F47" s="120" t="n">
        <f aca="false">F11+F23+F35</f>
        <v>857</v>
      </c>
      <c r="G47" s="120" t="n">
        <f aca="false">G11+G23+G35</f>
        <v>7885867</v>
      </c>
      <c r="H47" s="120" t="n">
        <f aca="false">H11+H23+H35</f>
        <v>625021</v>
      </c>
      <c r="J47" s="120" t="n">
        <f aca="false">J11+J23+J35</f>
        <v>2521</v>
      </c>
      <c r="K47" s="120" t="n">
        <f aca="false">K11+K23+K35</f>
        <v>15421852</v>
      </c>
      <c r="L47" s="120" t="n">
        <f aca="false">L11+L23+L35</f>
        <v>4219910</v>
      </c>
      <c r="M47" s="120" t="n">
        <f aca="false">M11+M23+M35</f>
        <v>2427404</v>
      </c>
      <c r="O47" s="120" t="n">
        <f aca="false">O11+O23+O35</f>
        <v>1141</v>
      </c>
      <c r="P47" s="120" t="n">
        <f aca="false">P11+P23+P35</f>
        <v>4773028</v>
      </c>
      <c r="Q47" s="120" t="n">
        <f aca="false">Q11+Q23+Q35</f>
        <v>1419664</v>
      </c>
      <c r="R47" s="120" t="n">
        <f aca="false">R11+R23+R35</f>
        <v>3086600</v>
      </c>
      <c r="S47" s="120" t="n">
        <f aca="false">S11+S23+S35</f>
        <v>1153759</v>
      </c>
      <c r="U47" s="120" t="n">
        <f aca="false">U11+U23+U35</f>
        <v>591</v>
      </c>
      <c r="V47" s="120" t="n">
        <f aca="false">V11+V23+V35</f>
        <v>2569586</v>
      </c>
      <c r="W47" s="120" t="n">
        <f aca="false">W11+W23+W35</f>
        <v>765199</v>
      </c>
      <c r="X47" s="120" t="n">
        <f aca="false">X11+X23+X35</f>
        <v>1765089</v>
      </c>
      <c r="Y47" s="120" t="n">
        <f aca="false">Y11+Y23+Y35</f>
        <v>2320783</v>
      </c>
      <c r="Z47" s="120" t="n">
        <f aca="false">Z11+Z23+Z35</f>
        <v>1736005</v>
      </c>
      <c r="AA47" s="120" t="n">
        <f aca="false">C47+F47+J47+O47+U47</f>
        <v>5446</v>
      </c>
      <c r="AB47" s="120" t="n">
        <f aca="false">D47+G47+K47+P47+V47</f>
        <v>31272091</v>
      </c>
      <c r="AC47" s="120" t="n">
        <f aca="false">H47+L47+Q47+W47</f>
        <v>7029794</v>
      </c>
      <c r="AD47" s="120" t="n">
        <f aca="false">M47+R47+X47</f>
        <v>7279093</v>
      </c>
      <c r="AE47" s="120" t="n">
        <f aca="false">S47+Y47</f>
        <v>3474542</v>
      </c>
      <c r="AF47" s="120" t="n">
        <f aca="false">Z47</f>
        <v>1736005</v>
      </c>
      <c r="AG47" s="120" t="n">
        <f aca="false">SUM(AB47:AF47)</f>
        <v>50791525</v>
      </c>
      <c r="AH47" s="120" t="n">
        <f aca="false">O47+U47</f>
        <v>1732</v>
      </c>
      <c r="AI47" s="120" t="n">
        <f aca="false">P47+V47</f>
        <v>7342614</v>
      </c>
      <c r="AJ47" s="120" t="n">
        <f aca="false">Q47+W47</f>
        <v>2184863</v>
      </c>
      <c r="AK47" s="120" t="n">
        <f aca="false">R47+X47</f>
        <v>4851689</v>
      </c>
      <c r="AL47" s="120" t="n">
        <f aca="false">S47+Y47</f>
        <v>3474542</v>
      </c>
      <c r="AM47" s="120" t="n">
        <f aca="false">Z47</f>
        <v>1736005</v>
      </c>
    </row>
    <row r="48" customFormat="false" ht="12.2" hidden="false" customHeight="true" outlineLevel="0" collapsed="false">
      <c r="A48" s="120" t="s">
        <v>151</v>
      </c>
      <c r="B48" s="121" t="n">
        <v>10</v>
      </c>
      <c r="C48" s="120" t="n">
        <f aca="false">C12+C24+C36</f>
        <v>479</v>
      </c>
      <c r="D48" s="120" t="n">
        <f aca="false">D12+D24+D36</f>
        <v>1190620</v>
      </c>
      <c r="F48" s="120" t="n">
        <f aca="false">F12+F24+F36</f>
        <v>690</v>
      </c>
      <c r="G48" s="120" t="n">
        <f aca="false">G12+G24+G36</f>
        <v>15889396</v>
      </c>
      <c r="H48" s="120" t="n">
        <f aca="false">H12+H24+H36</f>
        <v>1325491</v>
      </c>
      <c r="J48" s="120" t="n">
        <f aca="false">J12+J24+J36</f>
        <v>2397</v>
      </c>
      <c r="K48" s="120" t="n">
        <f aca="false">K12+K24+K36</f>
        <v>16646788</v>
      </c>
      <c r="L48" s="120" t="n">
        <f aca="false">L12+L24+L36</f>
        <v>4758489</v>
      </c>
      <c r="M48" s="120" t="n">
        <f aca="false">M12+M24+M36</f>
        <v>2818822</v>
      </c>
      <c r="O48" s="120" t="n">
        <f aca="false">O12+O24+O36</f>
        <v>1025</v>
      </c>
      <c r="P48" s="120" t="n">
        <f aca="false">P12+P24+P36</f>
        <v>4107222</v>
      </c>
      <c r="Q48" s="120" t="n">
        <f aca="false">Q12+Q24+Q36</f>
        <v>1225627</v>
      </c>
      <c r="R48" s="120" t="n">
        <f aca="false">R12+R24+R36</f>
        <v>2746582</v>
      </c>
      <c r="S48" s="120" t="n">
        <f aca="false">S12+S24+S36</f>
        <v>1162005</v>
      </c>
      <c r="U48" s="120" t="n">
        <f aca="false">U12+U24+U36</f>
        <v>590</v>
      </c>
      <c r="V48" s="120" t="n">
        <f aca="false">V12+V24+V36</f>
        <v>2518901</v>
      </c>
      <c r="W48" s="120" t="n">
        <f aca="false">W12+W24+W36</f>
        <v>752599</v>
      </c>
      <c r="X48" s="120" t="n">
        <f aca="false">X12+X24+X36</f>
        <v>1742435</v>
      </c>
      <c r="Y48" s="120" t="n">
        <f aca="false">Y12+Y24+Y36</f>
        <v>2365229</v>
      </c>
      <c r="Z48" s="120" t="n">
        <f aca="false">Z12+Z24+Z36</f>
        <v>2024135</v>
      </c>
      <c r="AA48" s="120" t="n">
        <f aca="false">C48+F48+J48+O48+U48</f>
        <v>5181</v>
      </c>
      <c r="AB48" s="120" t="n">
        <f aca="false">D48+G48+K48+P48+V48</f>
        <v>40352927</v>
      </c>
      <c r="AC48" s="120" t="n">
        <f aca="false">H48+L48+Q48+W48</f>
        <v>8062206</v>
      </c>
      <c r="AD48" s="120" t="n">
        <f aca="false">M48+R48+X48</f>
        <v>7307839</v>
      </c>
      <c r="AE48" s="120" t="n">
        <f aca="false">S48+Y48</f>
        <v>3527234</v>
      </c>
      <c r="AF48" s="120" t="n">
        <f aca="false">Z48</f>
        <v>2024135</v>
      </c>
      <c r="AG48" s="120" t="n">
        <f aca="false">SUM(AB48:AF48)</f>
        <v>61274341</v>
      </c>
      <c r="AH48" s="120" t="n">
        <f aca="false">O48+U48</f>
        <v>1615</v>
      </c>
      <c r="AI48" s="120" t="n">
        <f aca="false">P48+V48</f>
        <v>6626123</v>
      </c>
      <c r="AJ48" s="120" t="n">
        <f aca="false">Q48+W48</f>
        <v>1978226</v>
      </c>
      <c r="AK48" s="120" t="n">
        <f aca="false">R48+X48</f>
        <v>4489017</v>
      </c>
      <c r="AL48" s="120" t="n">
        <f aca="false">S48+Y48</f>
        <v>3527234</v>
      </c>
      <c r="AM48" s="120" t="n">
        <f aca="false">Z48</f>
        <v>2024135</v>
      </c>
    </row>
    <row r="49" customFormat="false" ht="12.2" hidden="false" customHeight="true" outlineLevel="0" collapsed="false">
      <c r="A49" s="120" t="s">
        <v>151</v>
      </c>
      <c r="B49" s="121" t="n">
        <v>11</v>
      </c>
      <c r="C49" s="120" t="n">
        <f aca="false">C13+C25+C37</f>
        <v>1279</v>
      </c>
      <c r="D49" s="120" t="n">
        <f aca="false">D13+D25+D37</f>
        <v>3763611</v>
      </c>
      <c r="F49" s="120" t="n">
        <f aca="false">F13+F25+F37</f>
        <v>625</v>
      </c>
      <c r="G49" s="120" t="n">
        <f aca="false">G13+G25+G37</f>
        <v>10304743</v>
      </c>
      <c r="H49" s="120" t="n">
        <f aca="false">H13+H25+H37</f>
        <v>1135768</v>
      </c>
      <c r="J49" s="120" t="n">
        <f aca="false">J13+J25+J37</f>
        <v>2346</v>
      </c>
      <c r="K49" s="120" t="n">
        <f aca="false">K13+K25+K37</f>
        <v>18944213</v>
      </c>
      <c r="L49" s="120" t="n">
        <f aca="false">L13+L25+L37</f>
        <v>5559858</v>
      </c>
      <c r="M49" s="120" t="n">
        <f aca="false">M13+M25+M37</f>
        <v>4331229</v>
      </c>
      <c r="O49" s="120" t="n">
        <f aca="false">O13+O25+O37</f>
        <v>919</v>
      </c>
      <c r="P49" s="120" t="n">
        <f aca="false">P13+P25+P37</f>
        <v>3517359</v>
      </c>
      <c r="Q49" s="120" t="n">
        <f aca="false">Q13+Q25+Q37</f>
        <v>1053511</v>
      </c>
      <c r="R49" s="120" t="n">
        <f aca="false">R13+R25+R37</f>
        <v>2419956</v>
      </c>
      <c r="S49" s="120" t="n">
        <f aca="false">S13+S25+S37</f>
        <v>1182242</v>
      </c>
      <c r="U49" s="120" t="n">
        <f aca="false">U13+U25+U37</f>
        <v>683</v>
      </c>
      <c r="V49" s="120" t="n">
        <f aca="false">V13+V25+V37</f>
        <v>2785955</v>
      </c>
      <c r="W49" s="120" t="n">
        <f aca="false">W13+W25+W37</f>
        <v>834045</v>
      </c>
      <c r="X49" s="120" t="n">
        <f aca="false">X13+X25+X37</f>
        <v>1938485</v>
      </c>
      <c r="Y49" s="120" t="n">
        <f aca="false">Y13+Y25+Y37</f>
        <v>2710550</v>
      </c>
      <c r="Z49" s="120" t="n">
        <f aca="false">Z13+Z25+Z37</f>
        <v>2914440</v>
      </c>
      <c r="AA49" s="120" t="n">
        <f aca="false">C49+F49+J49+O49+U49</f>
        <v>5852</v>
      </c>
      <c r="AB49" s="120" t="n">
        <f aca="false">D49+G49+K49+P49+V49</f>
        <v>39315881</v>
      </c>
      <c r="AC49" s="120" t="n">
        <f aca="false">H49+L49+Q49+W49</f>
        <v>8583182</v>
      </c>
      <c r="AD49" s="120" t="n">
        <f aca="false">M49+R49+X49</f>
        <v>8689670</v>
      </c>
      <c r="AE49" s="120" t="n">
        <f aca="false">S49+Y49</f>
        <v>3892792</v>
      </c>
      <c r="AF49" s="120" t="n">
        <f aca="false">Z49</f>
        <v>2914440</v>
      </c>
      <c r="AG49" s="120" t="n">
        <f aca="false">SUM(AB49:AF49)</f>
        <v>63395965</v>
      </c>
      <c r="AH49" s="120" t="n">
        <f aca="false">O49+U49</f>
        <v>1602</v>
      </c>
      <c r="AI49" s="120" t="n">
        <f aca="false">P49+V49</f>
        <v>6303314</v>
      </c>
      <c r="AJ49" s="120" t="n">
        <f aca="false">Q49+W49</f>
        <v>1887556</v>
      </c>
      <c r="AK49" s="120" t="n">
        <f aca="false">R49+X49</f>
        <v>4358441</v>
      </c>
      <c r="AL49" s="120" t="n">
        <f aca="false">S49+Y49</f>
        <v>3892792</v>
      </c>
      <c r="AM49" s="120" t="n">
        <f aca="false">Z49</f>
        <v>2914440</v>
      </c>
    </row>
    <row r="50" customFormat="false" ht="12.2" hidden="false" customHeight="true" outlineLevel="0" collapsed="false">
      <c r="A50" s="120" t="s">
        <v>151</v>
      </c>
      <c r="B50" s="121" t="n">
        <v>12</v>
      </c>
      <c r="C50" s="120" t="n">
        <f aca="false">C14+C26+C38</f>
        <v>74764</v>
      </c>
      <c r="D50" s="120" t="n">
        <f aca="false">D14+D26+D38</f>
        <v>244710246</v>
      </c>
      <c r="F50" s="120" t="n">
        <f aca="false">F14+F26+F38</f>
        <v>642</v>
      </c>
      <c r="G50" s="120" t="n">
        <f aca="false">G14+G26+G38</f>
        <v>16021628</v>
      </c>
      <c r="H50" s="120" t="n">
        <f aca="false">H14+H26+H38</f>
        <v>2530460</v>
      </c>
      <c r="J50" s="120" t="n">
        <f aca="false">J14+J26+J38</f>
        <v>3795</v>
      </c>
      <c r="K50" s="120" t="n">
        <f aca="false">K14+K26+K38</f>
        <v>31864174</v>
      </c>
      <c r="L50" s="120" t="n">
        <f aca="false">L14+L26+L38</f>
        <v>9560353</v>
      </c>
      <c r="M50" s="120" t="n">
        <f aca="false">M14+M26+M38</f>
        <v>9264184</v>
      </c>
      <c r="O50" s="120" t="n">
        <f aca="false">O14+O26+O38</f>
        <v>1310</v>
      </c>
      <c r="P50" s="120" t="n">
        <f aca="false">P14+P26+P38</f>
        <v>4938317</v>
      </c>
      <c r="Q50" s="120" t="n">
        <f aca="false">Q14+Q26+Q38</f>
        <v>1481828</v>
      </c>
      <c r="R50" s="120" t="n">
        <f aca="false">R14+R26+R38</f>
        <v>3456489</v>
      </c>
      <c r="S50" s="120" t="n">
        <f aca="false">S14+S26+S38</f>
        <v>2159189</v>
      </c>
      <c r="U50" s="120" t="n">
        <f aca="false">U14+U26+U38</f>
        <v>1501</v>
      </c>
      <c r="V50" s="120" t="n">
        <f aca="false">V14+V26+V38</f>
        <v>5914568</v>
      </c>
      <c r="W50" s="120" t="n">
        <f aca="false">W14+W26+W38</f>
        <v>1774769</v>
      </c>
      <c r="X50" s="120" t="n">
        <f aca="false">X14+X26+X38</f>
        <v>4139799</v>
      </c>
      <c r="Y50" s="120" t="n">
        <f aca="false">Y14+Y26+Y38</f>
        <v>5914568</v>
      </c>
      <c r="Z50" s="120" t="n">
        <f aca="false">Z14+Z26+Z38</f>
        <v>10852291</v>
      </c>
      <c r="AA50" s="120" t="n">
        <f aca="false">C50+F50+J50+O50+U50</f>
        <v>82012</v>
      </c>
      <c r="AB50" s="120" t="n">
        <f aca="false">D50+G50+K50+P50+V50</f>
        <v>303448933</v>
      </c>
      <c r="AC50" s="120" t="n">
        <f aca="false">H50+L50+Q50+W50</f>
        <v>15347410</v>
      </c>
      <c r="AD50" s="120" t="n">
        <f aca="false">M50+R50+X50</f>
        <v>16860472</v>
      </c>
      <c r="AE50" s="120" t="n">
        <f aca="false">S50+Y50</f>
        <v>8073757</v>
      </c>
      <c r="AF50" s="120" t="n">
        <f aca="false">Z50</f>
        <v>10852291</v>
      </c>
      <c r="AG50" s="120" t="n">
        <f aca="false">SUM(AB50:AF50)</f>
        <v>354582863</v>
      </c>
      <c r="AH50" s="120" t="n">
        <f aca="false">O50+U50</f>
        <v>2811</v>
      </c>
      <c r="AI50" s="120" t="n">
        <f aca="false">P50+V50</f>
        <v>10852885</v>
      </c>
      <c r="AJ50" s="120" t="n">
        <f aca="false">Q50+W50</f>
        <v>3256597</v>
      </c>
      <c r="AK50" s="120" t="n">
        <f aca="false">R50+X50</f>
        <v>7596288</v>
      </c>
      <c r="AL50" s="120" t="n">
        <f aca="false">S50+Y50</f>
        <v>8073757</v>
      </c>
      <c r="AM50" s="120" t="n">
        <f aca="false">Z50</f>
        <v>10852291</v>
      </c>
    </row>
    <row r="51" customFormat="false" ht="12.2" hidden="false" customHeight="true" outlineLevel="0" collapsed="false">
      <c r="A51" s="120" t="s">
        <v>151</v>
      </c>
      <c r="B51" s="121" t="s">
        <v>152</v>
      </c>
      <c r="C51" s="120" t="n">
        <f aca="false">SUM(C39:C50)</f>
        <v>78220</v>
      </c>
      <c r="D51" s="120" t="n">
        <f aca="false">SUM(D39:D50)</f>
        <v>252973794</v>
      </c>
      <c r="E51" s="120" t="n">
        <f aca="false">SUM(E39:E50)</f>
        <v>0</v>
      </c>
      <c r="F51" s="120" t="n">
        <f aca="false">SUM(F39:F50)</f>
        <v>46008</v>
      </c>
      <c r="G51" s="120" t="n">
        <f aca="false">SUM(G39:G50)</f>
        <v>275087828</v>
      </c>
      <c r="H51" s="120" t="n">
        <f aca="false">SUM(H39:H50)</f>
        <v>13342336</v>
      </c>
      <c r="I51" s="120" t="n">
        <f aca="false">SUM(I39:I50)</f>
        <v>0</v>
      </c>
      <c r="J51" s="120" t="n">
        <f aca="false">SUM(J39:J50)</f>
        <v>78722</v>
      </c>
      <c r="K51" s="120" t="n">
        <f aca="false">SUM(K39:K50)</f>
        <v>470591513</v>
      </c>
      <c r="L51" s="120" t="n">
        <f aca="false">SUM(L39:L50)</f>
        <v>82363831</v>
      </c>
      <c r="M51" s="120" t="n">
        <f aca="false">SUM(M39:M50)</f>
        <v>42780795</v>
      </c>
      <c r="N51" s="120" t="n">
        <f aca="false">SUM(N39:N50)</f>
        <v>0</v>
      </c>
      <c r="O51" s="120" t="n">
        <f aca="false">SUM(O39:O50)</f>
        <v>54634</v>
      </c>
      <c r="P51" s="120" t="n">
        <f aca="false">SUM(P39:P50)</f>
        <v>281212616</v>
      </c>
      <c r="Q51" s="120" t="n">
        <f aca="false">SUM(Q39:Q50)</f>
        <v>67464808</v>
      </c>
      <c r="R51" s="120" t="n">
        <f aca="false">SUM(R39:R50)</f>
        <v>95429452</v>
      </c>
      <c r="S51" s="120" t="n">
        <f aca="false">SUM(S39:S50)</f>
        <v>23164687</v>
      </c>
      <c r="T51" s="120" t="n">
        <f aca="false">SUM(T39:T50)</f>
        <v>0</v>
      </c>
      <c r="U51" s="120" t="n">
        <f aca="false">SUM(U39:U50)</f>
        <v>30921</v>
      </c>
      <c r="V51" s="120" t="n">
        <f aca="false">SUM(V39:V50)</f>
        <v>141492447</v>
      </c>
      <c r="W51" s="120" t="n">
        <f aca="false">SUM(W39:W50)</f>
        <v>38887472</v>
      </c>
      <c r="X51" s="120" t="n">
        <f aca="false">SUM(X39:X50)</f>
        <v>76022367</v>
      </c>
      <c r="Y51" s="120" t="n">
        <f aca="false">SUM(Y39:Y50)</f>
        <v>65627987</v>
      </c>
      <c r="Z51" s="120" t="n">
        <f aca="false">SUM(Z39:Z50)</f>
        <v>37525124</v>
      </c>
      <c r="AA51" s="120" t="n">
        <f aca="false">SUM(AA39:AA50)</f>
        <v>288505</v>
      </c>
      <c r="AB51" s="120" t="n">
        <f aca="false">SUM(AB39:AB50)</f>
        <v>1421358198</v>
      </c>
      <c r="AC51" s="120" t="n">
        <f aca="false">SUM(AC39:AC50)</f>
        <v>202058447</v>
      </c>
      <c r="AD51" s="120" t="n">
        <f aca="false">SUM(AD39:AD50)</f>
        <v>214232614</v>
      </c>
      <c r="AE51" s="120" t="n">
        <f aca="false">SUM(AE39:AE50)</f>
        <v>88792674</v>
      </c>
      <c r="AF51" s="120" t="n">
        <f aca="false">SUM(AF39:AF50)</f>
        <v>37525124</v>
      </c>
      <c r="AG51" s="120" t="n">
        <f aca="false">SUM(AB51:AF51)</f>
        <v>1963967057</v>
      </c>
      <c r="AH51" s="120" t="n">
        <f aca="false">SUM(AH39:AH50)</f>
        <v>85555</v>
      </c>
      <c r="AI51" s="120" t="n">
        <f aca="false">SUM(AI39:AI50)</f>
        <v>422705063</v>
      </c>
      <c r="AJ51" s="120" t="n">
        <f aca="false">SUM(AJ39:AJ50)</f>
        <v>106352280</v>
      </c>
      <c r="AK51" s="120" t="n">
        <f aca="false">SUM(AK39:AK50)</f>
        <v>171451819</v>
      </c>
      <c r="AL51" s="120" t="n">
        <f aca="false">SUM(AL39:AL50)</f>
        <v>88792674</v>
      </c>
      <c r="AM51" s="120" t="n">
        <f aca="false">SUM(AM39:AM50)</f>
        <v>37525124</v>
      </c>
      <c r="AN51" s="120" t="n">
        <f aca="false">SUM(AL51:AM51)</f>
        <v>126317798</v>
      </c>
    </row>
    <row r="52" customFormat="false" ht="12.2" hidden="false" customHeight="true" outlineLevel="0" collapsed="false">
      <c r="B52" s="121"/>
      <c r="AA52" s="120" t="s">
        <v>153</v>
      </c>
      <c r="AM52" s="122"/>
    </row>
    <row r="53" customFormat="false" ht="12.2" hidden="false" customHeight="true" outlineLevel="0" collapsed="false">
      <c r="A53" s="120" t="s">
        <v>148</v>
      </c>
      <c r="B53" s="121" t="s">
        <v>20</v>
      </c>
      <c r="C53" s="120" t="n">
        <f aca="false">SUM(C3:C14)</f>
        <v>78018</v>
      </c>
      <c r="D53" s="120" t="n">
        <f aca="false">SUM(D3:D14)</f>
        <v>252075761</v>
      </c>
      <c r="F53" s="120" t="n">
        <f aca="false">SUM(F3:F14)</f>
        <v>45670</v>
      </c>
      <c r="G53" s="120" t="n">
        <f aca="false">SUM(G3:G14)</f>
        <v>273065422</v>
      </c>
      <c r="H53" s="120" t="n">
        <f aca="false">SUM(H3:H14)</f>
        <v>13194163</v>
      </c>
      <c r="J53" s="120" t="n">
        <f aca="false">SUM(J3:J14)</f>
        <v>77753</v>
      </c>
      <c r="K53" s="120" t="n">
        <f aca="false">SUM(K3:K14)</f>
        <v>464019611</v>
      </c>
      <c r="L53" s="120" t="n">
        <f aca="false">SUM(L3:L14)</f>
        <v>81155407</v>
      </c>
      <c r="M53" s="120" t="n">
        <f aca="false">SUM(M3:M14)</f>
        <v>41955134</v>
      </c>
      <c r="O53" s="120" t="n">
        <f aca="false">SUM(O3:O14)</f>
        <v>52897</v>
      </c>
      <c r="P53" s="120" t="n">
        <f aca="false">SUM(P3:P14)</f>
        <v>269007496</v>
      </c>
      <c r="Q53" s="120" t="n">
        <f aca="false">SUM(Q3:Q14)</f>
        <v>64298377</v>
      </c>
      <c r="R53" s="120" t="n">
        <f aca="false">SUM(R3:R14)</f>
        <v>90603856</v>
      </c>
      <c r="S53" s="120" t="n">
        <f aca="false">SUM(S3:S14)</f>
        <v>21823706</v>
      </c>
      <c r="U53" s="120" t="n">
        <f aca="false">SUM(U3:U14)</f>
        <v>27465</v>
      </c>
      <c r="V53" s="120" t="n">
        <f aca="false">SUM(V3:V14)</f>
        <v>122353949</v>
      </c>
      <c r="W53" s="120" t="n">
        <f aca="false">SUM(W3:W14)</f>
        <v>33312958</v>
      </c>
      <c r="X53" s="120" t="n">
        <f aca="false">SUM(X3:X14)</f>
        <v>64170391</v>
      </c>
      <c r="Y53" s="120" t="n">
        <f aca="false">SUM(Y3:Y14)</f>
        <v>53629234</v>
      </c>
      <c r="Z53" s="120" t="n">
        <f aca="false">SUM(Z3:Z14)</f>
        <v>26722542</v>
      </c>
      <c r="AA53" s="123" t="n">
        <f aca="false">SUM(AA3:AA14)</f>
        <v>281803</v>
      </c>
      <c r="AB53" s="124" t="n">
        <f aca="false">SUM(AB3:AB14)</f>
        <v>1380522239</v>
      </c>
      <c r="AC53" s="124" t="n">
        <f aca="false">SUM(AC3:AC14)</f>
        <v>191960905</v>
      </c>
      <c r="AD53" s="124" t="n">
        <f aca="false">SUM(AD3:AD14)</f>
        <v>196729381</v>
      </c>
      <c r="AE53" s="124" t="n">
        <f aca="false">SUM(AE3:AE14)</f>
        <v>75452940</v>
      </c>
      <c r="AF53" s="124" t="n">
        <f aca="false">SUM(AF3:AF14)</f>
        <v>26722542</v>
      </c>
      <c r="AG53" s="125" t="n">
        <f aca="false">SUM(AG3:AG14)</f>
        <v>1871388007</v>
      </c>
    </row>
    <row r="54" customFormat="false" ht="12.2" hidden="false" customHeight="true" outlineLevel="0" collapsed="false">
      <c r="A54" s="120" t="s">
        <v>149</v>
      </c>
      <c r="B54" s="121" t="s">
        <v>20</v>
      </c>
      <c r="C54" s="120" t="n">
        <f aca="false">SUM(C15:C26)</f>
        <v>146</v>
      </c>
      <c r="D54" s="120" t="n">
        <f aca="false">SUM(D15:D26)</f>
        <v>637729</v>
      </c>
      <c r="F54" s="120" t="n">
        <f aca="false">SUM(F15:F26)</f>
        <v>168</v>
      </c>
      <c r="G54" s="120" t="n">
        <f aca="false">SUM(G15:G26)</f>
        <v>982878</v>
      </c>
      <c r="H54" s="120" t="n">
        <f aca="false">SUM(H15:H26)</f>
        <v>44967</v>
      </c>
      <c r="J54" s="120" t="n">
        <f aca="false">SUM(J15:J26)</f>
        <v>406</v>
      </c>
      <c r="K54" s="120" t="n">
        <f aca="false">SUM(K15:K26)</f>
        <v>2531398</v>
      </c>
      <c r="L54" s="120" t="n">
        <f aca="false">SUM(L15:L26)</f>
        <v>437134</v>
      </c>
      <c r="M54" s="120" t="n">
        <f aca="false">SUM(M15:M26)</f>
        <v>263331</v>
      </c>
      <c r="O54" s="120" t="n">
        <f aca="false">SUM(O15:O26)</f>
        <v>425</v>
      </c>
      <c r="P54" s="120" t="n">
        <f aca="false">SUM(P15:P26)</f>
        <v>2542857</v>
      </c>
      <c r="Q54" s="120" t="n">
        <f aca="false">SUM(Q15:Q26)</f>
        <v>645930</v>
      </c>
      <c r="R54" s="120" t="n">
        <f aca="false">SUM(R15:R26)</f>
        <v>967744</v>
      </c>
      <c r="S54" s="120" t="n">
        <f aca="false">SUM(S15:S26)</f>
        <v>244868</v>
      </c>
      <c r="U54" s="120" t="n">
        <f aca="false">SUM(U15:U26)</f>
        <v>374</v>
      </c>
      <c r="V54" s="120" t="n">
        <f aca="false">SUM(V15:V26)</f>
        <v>1915604</v>
      </c>
      <c r="W54" s="120" t="n">
        <f aca="false">SUM(W15:W26)</f>
        <v>541047</v>
      </c>
      <c r="X54" s="120" t="n">
        <f aca="false">SUM(X15:X26)</f>
        <v>1131565</v>
      </c>
      <c r="Y54" s="120" t="n">
        <f aca="false">SUM(Y15:Y26)</f>
        <v>1079411</v>
      </c>
      <c r="Z54" s="120" t="n">
        <f aca="false">SUM(Z15:Z26)</f>
        <v>751428</v>
      </c>
      <c r="AA54" s="126" t="n">
        <f aca="false">SUM(AA15:AA26)</f>
        <v>1519</v>
      </c>
      <c r="AB54" s="120" t="n">
        <f aca="false">SUM(AB15:AB26)</f>
        <v>8610466</v>
      </c>
      <c r="AC54" s="120" t="n">
        <f aca="false">SUM(AC15:AC26)</f>
        <v>1669078</v>
      </c>
      <c r="AD54" s="120" t="n">
        <f aca="false">SUM(AD15:AD26)</f>
        <v>2362640</v>
      </c>
      <c r="AE54" s="120" t="n">
        <f aca="false">SUM(AE15:AE26)</f>
        <v>1324279</v>
      </c>
      <c r="AF54" s="120" t="n">
        <f aca="false">SUM(AF15:AF26)</f>
        <v>751428</v>
      </c>
      <c r="AG54" s="127" t="n">
        <f aca="false">SUM(AG15:AG26)</f>
        <v>14717891</v>
      </c>
    </row>
    <row r="55" customFormat="false" ht="14.25" hidden="false" customHeight="true" outlineLevel="0" collapsed="false">
      <c r="A55" s="120" t="s">
        <v>150</v>
      </c>
      <c r="B55" s="121" t="s">
        <v>20</v>
      </c>
      <c r="C55" s="120" t="n">
        <f aca="false">SUM(C27:C38)</f>
        <v>56</v>
      </c>
      <c r="D55" s="120" t="n">
        <f aca="false">SUM(D27:D38)</f>
        <v>260304</v>
      </c>
      <c r="F55" s="120" t="n">
        <f aca="false">SUM(F27:F38)</f>
        <v>170</v>
      </c>
      <c r="G55" s="120" t="n">
        <f aca="false">SUM(G27:G38)</f>
        <v>1039528</v>
      </c>
      <c r="H55" s="120" t="n">
        <f aca="false">SUM(H27:H38)</f>
        <v>103206</v>
      </c>
      <c r="J55" s="120" t="n">
        <f aca="false">SUM(J27:J38)</f>
        <v>563</v>
      </c>
      <c r="K55" s="120" t="n">
        <f aca="false">SUM(K27:K38)</f>
        <v>4040504</v>
      </c>
      <c r="L55" s="120" t="n">
        <f aca="false">SUM(L27:L38)</f>
        <v>771290</v>
      </c>
      <c r="M55" s="120" t="n">
        <f aca="false">SUM(M27:M38)</f>
        <v>562330</v>
      </c>
      <c r="O55" s="120" t="n">
        <f aca="false">SUM(O27:O38)</f>
        <v>1312</v>
      </c>
      <c r="P55" s="120" t="n">
        <f aca="false">SUM(P27:P38)</f>
        <v>9662263</v>
      </c>
      <c r="Q55" s="120" t="n">
        <f aca="false">SUM(Q27:Q38)</f>
        <v>2520501</v>
      </c>
      <c r="R55" s="120" t="n">
        <f aca="false">SUM(R27:R38)</f>
        <v>3857852</v>
      </c>
      <c r="S55" s="120" t="n">
        <f aca="false">SUM(S27:S38)</f>
        <v>1096113</v>
      </c>
      <c r="U55" s="120" t="n">
        <f aca="false">SUM(U27:U38)</f>
        <v>3082</v>
      </c>
      <c r="V55" s="120" t="n">
        <f aca="false">SUM(V27:V38)</f>
        <v>17222894</v>
      </c>
      <c r="W55" s="120" t="n">
        <f aca="false">SUM(W27:W38)</f>
        <v>5033467</v>
      </c>
      <c r="X55" s="120" t="n">
        <f aca="false">SUM(X27:X38)</f>
        <v>10720411</v>
      </c>
      <c r="Y55" s="120" t="n">
        <f aca="false">SUM(Y27:Y38)</f>
        <v>10919342</v>
      </c>
      <c r="Z55" s="120" t="n">
        <f aca="false">SUM(Z27:Z38)</f>
        <v>10051154</v>
      </c>
      <c r="AA55" s="128" t="n">
        <f aca="false">SUM(AA27:AA38)</f>
        <v>5183</v>
      </c>
      <c r="AB55" s="129" t="n">
        <f aca="false">SUM(AB27:AB38)</f>
        <v>32225493</v>
      </c>
      <c r="AC55" s="129" t="n">
        <f aca="false">SUM(AC27:AC38)</f>
        <v>8428464</v>
      </c>
      <c r="AD55" s="129" t="n">
        <f aca="false">SUM(AD27:AD38)</f>
        <v>15140593</v>
      </c>
      <c r="AE55" s="129" t="n">
        <f aca="false">SUM(AE27:AE38)</f>
        <v>12015455</v>
      </c>
      <c r="AF55" s="129" t="n">
        <f aca="false">SUM(AF27:AF38)</f>
        <v>10051154</v>
      </c>
      <c r="AG55" s="130" t="n">
        <f aca="false">SUM(AG27:AG38)</f>
        <v>77861159</v>
      </c>
    </row>
    <row r="56" customFormat="false" ht="12.2" hidden="false" customHeight="true" outlineLevel="0" collapsed="false">
      <c r="A56" s="120" t="s">
        <v>151</v>
      </c>
      <c r="B56" s="121" t="s">
        <v>20</v>
      </c>
      <c r="C56" s="120" t="n">
        <f aca="false">SUM(C53:C55)</f>
        <v>78220</v>
      </c>
      <c r="D56" s="120" t="n">
        <f aca="false">SUM(D53:D55)</f>
        <v>252973794</v>
      </c>
      <c r="E56" s="120" t="n">
        <f aca="false">SUM(E53:E55)</f>
        <v>0</v>
      </c>
      <c r="F56" s="120" t="n">
        <f aca="false">SUM(F53:F55)</f>
        <v>46008</v>
      </c>
      <c r="G56" s="120" t="n">
        <f aca="false">SUM(G53:G55)</f>
        <v>275087828</v>
      </c>
      <c r="H56" s="120" t="n">
        <f aca="false">SUM(H53:H55)</f>
        <v>13342336</v>
      </c>
      <c r="I56" s="120" t="n">
        <f aca="false">SUM(I53:I55)</f>
        <v>0</v>
      </c>
      <c r="J56" s="120" t="n">
        <f aca="false">SUM(J53:J55)</f>
        <v>78722</v>
      </c>
      <c r="K56" s="120" t="n">
        <f aca="false">SUM(K53:K55)</f>
        <v>470591513</v>
      </c>
      <c r="L56" s="120" t="n">
        <f aca="false">SUM(L53:L55)</f>
        <v>82363831</v>
      </c>
      <c r="M56" s="120" t="n">
        <f aca="false">SUM(M53:M55)</f>
        <v>42780795</v>
      </c>
      <c r="N56" s="120" t="n">
        <f aca="false">SUM(N53:N55)</f>
        <v>0</v>
      </c>
      <c r="O56" s="120" t="n">
        <f aca="false">SUM(O53:O55)</f>
        <v>54634</v>
      </c>
      <c r="P56" s="120" t="n">
        <f aca="false">SUM(P53:P55)</f>
        <v>281212616</v>
      </c>
      <c r="Q56" s="120" t="n">
        <f aca="false">SUM(Q53:Q55)</f>
        <v>67464808</v>
      </c>
      <c r="R56" s="120" t="n">
        <f aca="false">SUM(R53:R55)</f>
        <v>95429452</v>
      </c>
      <c r="S56" s="120" t="n">
        <f aca="false">SUM(S53:S55)</f>
        <v>23164687</v>
      </c>
      <c r="T56" s="120" t="n">
        <f aca="false">SUM(T53:T55)</f>
        <v>0</v>
      </c>
      <c r="U56" s="120" t="n">
        <f aca="false">SUM(U53:U55)</f>
        <v>30921</v>
      </c>
      <c r="V56" s="120" t="n">
        <f aca="false">SUM(V53:V55)</f>
        <v>141492447</v>
      </c>
      <c r="W56" s="120" t="n">
        <f aca="false">SUM(W53:W55)</f>
        <v>38887472</v>
      </c>
      <c r="X56" s="120" t="n">
        <f aca="false">SUM(X53:X55)</f>
        <v>76022367</v>
      </c>
      <c r="Y56" s="120" t="n">
        <f aca="false">SUM(Y53:Y55)</f>
        <v>65627987</v>
      </c>
      <c r="Z56" s="120" t="n">
        <f aca="false">SUM(Z53:Z55)</f>
        <v>37525124</v>
      </c>
      <c r="AA56" s="131" t="n">
        <f aca="false">SUM(AA53:AA55)</f>
        <v>288505</v>
      </c>
      <c r="AB56" s="132" t="n">
        <f aca="false">SUM(AB53:AB55)</f>
        <v>1421358198</v>
      </c>
      <c r="AC56" s="132" t="n">
        <f aca="false">SUM(AC53:AC55)</f>
        <v>202058447</v>
      </c>
      <c r="AD56" s="132" t="n">
        <f aca="false">SUM(AD53:AD55)</f>
        <v>214232614</v>
      </c>
      <c r="AE56" s="132" t="n">
        <f aca="false">SUM(AE53:AE55)</f>
        <v>88792674</v>
      </c>
      <c r="AF56" s="132" t="n">
        <f aca="false">SUM(AF53:AF55)</f>
        <v>37525124</v>
      </c>
      <c r="AG56" s="133" t="n">
        <f aca="false">SUM(AG53:AG55)</f>
        <v>1963967057</v>
      </c>
    </row>
    <row r="57" customFormat="false" ht="12.2" hidden="false" customHeight="true" outlineLevel="0" collapsed="false">
      <c r="B57" s="121"/>
      <c r="Z57" s="120" t="s">
        <v>154</v>
      </c>
      <c r="AA57" s="134" t="n">
        <f aca="false">[12]TierSum!B$21</f>
        <v>285279</v>
      </c>
      <c r="AB57" s="134" t="n">
        <f aca="false">[12]TierSum!D$21</f>
        <v>1407694731</v>
      </c>
      <c r="AC57" s="134" t="n">
        <f aca="false">[12]TierSum!E$21</f>
        <v>412379614</v>
      </c>
      <c r="AD57" s="134" t="n">
        <f aca="false">[12]TierSum!F$21</f>
        <v>0</v>
      </c>
      <c r="AE57" s="134" t="n">
        <f aca="false">[12]TierSum!G$21</f>
        <v>88792674</v>
      </c>
      <c r="AF57" s="134" t="n">
        <f aca="false">[12]TierSum!H$21</f>
        <v>37525124</v>
      </c>
      <c r="AG57" s="134" t="n">
        <f aca="false">[12]TierSum!I$21</f>
        <v>1946392143</v>
      </c>
    </row>
    <row r="58" customFormat="false" ht="12.2" hidden="false" customHeight="true" outlineLevel="0" collapsed="false">
      <c r="B58" s="121"/>
      <c r="AA58" s="120" t="s">
        <v>148</v>
      </c>
      <c r="AB58" s="135" t="n">
        <f aca="false">AB53/$AG53</f>
        <v>0.73769962927843</v>
      </c>
      <c r="AC58" s="135" t="n">
        <f aca="false">AC53/$AG53</f>
        <v>0.102576752806988</v>
      </c>
      <c r="AD58" s="135" t="n">
        <f aca="false">AD53/$AG53</f>
        <v>0.105124848649305</v>
      </c>
      <c r="AE58" s="135" t="n">
        <f aca="false">AE53/$AG53</f>
        <v>0.0403192388311592</v>
      </c>
      <c r="AF58" s="135" t="n">
        <f aca="false">AF53/$AG53</f>
        <v>0.014279530434118</v>
      </c>
      <c r="AG58" s="135" t="n">
        <f aca="false">SUM(AB58:AF58)</f>
        <v>1</v>
      </c>
    </row>
    <row r="59" customFormat="false" ht="12.2" hidden="false" customHeight="true" outlineLevel="0" collapsed="false">
      <c r="B59" s="121"/>
      <c r="AA59" s="120" t="s">
        <v>149</v>
      </c>
      <c r="AB59" s="135" t="n">
        <f aca="false">AB54/$AG54</f>
        <v>0.5850339562917</v>
      </c>
      <c r="AC59" s="135" t="n">
        <f aca="false">AC54/$AG54</f>
        <v>0.113404699083585</v>
      </c>
      <c r="AD59" s="135" t="n">
        <f aca="false">AD54/$AG54</f>
        <v>0.160528434406805</v>
      </c>
      <c r="AE59" s="135" t="n">
        <f aca="false">AE54/$AG54</f>
        <v>0.089977497455308</v>
      </c>
      <c r="AF59" s="135" t="n">
        <f aca="false">AF54/$AG54</f>
        <v>0.051055412762603</v>
      </c>
      <c r="AG59" s="135" t="n">
        <f aca="false">SUM(AB59:AF59)</f>
        <v>1</v>
      </c>
    </row>
    <row r="60" customFormat="false" ht="12.2" hidden="false" customHeight="true" outlineLevel="0" collapsed="false">
      <c r="B60" s="121"/>
      <c r="AA60" s="120" t="s">
        <v>150</v>
      </c>
      <c r="AB60" s="135" t="n">
        <f aca="false">AB55/$AG55</f>
        <v>0.413884065095923</v>
      </c>
      <c r="AC60" s="135" t="n">
        <f aca="false">AC55/$AG55</f>
        <v>0.108249917009327</v>
      </c>
      <c r="AD60" s="135" t="n">
        <f aca="false">AD55/$AG55</f>
        <v>0.194456301376146</v>
      </c>
      <c r="AE60" s="135" t="n">
        <f aca="false">AE55/$AG55</f>
        <v>0.154318984642908</v>
      </c>
      <c r="AF60" s="135" t="n">
        <f aca="false">AF55/$AG55</f>
        <v>0.129090731875697</v>
      </c>
      <c r="AG60" s="135" t="n">
        <f aca="false">SUM(AB60:AF60)</f>
        <v>1</v>
      </c>
    </row>
    <row r="61" customFormat="false" ht="12.2" hidden="false" customHeight="true" outlineLevel="0" collapsed="false">
      <c r="B61" s="121"/>
      <c r="AA61" s="123"/>
      <c r="AB61" s="136" t="s">
        <v>17</v>
      </c>
      <c r="AC61" s="136" t="s">
        <v>18</v>
      </c>
      <c r="AD61" s="136" t="s">
        <v>155</v>
      </c>
      <c r="AE61" s="136" t="s">
        <v>156</v>
      </c>
      <c r="AF61" s="136" t="s">
        <v>157</v>
      </c>
      <c r="AG61" s="137" t="s">
        <v>20</v>
      </c>
    </row>
    <row r="62" customFormat="false" ht="12.2" hidden="false" customHeight="true" outlineLevel="0" collapsed="false">
      <c r="B62" s="121"/>
      <c r="AA62" s="126" t="s">
        <v>148</v>
      </c>
      <c r="AB62" s="138" t="n">
        <f aca="false">Residential!E34+Residential!E36</f>
        <v>1422042700.5155</v>
      </c>
      <c r="AC62" s="139" t="n">
        <f aca="false">AG62-AB62-AD62-AE62-AF62</f>
        <v>395392277.058752</v>
      </c>
      <c r="AD62" s="120" t="n">
        <v>0</v>
      </c>
      <c r="AE62" s="120" t="n">
        <f aca="false">AE58*$AG62</f>
        <v>77509519.2799469</v>
      </c>
      <c r="AF62" s="120" t="n">
        <f aca="false">AF58*$AG62</f>
        <v>27450903.6275882</v>
      </c>
      <c r="AG62" s="140" t="n">
        <f aca="false">Residential!E39</f>
        <v>1922395400.48178</v>
      </c>
    </row>
    <row r="63" customFormat="false" ht="12.75" hidden="false" customHeight="false" outlineLevel="0" collapsed="false">
      <c r="B63" s="121"/>
      <c r="AA63" s="126" t="s">
        <v>149</v>
      </c>
      <c r="AB63" s="138" t="n">
        <f aca="false">Residential!E49+Residential!E50</f>
        <v>8050525.85977626</v>
      </c>
      <c r="AC63" s="139" t="n">
        <f aca="false">AG63-AB63-AD63-AE63-AF63</f>
        <v>3842601.0433818</v>
      </c>
      <c r="AD63" s="120" t="n">
        <v>0</v>
      </c>
      <c r="AE63" s="120" t="n">
        <f aca="false">AE59*$AG63</f>
        <v>1245814.66320908</v>
      </c>
      <c r="AF63" s="120" t="n">
        <f aca="false">AF59*$AG63</f>
        <v>706905.433632849</v>
      </c>
      <c r="AG63" s="140" t="n">
        <f aca="false">Residential!E52</f>
        <v>13845847</v>
      </c>
    </row>
    <row r="64" customFormat="false" ht="15" hidden="false" customHeight="false" outlineLevel="0" collapsed="false">
      <c r="B64" s="121"/>
      <c r="AA64" s="128" t="s">
        <v>150</v>
      </c>
      <c r="AB64" s="129" t="n">
        <f aca="false">AB60*$AG64</f>
        <v>40069098.153306</v>
      </c>
      <c r="AC64" s="141" t="n">
        <f aca="false">AG64-AB64-AD64-AE64-AF64</f>
        <v>29305707.0783638</v>
      </c>
      <c r="AD64" s="129" t="n">
        <v>0</v>
      </c>
      <c r="AE64" s="129" t="n">
        <f aca="false">AE60*$AG64</f>
        <v>14939986.9771312</v>
      </c>
      <c r="AF64" s="129" t="n">
        <f aca="false">AF60*$AG64</f>
        <v>12497579.980545</v>
      </c>
      <c r="AG64" s="142" t="n">
        <f aca="false">Residential!E61</f>
        <v>96812372.189346</v>
      </c>
    </row>
    <row r="65" customFormat="false" ht="12.75" hidden="false" customHeight="false" outlineLevel="0" collapsed="false">
      <c r="B65" s="121"/>
      <c r="AA65" s="131" t="s">
        <v>158</v>
      </c>
      <c r="AB65" s="132" t="n">
        <f aca="false">SUM(AB62:AB64)</f>
        <v>1470162324.52858</v>
      </c>
      <c r="AC65" s="132" t="n">
        <f aca="false">SUM(AC62:AC64)</f>
        <v>428540585.180498</v>
      </c>
      <c r="AD65" s="132" t="n">
        <f aca="false">SUM(AD62:AD64)</f>
        <v>0</v>
      </c>
      <c r="AE65" s="132" t="n">
        <f aca="false">SUM(AE62:AE64)</f>
        <v>93695320.9202872</v>
      </c>
      <c r="AF65" s="132" t="n">
        <f aca="false">SUM(AF62:AF64)</f>
        <v>40655389.041766</v>
      </c>
      <c r="AG65" s="133" t="n">
        <f aca="false">SUM(AG62:AG64)</f>
        <v>2033053619.67113</v>
      </c>
    </row>
    <row r="66" customFormat="false" ht="12.75" hidden="false" customHeight="false" outlineLevel="0" collapsed="false">
      <c r="B66" s="121"/>
      <c r="AA66" s="120" t="s">
        <v>159</v>
      </c>
      <c r="AB66" s="143" t="n">
        <f aca="false">[12]BillDet!D$21</f>
        <v>1470371157.49985</v>
      </c>
      <c r="AC66" s="143" t="n">
        <f aca="false">[12]BillDet!E$21</f>
        <v>430740470.226653</v>
      </c>
      <c r="AD66" s="143" t="n">
        <f aca="false">[12]BillDet!F$21</f>
        <v>0</v>
      </c>
      <c r="AE66" s="143" t="n">
        <f aca="false">[12]BillDet!G$21</f>
        <v>92746093.2912215</v>
      </c>
      <c r="AF66" s="143" t="n">
        <f aca="false">[12]BillDet!H$21</f>
        <v>39195898.653403</v>
      </c>
      <c r="AG66" s="138" t="n">
        <f aca="false">SUM(AB66:AF66)</f>
        <v>2033053619.67113</v>
      </c>
    </row>
    <row r="67" customFormat="false" ht="12.75" hidden="false" customHeight="false" outlineLevel="0" collapsed="false">
      <c r="B67" s="121"/>
      <c r="AA67" s="123" t="s">
        <v>148</v>
      </c>
      <c r="AB67" s="144" t="n">
        <f aca="false">AB62</f>
        <v>1422042700.5155</v>
      </c>
      <c r="AC67" s="144" t="n">
        <f aca="false">AC66-AC68-AC69</f>
        <v>400083058.559693</v>
      </c>
      <c r="AD67" s="144" t="n">
        <v>0</v>
      </c>
      <c r="AE67" s="144" t="n">
        <f aca="false">AE$66/AE$65*AE62+AE72*$AG72</f>
        <v>74567902.3709917</v>
      </c>
      <c r="AF67" s="144" t="n">
        <f aca="false">AF$66/AF$65*AF62+AF72*$AG72</f>
        <v>25701739.0356032</v>
      </c>
      <c r="AG67" s="145" t="n">
        <f aca="false">SUM(AB67:AF67)</f>
        <v>1922395400.48178</v>
      </c>
      <c r="AH67" s="120" t="n">
        <f aca="false">AG62-AG67</f>
        <v>0</v>
      </c>
    </row>
    <row r="68" customFormat="false" ht="12.75" hidden="false" customHeight="false" outlineLevel="0" collapsed="false">
      <c r="B68" s="121"/>
      <c r="AA68" s="126" t="s">
        <v>149</v>
      </c>
      <c r="AB68" s="139" t="n">
        <f aca="false">AB63</f>
        <v>8050525.85977626</v>
      </c>
      <c r="AC68" s="139" t="n">
        <f aca="false">AB68/AB54*AC54</f>
        <v>1560537.55987001</v>
      </c>
      <c r="AD68" s="139" t="n">
        <v>0</v>
      </c>
      <c r="AE68" s="139" t="n">
        <f aca="false">AE$66/AE$65*AE63+AE73*$AG73</f>
        <v>2713368.25336071</v>
      </c>
      <c r="AF68" s="139" t="n">
        <f aca="false">AF$66/AF$65*AF63+AF73*$AG73</f>
        <v>1521415.32699302</v>
      </c>
      <c r="AG68" s="146" t="n">
        <f aca="false">SUM(AB68:AF68)</f>
        <v>13845847</v>
      </c>
      <c r="AH68" s="120" t="n">
        <f aca="false">AG63-AG68</f>
        <v>0</v>
      </c>
    </row>
    <row r="69" customFormat="false" ht="15" hidden="false" customHeight="false" outlineLevel="0" collapsed="false">
      <c r="B69" s="121"/>
      <c r="AA69" s="131" t="s">
        <v>150</v>
      </c>
      <c r="AB69" s="141" t="n">
        <f aca="false">AB64+AB66-AB65</f>
        <v>40277931.1245794</v>
      </c>
      <c r="AC69" s="141" t="n">
        <f aca="false">AC64+AB64-AB69</f>
        <v>29096874.1070904</v>
      </c>
      <c r="AD69" s="141" t="n">
        <v>0</v>
      </c>
      <c r="AE69" s="141" t="n">
        <f aca="false">AE66-AE67-AE68</f>
        <v>15464822.6668691</v>
      </c>
      <c r="AF69" s="141" t="n">
        <f aca="false">AF66-AF67-AF68</f>
        <v>11972744.2908069</v>
      </c>
      <c r="AG69" s="147" t="n">
        <f aca="false">SUM(AB69:AF69)</f>
        <v>96812372.1893458</v>
      </c>
      <c r="AH69" s="120" t="n">
        <f aca="false">AG64-AG69</f>
        <v>0</v>
      </c>
    </row>
    <row r="70" customFormat="false" ht="12.75" hidden="false" customHeight="false" outlineLevel="0" collapsed="false">
      <c r="B70" s="121"/>
      <c r="AA70" s="131"/>
      <c r="AB70" s="148" t="n">
        <f aca="false">SUM(AB67:AB69)</f>
        <v>1470371157.49985</v>
      </c>
      <c r="AC70" s="148" t="n">
        <f aca="false">SUM(AC67:AC69)</f>
        <v>430740470.226653</v>
      </c>
      <c r="AD70" s="148" t="n">
        <v>0</v>
      </c>
      <c r="AE70" s="148" t="n">
        <f aca="false">SUM(AE67:AE69)</f>
        <v>92746093.2912215</v>
      </c>
      <c r="AF70" s="148" t="n">
        <f aca="false">SUM(AF67:AF69)</f>
        <v>39195898.653403</v>
      </c>
      <c r="AG70" s="149" t="n">
        <f aca="false">SUM(AG67:AG69)</f>
        <v>2033053619.67113</v>
      </c>
    </row>
    <row r="71" customFormat="false" ht="12.75" hidden="false" customHeight="false" outlineLevel="0" collapsed="false">
      <c r="B71" s="121"/>
    </row>
    <row r="72" customFormat="false" ht="12.75" hidden="false" customHeight="false" outlineLevel="0" collapsed="false">
      <c r="B72" s="121"/>
      <c r="AE72" s="150" t="n">
        <v>0.738464243310347</v>
      </c>
      <c r="AF72" s="150" t="n">
        <v>0.261535756689653</v>
      </c>
      <c r="AG72" s="120" t="n">
        <v>-2920070.55634308</v>
      </c>
      <c r="AH72" s="120" t="n">
        <v>2160</v>
      </c>
    </row>
    <row r="73" customFormat="false" ht="12.75" hidden="false" customHeight="false" outlineLevel="0" collapsed="false">
      <c r="B73" s="121"/>
      <c r="AA73" s="0"/>
      <c r="AB73" s="0"/>
      <c r="AE73" s="150" t="n">
        <v>0.63798936940522</v>
      </c>
      <c r="AF73" s="150" t="n">
        <v>0.362010630594781</v>
      </c>
      <c r="AG73" s="120" t="n">
        <v>2320062.07926297</v>
      </c>
      <c r="AH73" s="120" t="n">
        <v>759</v>
      </c>
    </row>
    <row r="74" customFormat="false" ht="12.75" hidden="false" customHeight="false" outlineLevel="0" collapsed="false">
      <c r="B74" s="121"/>
      <c r="AA74" s="0"/>
      <c r="AB74" s="0"/>
      <c r="AE74" s="150" t="n">
        <f aca="false">AE64/($AE64+$AF64)</f>
        <v>0.544508447129326</v>
      </c>
      <c r="AF74" s="150" t="n">
        <f aca="false">AF64/($AE64+$AF64)</f>
        <v>0.455491552870674</v>
      </c>
      <c r="AG74" s="120" t="n">
        <f aca="false">AG64-AG69</f>
        <v>0</v>
      </c>
      <c r="AH74" s="120" t="n">
        <f aca="false">SUM(AH72:AH73)</f>
        <v>2919</v>
      </c>
    </row>
  </sheetData>
  <printOptions headings="tru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3" fitToHeight="2" pageOrder="downThenOver" orientation="landscape" blackAndWhite="false" draft="false" cellComments="none" horizontalDpi="300" verticalDpi="300" copies="1"/>
  <headerFooter differentFirst="false" differentOddEven="false">
    <oddHeader>&amp;CPacific Gas and Electric Company
Rate Design Workpapers
3 Cent Surcharge</oddHeader>
    <oddFooter>&amp;L&amp;D  &amp;T&amp;R&amp;F  &amp;A</oddFooter>
  </headerFooter>
  <colBreaks count="2" manualBreakCount="2">
    <brk id="13" man="true" max="65535" min="0"/>
    <brk id="26" man="true" max="65535" min="0"/>
  </col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N77"/>
  <sheetViews>
    <sheetView showFormulas="false" showGridLines="true" showRowColHeaders="true" showZeros="true" rightToLeft="false" tabSelected="true" showOutlineSymbols="true" defaultGridColor="true" view="normal" topLeftCell="P1" colorId="64" zoomScale="100" zoomScaleNormal="100" zoomScalePageLayoutView="100" workbookViewId="0">
      <selection pane="topLeft" activeCell="O1" activeCellId="0" sqref="O1:O1638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53" width="5.56"/>
    <col collapsed="false" customWidth="true" hidden="false" outlineLevel="0" max="2" min="2" style="151" width="4.85"/>
    <col collapsed="false" customWidth="true" hidden="false" outlineLevel="0" max="3" min="3" style="120" width="8.99"/>
    <col collapsed="false" customWidth="true" hidden="false" outlineLevel="0" max="4" min="4" style="120" width="12.42"/>
    <col collapsed="false" customWidth="true" hidden="false" outlineLevel="0" max="5" min="5" style="120" width="4.85"/>
    <col collapsed="false" customWidth="true" hidden="false" outlineLevel="0" max="6" min="6" style="120" width="7.42"/>
    <col collapsed="false" customWidth="true" hidden="false" outlineLevel="0" max="7" min="7" style="120" width="11.99"/>
    <col collapsed="false" customWidth="true" hidden="false" outlineLevel="0" max="8" min="8" style="120" width="11.42"/>
    <col collapsed="false" customWidth="true" hidden="false" outlineLevel="0" max="9" min="9" style="120" width="4.85"/>
    <col collapsed="false" customWidth="true" hidden="false" outlineLevel="0" max="10" min="10" style="120" width="7.42"/>
    <col collapsed="false" customWidth="true" hidden="false" outlineLevel="0" max="11" min="11" style="120" width="11.99"/>
    <col collapsed="false" customWidth="true" hidden="false" outlineLevel="0" max="13" min="12" style="120" width="10.41"/>
    <col collapsed="false" customWidth="true" hidden="false" outlineLevel="0" max="14" min="14" style="120" width="4.85"/>
    <col collapsed="false" customWidth="true" hidden="false" outlineLevel="0" max="15" min="15" style="120" width="7.42"/>
    <col collapsed="false" customWidth="true" hidden="false" outlineLevel="0" max="18" min="16" style="120" width="11.99"/>
    <col collapsed="false" customWidth="true" hidden="false" outlineLevel="0" max="19" min="19" style="120" width="11.42"/>
    <col collapsed="false" customWidth="true" hidden="false" outlineLevel="0" max="20" min="20" style="120" width="4.85"/>
    <col collapsed="false" customWidth="true" hidden="false" outlineLevel="0" max="21" min="21" style="120" width="8.99"/>
    <col collapsed="false" customWidth="true" hidden="false" outlineLevel="0" max="25" min="22" style="120" width="11.99"/>
    <col collapsed="false" customWidth="true" hidden="false" outlineLevel="0" max="26" min="26" style="120" width="11.85"/>
    <col collapsed="false" customWidth="true" hidden="false" outlineLevel="0" max="27" min="27" style="53" width="9.14"/>
    <col collapsed="false" customWidth="true" hidden="false" outlineLevel="0" max="28" min="28" style="53" width="12.99"/>
    <col collapsed="false" customWidth="true" hidden="false" outlineLevel="0" max="31" min="29" style="53" width="11.99"/>
    <col collapsed="false" customWidth="true" hidden="false" outlineLevel="0" max="32" min="32" style="53" width="12.85"/>
    <col collapsed="false" customWidth="true" hidden="false" outlineLevel="0" max="33" min="33" style="53" width="14.14"/>
    <col collapsed="false" customWidth="true" hidden="false" outlineLevel="0" max="34" min="34" style="53" width="12.85"/>
    <col collapsed="false" customWidth="true" hidden="false" outlineLevel="0" max="37" min="35" style="53" width="14.28"/>
    <col collapsed="false" customWidth="true" hidden="false" outlineLevel="0" max="38" min="38" style="53" width="15.13"/>
    <col collapsed="false" customWidth="true" hidden="false" outlineLevel="0" max="40" min="39" style="53" width="11.99"/>
  </cols>
  <sheetData>
    <row r="1" customFormat="false" ht="12.2" hidden="false" customHeight="true" outlineLevel="0" collapsed="false">
      <c r="A1" s="53" t="s">
        <v>124</v>
      </c>
      <c r="B1" s="151" t="s">
        <v>125</v>
      </c>
      <c r="C1" s="120" t="s">
        <v>126</v>
      </c>
      <c r="D1" s="120" t="s">
        <v>127</v>
      </c>
      <c r="E1" s="120" t="s">
        <v>128</v>
      </c>
      <c r="F1" s="120" t="s">
        <v>126</v>
      </c>
      <c r="G1" s="120" t="s">
        <v>129</v>
      </c>
      <c r="H1" s="120" t="s">
        <v>130</v>
      </c>
      <c r="I1" s="120" t="s">
        <v>131</v>
      </c>
      <c r="J1" s="120" t="s">
        <v>126</v>
      </c>
      <c r="K1" s="120" t="s">
        <v>129</v>
      </c>
      <c r="L1" s="120" t="s">
        <v>132</v>
      </c>
      <c r="M1" s="120" t="s">
        <v>133</v>
      </c>
      <c r="N1" s="120" t="s">
        <v>134</v>
      </c>
      <c r="O1" s="120" t="s">
        <v>126</v>
      </c>
      <c r="P1" s="120" t="s">
        <v>129</v>
      </c>
      <c r="Q1" s="120" t="s">
        <v>132</v>
      </c>
      <c r="R1" s="120" t="s">
        <v>135</v>
      </c>
      <c r="S1" s="120" t="s">
        <v>136</v>
      </c>
      <c r="T1" s="120" t="s">
        <v>137</v>
      </c>
      <c r="U1" s="120" t="s">
        <v>126</v>
      </c>
      <c r="V1" s="120" t="s">
        <v>129</v>
      </c>
      <c r="W1" s="120" t="s">
        <v>132</v>
      </c>
      <c r="X1" s="120" t="s">
        <v>135</v>
      </c>
      <c r="Y1" s="120" t="s">
        <v>138</v>
      </c>
      <c r="Z1" s="120" t="s">
        <v>139</v>
      </c>
      <c r="AA1" s="53" t="s">
        <v>140</v>
      </c>
      <c r="AB1" s="53" t="s">
        <v>141</v>
      </c>
      <c r="AC1" s="53" t="s">
        <v>142</v>
      </c>
      <c r="AD1" s="53" t="s">
        <v>143</v>
      </c>
      <c r="AE1" s="53" t="s">
        <v>144</v>
      </c>
      <c r="AF1" s="53" t="s">
        <v>145</v>
      </c>
      <c r="AG1" s="53" t="s">
        <v>146</v>
      </c>
    </row>
    <row r="2" customFormat="false" ht="12.2" hidden="false" customHeight="true" outlineLevel="0" collapsed="false">
      <c r="A2" s="53" t="s">
        <v>160</v>
      </c>
      <c r="O2" s="53" t="s">
        <v>160</v>
      </c>
      <c r="Z2" s="53" t="s">
        <v>160</v>
      </c>
    </row>
    <row r="3" customFormat="false" ht="12.2" hidden="false" customHeight="true" outlineLevel="0" collapsed="false">
      <c r="A3" s="53" t="s">
        <v>161</v>
      </c>
      <c r="B3" s="151" t="n">
        <v>1</v>
      </c>
      <c r="C3" s="0" t="n">
        <v>4318</v>
      </c>
      <c r="D3" s="0" t="n">
        <v>438822</v>
      </c>
      <c r="E3" s="120" t="n">
        <v>1</v>
      </c>
      <c r="F3" s="0" t="n">
        <v>135477</v>
      </c>
      <c r="G3" s="0" t="n">
        <v>443748813</v>
      </c>
      <c r="H3" s="0" t="n">
        <v>12618354</v>
      </c>
      <c r="I3" s="120" t="n">
        <v>1</v>
      </c>
      <c r="J3" s="0" t="n">
        <v>184195</v>
      </c>
      <c r="K3" s="0" t="n">
        <v>699443408</v>
      </c>
      <c r="L3" s="0" t="n">
        <v>62082700</v>
      </c>
      <c r="M3" s="0" t="n">
        <v>17129009</v>
      </c>
      <c r="N3" s="120" t="n">
        <v>1</v>
      </c>
      <c r="O3" s="0" t="n">
        <v>215989</v>
      </c>
      <c r="P3" s="0" t="n">
        <v>918088161</v>
      </c>
      <c r="Q3" s="0" t="n">
        <v>204647907</v>
      </c>
      <c r="R3" s="0" t="n">
        <v>220669146</v>
      </c>
      <c r="S3" s="0" t="n">
        <v>16899441</v>
      </c>
      <c r="T3" s="120" t="n">
        <v>1</v>
      </c>
      <c r="U3" s="120" t="n">
        <v>171851</v>
      </c>
      <c r="V3" s="120" t="n">
        <v>742776663</v>
      </c>
      <c r="W3" s="120" t="n">
        <v>201255418</v>
      </c>
      <c r="X3" s="120" t="n">
        <v>369922697</v>
      </c>
      <c r="Y3" s="120" t="n">
        <v>216240994</v>
      </c>
      <c r="Z3" s="120" t="n">
        <v>30893104</v>
      </c>
      <c r="AA3" s="152" t="n">
        <f aca="false">C3+F3+J3+O3+U3</f>
        <v>711830</v>
      </c>
      <c r="AB3" s="152" t="n">
        <f aca="false">D3+G3+K3+P3+V3</f>
        <v>2804495867</v>
      </c>
      <c r="AC3" s="152" t="n">
        <f aca="false">H3+L3+Q3+W3</f>
        <v>480604379</v>
      </c>
      <c r="AD3" s="152" t="n">
        <f aca="false">M3+R3+X3</f>
        <v>607720852</v>
      </c>
      <c r="AE3" s="152" t="n">
        <f aca="false">S3+Y3</f>
        <v>233140435</v>
      </c>
      <c r="AF3" s="152" t="n">
        <f aca="false">Z3</f>
        <v>30893104</v>
      </c>
      <c r="AG3" s="152" t="n">
        <f aca="false">SUM(AB3:AF3)</f>
        <v>4156854637</v>
      </c>
    </row>
    <row r="4" customFormat="false" ht="12.2" hidden="false" customHeight="true" outlineLevel="0" collapsed="false">
      <c r="A4" s="53" t="s">
        <v>161</v>
      </c>
      <c r="B4" s="151" t="n">
        <v>2</v>
      </c>
      <c r="C4" s="0" t="n">
        <v>3727</v>
      </c>
      <c r="D4" s="0" t="n">
        <v>828029</v>
      </c>
      <c r="E4" s="120" t="n">
        <v>2</v>
      </c>
      <c r="F4" s="0" t="n">
        <v>83893</v>
      </c>
      <c r="G4" s="0" t="n">
        <v>302626129</v>
      </c>
      <c r="H4" s="0" t="n">
        <v>8866459</v>
      </c>
      <c r="I4" s="120" t="n">
        <v>2</v>
      </c>
      <c r="J4" s="0" t="n">
        <v>132763</v>
      </c>
      <c r="K4" s="0" t="n">
        <v>540081211</v>
      </c>
      <c r="L4" s="0" t="n">
        <v>64192502</v>
      </c>
      <c r="M4" s="0" t="n">
        <v>21418543</v>
      </c>
      <c r="N4" s="120" t="n">
        <v>2</v>
      </c>
      <c r="O4" s="0" t="n">
        <v>147325</v>
      </c>
      <c r="P4" s="0" t="n">
        <v>649154814</v>
      </c>
      <c r="Q4" s="0" t="n">
        <v>156417115</v>
      </c>
      <c r="R4" s="0" t="n">
        <v>201470175</v>
      </c>
      <c r="S4" s="0" t="n">
        <v>29847844</v>
      </c>
      <c r="T4" s="120" t="n">
        <v>2</v>
      </c>
      <c r="U4" s="120" t="n">
        <v>105431</v>
      </c>
      <c r="V4" s="120" t="n">
        <v>467023773</v>
      </c>
      <c r="W4" s="120" t="n">
        <v>131295852</v>
      </c>
      <c r="X4" s="120" t="n">
        <v>257592864</v>
      </c>
      <c r="Y4" s="120" t="n">
        <v>185941364</v>
      </c>
      <c r="Z4" s="120" t="n">
        <v>39957999</v>
      </c>
      <c r="AA4" s="152" t="n">
        <f aca="false">C4+F4+J4+O4+U4</f>
        <v>473139</v>
      </c>
      <c r="AB4" s="152" t="n">
        <f aca="false">D4+G4+K4+P4+V4</f>
        <v>1959713956</v>
      </c>
      <c r="AC4" s="152" t="n">
        <f aca="false">H4+L4+Q4+W4</f>
        <v>360771928</v>
      </c>
      <c r="AD4" s="152" t="n">
        <f aca="false">M4+R4+X4</f>
        <v>480481582</v>
      </c>
      <c r="AE4" s="152" t="n">
        <f aca="false">S4+Y4</f>
        <v>215789208</v>
      </c>
      <c r="AF4" s="152" t="n">
        <f aca="false">Z4</f>
        <v>39957999</v>
      </c>
      <c r="AG4" s="152" t="n">
        <f aca="false">SUM(AB4:AF4)</f>
        <v>3056714673</v>
      </c>
    </row>
    <row r="5" customFormat="false" ht="12.2" hidden="false" customHeight="true" outlineLevel="0" collapsed="false">
      <c r="A5" s="53" t="s">
        <v>161</v>
      </c>
      <c r="B5" s="151" t="n">
        <v>3</v>
      </c>
      <c r="C5" s="0" t="n">
        <v>3303</v>
      </c>
      <c r="D5" s="0" t="n">
        <v>1260185</v>
      </c>
      <c r="E5" s="120" t="n">
        <v>3</v>
      </c>
      <c r="F5" s="0" t="n">
        <v>59328</v>
      </c>
      <c r="G5" s="0" t="n">
        <v>225766348</v>
      </c>
      <c r="H5" s="0" t="n">
        <v>8244165</v>
      </c>
      <c r="I5" s="120" t="n">
        <v>3</v>
      </c>
      <c r="J5" s="0" t="n">
        <v>108195</v>
      </c>
      <c r="K5" s="0" t="n">
        <v>457637892</v>
      </c>
      <c r="L5" s="0" t="n">
        <v>65888741</v>
      </c>
      <c r="M5" s="0" t="n">
        <v>27453311</v>
      </c>
      <c r="N5" s="120" t="n">
        <v>3</v>
      </c>
      <c r="O5" s="0" t="n">
        <v>113322</v>
      </c>
      <c r="P5" s="0" t="n">
        <v>509022773</v>
      </c>
      <c r="Q5" s="0" t="n">
        <v>130532606</v>
      </c>
      <c r="R5" s="0" t="n">
        <v>188143190</v>
      </c>
      <c r="S5" s="0" t="n">
        <v>39238862</v>
      </c>
      <c r="T5" s="120" t="n">
        <v>3</v>
      </c>
      <c r="U5" s="120" t="n">
        <v>79390</v>
      </c>
      <c r="V5" s="120" t="n">
        <v>354408346</v>
      </c>
      <c r="W5" s="120" t="n">
        <v>101749848</v>
      </c>
      <c r="X5" s="120" t="n">
        <v>209047588</v>
      </c>
      <c r="Y5" s="120" t="n">
        <v>172551229</v>
      </c>
      <c r="Z5" s="120" t="n">
        <v>54093590</v>
      </c>
      <c r="AA5" s="152" t="n">
        <f aca="false">C5+F5+J5+O5+U5</f>
        <v>363538</v>
      </c>
      <c r="AB5" s="152" t="n">
        <f aca="false">D5+G5+K5+P5+V5</f>
        <v>1548095544</v>
      </c>
      <c r="AC5" s="152" t="n">
        <f aca="false">H5+L5+Q5+W5</f>
        <v>306415360</v>
      </c>
      <c r="AD5" s="152" t="n">
        <f aca="false">M5+R5+X5</f>
        <v>424644089</v>
      </c>
      <c r="AE5" s="152" t="n">
        <f aca="false">S5+Y5</f>
        <v>211790091</v>
      </c>
      <c r="AF5" s="152" t="n">
        <f aca="false">Z5</f>
        <v>54093590</v>
      </c>
      <c r="AG5" s="152" t="n">
        <f aca="false">SUM(AB5:AF5)</f>
        <v>2545038674</v>
      </c>
    </row>
    <row r="6" customFormat="false" ht="12.2" hidden="false" customHeight="true" outlineLevel="0" collapsed="false">
      <c r="A6" s="53" t="s">
        <v>161</v>
      </c>
      <c r="B6" s="151" t="n">
        <v>4</v>
      </c>
      <c r="C6" s="0" t="n">
        <v>2539</v>
      </c>
      <c r="D6" s="0" t="n">
        <v>1322859</v>
      </c>
      <c r="E6" s="120" t="n">
        <v>4</v>
      </c>
      <c r="F6" s="0" t="n">
        <v>44961</v>
      </c>
      <c r="G6" s="0" t="n">
        <v>176796998</v>
      </c>
      <c r="H6" s="0" t="n">
        <v>7871993</v>
      </c>
      <c r="I6" s="120" t="n">
        <v>4</v>
      </c>
      <c r="J6" s="0" t="n">
        <v>90279</v>
      </c>
      <c r="K6" s="0" t="n">
        <v>391384676</v>
      </c>
      <c r="L6" s="0" t="n">
        <v>65701297</v>
      </c>
      <c r="M6" s="0" t="n">
        <v>30363042</v>
      </c>
      <c r="N6" s="120" t="n">
        <v>4</v>
      </c>
      <c r="O6" s="0" t="n">
        <v>85783</v>
      </c>
      <c r="P6" s="0" t="n">
        <v>380469428</v>
      </c>
      <c r="Q6" s="0" t="n">
        <v>103400245</v>
      </c>
      <c r="R6" s="0" t="n">
        <v>164021145</v>
      </c>
      <c r="S6" s="0" t="n">
        <v>39665177</v>
      </c>
      <c r="T6" s="120" t="n">
        <v>4</v>
      </c>
      <c r="U6" s="120" t="n">
        <v>65216</v>
      </c>
      <c r="V6" s="120" t="n">
        <v>288182770</v>
      </c>
      <c r="W6" s="120" t="n">
        <v>83990686</v>
      </c>
      <c r="X6" s="120" t="n">
        <v>179513487</v>
      </c>
      <c r="Y6" s="120" t="n">
        <v>164220488</v>
      </c>
      <c r="Z6" s="120" t="n">
        <v>69820470</v>
      </c>
      <c r="AA6" s="152" t="n">
        <f aca="false">C6+F6+J6+O6+U6</f>
        <v>288778</v>
      </c>
      <c r="AB6" s="152" t="n">
        <f aca="false">D6+G6+K6+P6+V6</f>
        <v>1238156731</v>
      </c>
      <c r="AC6" s="152" t="n">
        <f aca="false">H6+L6+Q6+W6</f>
        <v>260964221</v>
      </c>
      <c r="AD6" s="152" t="n">
        <f aca="false">M6+R6+X6</f>
        <v>373897674</v>
      </c>
      <c r="AE6" s="152" t="n">
        <f aca="false">S6+Y6</f>
        <v>203885665</v>
      </c>
      <c r="AF6" s="152" t="n">
        <f aca="false">Z6</f>
        <v>69820470</v>
      </c>
      <c r="AG6" s="152" t="n">
        <f aca="false">SUM(AB6:AF6)</f>
        <v>2146724761</v>
      </c>
    </row>
    <row r="7" customFormat="false" ht="12.2" hidden="false" customHeight="true" outlineLevel="0" collapsed="false">
      <c r="A7" s="53" t="s">
        <v>161</v>
      </c>
      <c r="B7" s="151" t="n">
        <v>5</v>
      </c>
      <c r="C7" s="0" t="n">
        <v>2176</v>
      </c>
      <c r="D7" s="0" t="n">
        <v>1634867</v>
      </c>
      <c r="E7" s="120" t="n">
        <v>5</v>
      </c>
      <c r="F7" s="0" t="n">
        <v>35039</v>
      </c>
      <c r="G7" s="0" t="n">
        <v>142483812</v>
      </c>
      <c r="H7" s="0" t="n">
        <v>7541197</v>
      </c>
      <c r="I7" s="120" t="n">
        <v>5</v>
      </c>
      <c r="J7" s="0" t="n">
        <v>74843</v>
      </c>
      <c r="K7" s="0" t="n">
        <v>335085077</v>
      </c>
      <c r="L7" s="0" t="n">
        <v>62770286</v>
      </c>
      <c r="M7" s="0" t="n">
        <v>31077359</v>
      </c>
      <c r="N7" s="120" t="n">
        <v>5</v>
      </c>
      <c r="O7" s="0" t="n">
        <v>62301</v>
      </c>
      <c r="P7" s="0" t="n">
        <v>276931772</v>
      </c>
      <c r="Q7" s="0" t="n">
        <v>78178528</v>
      </c>
      <c r="R7" s="0" t="n">
        <v>134036928</v>
      </c>
      <c r="S7" s="0" t="n">
        <v>34548412</v>
      </c>
      <c r="T7" s="120" t="n">
        <v>5</v>
      </c>
      <c r="U7" s="120" t="n">
        <v>47532</v>
      </c>
      <c r="V7" s="120" t="n">
        <v>210731251</v>
      </c>
      <c r="W7" s="120" t="n">
        <v>62074256</v>
      </c>
      <c r="X7" s="120" t="n">
        <v>136874418</v>
      </c>
      <c r="Y7" s="120" t="n">
        <v>137536036</v>
      </c>
      <c r="Z7" s="120" t="n">
        <v>68965666</v>
      </c>
      <c r="AA7" s="152" t="n">
        <f aca="false">C7+F7+J7+O7+U7</f>
        <v>221891</v>
      </c>
      <c r="AB7" s="152" t="n">
        <f aca="false">D7+G7+K7+P7+V7</f>
        <v>966866779</v>
      </c>
      <c r="AC7" s="152" t="n">
        <f aca="false">H7+L7+Q7+W7</f>
        <v>210564267</v>
      </c>
      <c r="AD7" s="152" t="n">
        <f aca="false">M7+R7+X7</f>
        <v>301988705</v>
      </c>
      <c r="AE7" s="152" t="n">
        <f aca="false">S7+Y7</f>
        <v>172084448</v>
      </c>
      <c r="AF7" s="152" t="n">
        <f aca="false">Z7</f>
        <v>68965666</v>
      </c>
      <c r="AG7" s="152" t="n">
        <f aca="false">SUM(AB7:AF7)</f>
        <v>1720469865</v>
      </c>
    </row>
    <row r="8" customFormat="false" ht="12.2" hidden="false" customHeight="true" outlineLevel="0" collapsed="false">
      <c r="A8" s="53" t="s">
        <v>161</v>
      </c>
      <c r="B8" s="151" t="n">
        <v>6</v>
      </c>
      <c r="C8" s="0" t="n">
        <v>2345</v>
      </c>
      <c r="D8" s="0" t="n">
        <v>2116745</v>
      </c>
      <c r="E8" s="120" t="n">
        <v>6</v>
      </c>
      <c r="F8" s="0" t="n">
        <v>26298</v>
      </c>
      <c r="G8" s="0" t="n">
        <v>110608497</v>
      </c>
      <c r="H8" s="0" t="n">
        <v>6992107</v>
      </c>
      <c r="I8" s="120" t="n">
        <v>6</v>
      </c>
      <c r="J8" s="0" t="n">
        <v>62884</v>
      </c>
      <c r="K8" s="0" t="n">
        <v>286109115</v>
      </c>
      <c r="L8" s="0" t="n">
        <v>59547463</v>
      </c>
      <c r="M8" s="0" t="n">
        <v>32536250</v>
      </c>
      <c r="N8" s="120" t="n">
        <v>6</v>
      </c>
      <c r="O8" s="0" t="n">
        <v>47279</v>
      </c>
      <c r="P8" s="0" t="n">
        <v>207138128</v>
      </c>
      <c r="Q8" s="0" t="n">
        <v>60159725</v>
      </c>
      <c r="R8" s="0" t="n">
        <v>111047786</v>
      </c>
      <c r="S8" s="0" t="n">
        <v>30998385</v>
      </c>
      <c r="T8" s="120" t="n">
        <v>6</v>
      </c>
      <c r="U8" s="120" t="n">
        <v>34593</v>
      </c>
      <c r="V8" s="120" t="n">
        <v>151571543</v>
      </c>
      <c r="W8" s="120" t="n">
        <v>44932355</v>
      </c>
      <c r="X8" s="120" t="n">
        <v>101633379</v>
      </c>
      <c r="Y8" s="120" t="n">
        <v>111667639</v>
      </c>
      <c r="Z8" s="120" t="n">
        <v>61305662</v>
      </c>
      <c r="AA8" s="152" t="n">
        <f aca="false">C8+F8+J8+O8+U8</f>
        <v>173399</v>
      </c>
      <c r="AB8" s="152" t="n">
        <f aca="false">D8+G8+K8+P8+V8</f>
        <v>757544028</v>
      </c>
      <c r="AC8" s="152" t="n">
        <f aca="false">H8+L8+Q8+W8</f>
        <v>171631650</v>
      </c>
      <c r="AD8" s="152" t="n">
        <f aca="false">M8+R8+X8</f>
        <v>245217415</v>
      </c>
      <c r="AE8" s="152" t="n">
        <f aca="false">S8+Y8</f>
        <v>142666024</v>
      </c>
      <c r="AF8" s="152" t="n">
        <f aca="false">Z8</f>
        <v>61305662</v>
      </c>
      <c r="AG8" s="152" t="n">
        <f aca="false">SUM(AB8:AF8)</f>
        <v>1378364779</v>
      </c>
    </row>
    <row r="9" customFormat="false" ht="12.2" hidden="false" customHeight="true" outlineLevel="0" collapsed="false">
      <c r="A9" s="53" t="s">
        <v>161</v>
      </c>
      <c r="B9" s="151" t="n">
        <v>7</v>
      </c>
      <c r="C9" s="0" t="n">
        <v>2336</v>
      </c>
      <c r="D9" s="0" t="n">
        <v>2737434</v>
      </c>
      <c r="E9" s="120" t="n">
        <v>7</v>
      </c>
      <c r="F9" s="0" t="n">
        <v>17625</v>
      </c>
      <c r="G9" s="0" t="n">
        <v>71402221</v>
      </c>
      <c r="H9" s="0" t="n">
        <v>4996691</v>
      </c>
      <c r="I9" s="120" t="n">
        <v>7</v>
      </c>
      <c r="J9" s="0" t="n">
        <v>47723</v>
      </c>
      <c r="K9" s="0" t="n">
        <v>203652952</v>
      </c>
      <c r="L9" s="0" t="n">
        <v>48921523</v>
      </c>
      <c r="M9" s="0" t="n">
        <v>26878268</v>
      </c>
      <c r="N9" s="120" t="n">
        <v>7</v>
      </c>
      <c r="O9" s="0" t="n">
        <v>35368</v>
      </c>
      <c r="P9" s="0" t="n">
        <v>145162714</v>
      </c>
      <c r="Q9" s="0" t="n">
        <v>42863872</v>
      </c>
      <c r="R9" s="0" t="n">
        <v>86634012</v>
      </c>
      <c r="S9" s="0" t="n">
        <v>25667065</v>
      </c>
      <c r="T9" s="120" t="n">
        <v>7</v>
      </c>
      <c r="U9" s="120" t="n">
        <v>25565</v>
      </c>
      <c r="V9" s="120" t="n">
        <v>107192837</v>
      </c>
      <c r="W9" s="120" t="n">
        <v>31871374</v>
      </c>
      <c r="X9" s="120" t="n">
        <v>73217023</v>
      </c>
      <c r="Y9" s="120" t="n">
        <v>88538341</v>
      </c>
      <c r="Z9" s="120" t="n">
        <v>52125756</v>
      </c>
      <c r="AA9" s="152" t="n">
        <f aca="false">C9+F9+J9+O9+U9</f>
        <v>128617</v>
      </c>
      <c r="AB9" s="152" t="n">
        <f aca="false">D9+G9+K9+P9+V9</f>
        <v>530148158</v>
      </c>
      <c r="AC9" s="152" t="n">
        <f aca="false">H9+L9+Q9+W9</f>
        <v>128653460</v>
      </c>
      <c r="AD9" s="152" t="n">
        <f aca="false">M9+R9+X9</f>
        <v>186729303</v>
      </c>
      <c r="AE9" s="152" t="n">
        <f aca="false">S9+Y9</f>
        <v>114205406</v>
      </c>
      <c r="AF9" s="152" t="n">
        <f aca="false">Z9</f>
        <v>52125756</v>
      </c>
      <c r="AG9" s="152" t="n">
        <f aca="false">SUM(AB9:AF9)</f>
        <v>1011862083</v>
      </c>
    </row>
    <row r="10" customFormat="false" ht="12.2" hidden="false" customHeight="true" outlineLevel="0" collapsed="false">
      <c r="A10" s="53" t="s">
        <v>161</v>
      </c>
      <c r="B10" s="151" t="n">
        <v>8</v>
      </c>
      <c r="C10" s="0" t="n">
        <v>2456</v>
      </c>
      <c r="D10" s="0" t="n">
        <v>3437630</v>
      </c>
      <c r="E10" s="120" t="n">
        <v>8</v>
      </c>
      <c r="F10" s="0" t="n">
        <v>13639</v>
      </c>
      <c r="G10" s="0" t="n">
        <v>53397691</v>
      </c>
      <c r="H10" s="0" t="n">
        <v>4199119</v>
      </c>
      <c r="I10" s="120" t="n">
        <v>8</v>
      </c>
      <c r="J10" s="0" t="n">
        <v>41419</v>
      </c>
      <c r="K10" s="0" t="n">
        <v>176508348</v>
      </c>
      <c r="L10" s="0" t="n">
        <v>45533529</v>
      </c>
      <c r="M10" s="0" t="n">
        <v>26622660</v>
      </c>
      <c r="N10" s="120" t="n">
        <v>8</v>
      </c>
      <c r="O10" s="0" t="n">
        <v>29446</v>
      </c>
      <c r="P10" s="0" t="n">
        <v>119129298</v>
      </c>
      <c r="Q10" s="0" t="n">
        <v>35387137</v>
      </c>
      <c r="R10" s="0" t="n">
        <v>74840693</v>
      </c>
      <c r="S10" s="0" t="n">
        <v>24367464</v>
      </c>
      <c r="T10" s="120" t="n">
        <v>8</v>
      </c>
      <c r="U10" s="120" t="n">
        <v>21846</v>
      </c>
      <c r="V10" s="120" t="n">
        <v>90433749</v>
      </c>
      <c r="W10" s="120" t="n">
        <v>26953304</v>
      </c>
      <c r="X10" s="120" t="n">
        <v>62210318</v>
      </c>
      <c r="Y10" s="120" t="n">
        <v>79256360</v>
      </c>
      <c r="Z10" s="120" t="n">
        <v>52245360</v>
      </c>
      <c r="AA10" s="152" t="n">
        <f aca="false">C10+F10+J10+O10+U10</f>
        <v>108806</v>
      </c>
      <c r="AB10" s="152" t="n">
        <f aca="false">D10+G10+K10+P10+V10</f>
        <v>442906716</v>
      </c>
      <c r="AC10" s="152" t="n">
        <f aca="false">H10+L10+Q10+W10</f>
        <v>112073089</v>
      </c>
      <c r="AD10" s="152" t="n">
        <f aca="false">M10+R10+X10</f>
        <v>163673671</v>
      </c>
      <c r="AE10" s="152" t="n">
        <f aca="false">S10+Y10</f>
        <v>103623824</v>
      </c>
      <c r="AF10" s="152" t="n">
        <f aca="false">Z10</f>
        <v>52245360</v>
      </c>
      <c r="AG10" s="152" t="n">
        <f aca="false">SUM(AB10:AF10)</f>
        <v>874522660</v>
      </c>
    </row>
    <row r="11" customFormat="false" ht="12.2" hidden="false" customHeight="true" outlineLevel="0" collapsed="false">
      <c r="A11" s="53" t="s">
        <v>161</v>
      </c>
      <c r="B11" s="151" t="n">
        <v>9</v>
      </c>
      <c r="C11" s="0" t="n">
        <v>2826</v>
      </c>
      <c r="D11" s="0" t="n">
        <v>4274770</v>
      </c>
      <c r="E11" s="120" t="n">
        <v>9</v>
      </c>
      <c r="F11" s="0" t="n">
        <v>11232</v>
      </c>
      <c r="G11" s="0" t="n">
        <v>44673273</v>
      </c>
      <c r="H11" s="0" t="n">
        <v>3964695</v>
      </c>
      <c r="I11" s="120" t="n">
        <v>9</v>
      </c>
      <c r="J11" s="0" t="n">
        <v>38518</v>
      </c>
      <c r="K11" s="0" t="n">
        <v>159519721</v>
      </c>
      <c r="L11" s="0" t="n">
        <v>43303061</v>
      </c>
      <c r="M11" s="0" t="n">
        <v>27567759</v>
      </c>
      <c r="N11" s="120" t="n">
        <v>9</v>
      </c>
      <c r="O11" s="0" t="n">
        <v>26731</v>
      </c>
      <c r="P11" s="0" t="n">
        <v>106289580</v>
      </c>
      <c r="Q11" s="0" t="n">
        <v>31707482</v>
      </c>
      <c r="R11" s="0" t="n">
        <v>69384654</v>
      </c>
      <c r="S11" s="0" t="n">
        <v>25352110</v>
      </c>
      <c r="T11" s="120" t="n">
        <v>9</v>
      </c>
      <c r="U11" s="120" t="n">
        <v>20696</v>
      </c>
      <c r="V11" s="120" t="n">
        <v>85348984</v>
      </c>
      <c r="W11" s="120" t="n">
        <v>25485214</v>
      </c>
      <c r="X11" s="120" t="n">
        <v>59053397</v>
      </c>
      <c r="Y11" s="120" t="n">
        <v>78257291</v>
      </c>
      <c r="Z11" s="120" t="n">
        <v>57659244</v>
      </c>
      <c r="AA11" s="152" t="n">
        <f aca="false">C11+F11+J11+O11+U11</f>
        <v>100003</v>
      </c>
      <c r="AB11" s="152" t="n">
        <f aca="false">D11+G11+K11+P11+V11</f>
        <v>400106328</v>
      </c>
      <c r="AC11" s="152" t="n">
        <f aca="false">H11+L11+Q11+W11</f>
        <v>104460452</v>
      </c>
      <c r="AD11" s="152" t="n">
        <f aca="false">M11+R11+X11</f>
        <v>156005810</v>
      </c>
      <c r="AE11" s="152" t="n">
        <f aca="false">S11+Y11</f>
        <v>103609401</v>
      </c>
      <c r="AF11" s="152" t="n">
        <f aca="false">Z11</f>
        <v>57659244</v>
      </c>
      <c r="AG11" s="152" t="n">
        <f aca="false">SUM(AB11:AF11)</f>
        <v>821841235</v>
      </c>
    </row>
    <row r="12" customFormat="false" ht="12.2" hidden="false" customHeight="true" outlineLevel="0" collapsed="false">
      <c r="A12" s="53" t="s">
        <v>161</v>
      </c>
      <c r="B12" s="151" t="n">
        <v>10</v>
      </c>
      <c r="C12" s="0" t="n">
        <v>4032</v>
      </c>
      <c r="D12" s="0" t="n">
        <v>7135196</v>
      </c>
      <c r="E12" s="120" t="n">
        <v>10</v>
      </c>
      <c r="F12" s="0" t="n">
        <v>9461</v>
      </c>
      <c r="G12" s="0" t="n">
        <v>39800188</v>
      </c>
      <c r="H12" s="0" t="n">
        <v>4023935</v>
      </c>
      <c r="I12" s="120" t="n">
        <v>10</v>
      </c>
      <c r="J12" s="0" t="n">
        <v>38490</v>
      </c>
      <c r="K12" s="0" t="n">
        <v>155063229</v>
      </c>
      <c r="L12" s="0" t="n">
        <v>43899841</v>
      </c>
      <c r="M12" s="0" t="n">
        <v>31279074</v>
      </c>
      <c r="N12" s="120" t="n">
        <v>10</v>
      </c>
      <c r="O12" s="0" t="n">
        <v>25550</v>
      </c>
      <c r="P12" s="0" t="n">
        <v>100336182</v>
      </c>
      <c r="Q12" s="0" t="n">
        <v>30014881</v>
      </c>
      <c r="R12" s="0" t="n">
        <v>67499822</v>
      </c>
      <c r="S12" s="0" t="n">
        <v>27780610</v>
      </c>
      <c r="T12" s="120" t="n">
        <v>10</v>
      </c>
      <c r="U12" s="120" t="n">
        <v>21297</v>
      </c>
      <c r="V12" s="120" t="n">
        <v>87158989</v>
      </c>
      <c r="W12" s="120" t="n">
        <v>26067774</v>
      </c>
      <c r="X12" s="120" t="n">
        <v>60537667</v>
      </c>
      <c r="Y12" s="120" t="n">
        <v>82719505</v>
      </c>
      <c r="Z12" s="120" t="n">
        <v>70442375</v>
      </c>
      <c r="AA12" s="152" t="n">
        <f aca="false">C12+F12+J12+O12+U12</f>
        <v>98830</v>
      </c>
      <c r="AB12" s="152" t="n">
        <f aca="false">D12+G12+K12+P12+V12</f>
        <v>389493784</v>
      </c>
      <c r="AC12" s="152" t="n">
        <f aca="false">H12+L12+Q12+W12</f>
        <v>104006431</v>
      </c>
      <c r="AD12" s="152" t="n">
        <f aca="false">M12+R12+X12</f>
        <v>159316563</v>
      </c>
      <c r="AE12" s="152" t="n">
        <f aca="false">S12+Y12</f>
        <v>110500115</v>
      </c>
      <c r="AF12" s="152" t="n">
        <f aca="false">Z12</f>
        <v>70442375</v>
      </c>
      <c r="AG12" s="152" t="n">
        <f aca="false">SUM(AB12:AF12)</f>
        <v>833759268</v>
      </c>
    </row>
    <row r="13" customFormat="false" ht="12.2" hidden="false" customHeight="true" outlineLevel="0" collapsed="false">
      <c r="A13" s="53" t="s">
        <v>161</v>
      </c>
      <c r="B13" s="151" t="n">
        <v>11</v>
      </c>
      <c r="C13" s="0" t="n">
        <v>10293</v>
      </c>
      <c r="D13" s="0" t="n">
        <v>21343133</v>
      </c>
      <c r="E13" s="120" t="n">
        <v>11</v>
      </c>
      <c r="F13" s="0" t="n">
        <v>8223</v>
      </c>
      <c r="G13" s="0" t="n">
        <v>32977962</v>
      </c>
      <c r="H13" s="0" t="n">
        <v>3866561</v>
      </c>
      <c r="I13" s="120" t="n">
        <v>11</v>
      </c>
      <c r="J13" s="0" t="n">
        <v>43728</v>
      </c>
      <c r="K13" s="0" t="n">
        <v>174318564</v>
      </c>
      <c r="L13" s="0" t="n">
        <v>51056951</v>
      </c>
      <c r="M13" s="0" t="n">
        <v>41594641</v>
      </c>
      <c r="N13" s="120" t="n">
        <v>11</v>
      </c>
      <c r="O13" s="0" t="n">
        <v>26837</v>
      </c>
      <c r="P13" s="0" t="n">
        <v>104127712</v>
      </c>
      <c r="Q13" s="0" t="n">
        <v>31221109</v>
      </c>
      <c r="R13" s="0" t="n">
        <v>71729873</v>
      </c>
      <c r="S13" s="0" t="n">
        <v>34394613</v>
      </c>
      <c r="T13" s="120" t="n">
        <v>11</v>
      </c>
      <c r="U13" s="120" t="n">
        <v>26495</v>
      </c>
      <c r="V13" s="120" t="n">
        <v>106816679</v>
      </c>
      <c r="W13" s="120" t="n">
        <v>31972217</v>
      </c>
      <c r="X13" s="120" t="n">
        <v>74384700</v>
      </c>
      <c r="Y13" s="120" t="n">
        <v>104214642</v>
      </c>
      <c r="Z13" s="120" t="n">
        <v>113868648</v>
      </c>
      <c r="AA13" s="152" t="n">
        <f aca="false">C13+F13+J13+O13+U13</f>
        <v>115576</v>
      </c>
      <c r="AB13" s="152" t="n">
        <f aca="false">D13+G13+K13+P13+V13</f>
        <v>439584050</v>
      </c>
      <c r="AC13" s="152" t="n">
        <f aca="false">H13+L13+Q13+W13</f>
        <v>118116838</v>
      </c>
      <c r="AD13" s="152" t="n">
        <f aca="false">M13+R13+X13</f>
        <v>187709214</v>
      </c>
      <c r="AE13" s="152" t="n">
        <f aca="false">S13+Y13</f>
        <v>138609255</v>
      </c>
      <c r="AF13" s="152" t="n">
        <f aca="false">Z13</f>
        <v>113868648</v>
      </c>
      <c r="AG13" s="152" t="n">
        <f aca="false">SUM(AB13:AF13)</f>
        <v>997888005</v>
      </c>
    </row>
    <row r="14" customFormat="false" ht="12.2" hidden="false" customHeight="true" outlineLevel="0" collapsed="false">
      <c r="A14" s="53" t="s">
        <v>161</v>
      </c>
      <c r="B14" s="151" t="n">
        <v>12</v>
      </c>
      <c r="C14" s="0" t="n">
        <v>644968</v>
      </c>
      <c r="D14" s="0" t="n">
        <v>1540701673</v>
      </c>
      <c r="E14" s="120" t="n">
        <v>12</v>
      </c>
      <c r="F14" s="0" t="n">
        <v>8393</v>
      </c>
      <c r="G14" s="0" t="n">
        <v>36856624</v>
      </c>
      <c r="H14" s="0" t="n">
        <v>5328782</v>
      </c>
      <c r="I14" s="120" t="n">
        <v>12</v>
      </c>
      <c r="J14" s="0" t="n">
        <v>79993</v>
      </c>
      <c r="K14" s="0" t="n">
        <v>317138140</v>
      </c>
      <c r="L14" s="0" t="n">
        <v>95181581</v>
      </c>
      <c r="M14" s="0" t="n">
        <v>101098335</v>
      </c>
      <c r="N14" s="120" t="n">
        <v>12</v>
      </c>
      <c r="O14" s="0" t="n">
        <v>43076</v>
      </c>
      <c r="P14" s="0" t="n">
        <v>163019906</v>
      </c>
      <c r="Q14" s="0" t="n">
        <v>48926101</v>
      </c>
      <c r="R14" s="0" t="n">
        <v>114093805</v>
      </c>
      <c r="S14" s="0" t="n">
        <v>72625162</v>
      </c>
      <c r="T14" s="120" t="n">
        <v>12</v>
      </c>
      <c r="U14" s="120" t="n">
        <v>74533</v>
      </c>
      <c r="V14" s="120" t="n">
        <v>292999438</v>
      </c>
      <c r="W14" s="120" t="n">
        <v>87929917</v>
      </c>
      <c r="X14" s="120" t="n">
        <v>205069521</v>
      </c>
      <c r="Y14" s="120" t="n">
        <v>292999438</v>
      </c>
      <c r="Z14" s="120" t="n">
        <v>602186520</v>
      </c>
      <c r="AA14" s="152" t="n">
        <f aca="false">C14+F14+J14+O14+U14</f>
        <v>850963</v>
      </c>
      <c r="AB14" s="152" t="n">
        <f aca="false">D14+G14+K14+P14+V14</f>
        <v>2350715781</v>
      </c>
      <c r="AC14" s="152" t="n">
        <f aca="false">H14+L14+Q14+W14</f>
        <v>237366381</v>
      </c>
      <c r="AD14" s="152" t="n">
        <f aca="false">M14+R14+X14</f>
        <v>420261661</v>
      </c>
      <c r="AE14" s="152" t="n">
        <f aca="false">S14+Y14</f>
        <v>365624600</v>
      </c>
      <c r="AF14" s="152" t="n">
        <f aca="false">Z14</f>
        <v>602186520</v>
      </c>
      <c r="AG14" s="152" t="n">
        <f aca="false">SUM(AB14:AF14)</f>
        <v>3976154943</v>
      </c>
    </row>
    <row r="15" customFormat="false" ht="12.2" hidden="false" customHeight="true" outlineLevel="0" collapsed="false">
      <c r="A15" s="53" t="s">
        <v>162</v>
      </c>
      <c r="B15" s="151" t="n">
        <v>1</v>
      </c>
      <c r="C15" s="0" t="n">
        <v>7</v>
      </c>
      <c r="D15" s="0" t="n">
        <v>459</v>
      </c>
      <c r="E15" s="120" t="n">
        <v>1</v>
      </c>
      <c r="F15" s="0" t="n">
        <v>856</v>
      </c>
      <c r="G15" s="0" t="n">
        <v>4202293</v>
      </c>
      <c r="H15" s="0" t="n">
        <v>292795</v>
      </c>
      <c r="I15" s="120" t="n">
        <v>1</v>
      </c>
      <c r="J15" s="0" t="n">
        <v>1736</v>
      </c>
      <c r="K15" s="0" t="n">
        <v>9793767</v>
      </c>
      <c r="L15" s="0" t="n">
        <v>935909</v>
      </c>
      <c r="M15" s="0" t="n">
        <v>463257</v>
      </c>
      <c r="N15" s="120" t="n">
        <v>1</v>
      </c>
      <c r="O15" s="0" t="n">
        <v>4429</v>
      </c>
      <c r="P15" s="0" t="n">
        <v>26242451</v>
      </c>
      <c r="Q15" s="0" t="n">
        <v>6013924</v>
      </c>
      <c r="R15" s="0" t="n">
        <v>6432981</v>
      </c>
      <c r="S15" s="0" t="n">
        <v>398927</v>
      </c>
      <c r="T15" s="120" t="n">
        <v>1</v>
      </c>
      <c r="U15" s="120" t="n">
        <v>7041</v>
      </c>
      <c r="V15" s="120" t="n">
        <v>38418341</v>
      </c>
      <c r="W15" s="120" t="n">
        <v>10888836</v>
      </c>
      <c r="X15" s="120" t="n">
        <v>20612142</v>
      </c>
      <c r="Y15" s="120" t="n">
        <v>12200422</v>
      </c>
      <c r="Z15" s="120" t="n">
        <v>1208776</v>
      </c>
      <c r="AA15" s="152" t="n">
        <f aca="false">C15+F15+J15+O15+U15</f>
        <v>14069</v>
      </c>
      <c r="AB15" s="152" t="n">
        <f aca="false">D15+G15+K15+P15+V15</f>
        <v>78657311</v>
      </c>
      <c r="AC15" s="152" t="n">
        <f aca="false">H15+L15+Q15+W15</f>
        <v>18131464</v>
      </c>
      <c r="AD15" s="152" t="n">
        <f aca="false">M15+R15+X15</f>
        <v>27508380</v>
      </c>
      <c r="AE15" s="152" t="n">
        <f aca="false">S15+Y15</f>
        <v>12599349</v>
      </c>
      <c r="AF15" s="152" t="n">
        <f aca="false">Z15</f>
        <v>1208776</v>
      </c>
      <c r="AG15" s="152" t="n">
        <f aca="false">SUM(AB15:AF15)</f>
        <v>138105280</v>
      </c>
    </row>
    <row r="16" customFormat="false" ht="12.2" hidden="false" customHeight="true" outlineLevel="0" collapsed="false">
      <c r="A16" s="53" t="s">
        <v>162</v>
      </c>
      <c r="B16" s="151" t="n">
        <v>2</v>
      </c>
      <c r="C16" s="0" t="n">
        <v>6</v>
      </c>
      <c r="D16" s="0" t="n">
        <v>2632</v>
      </c>
      <c r="E16" s="120" t="n">
        <v>2</v>
      </c>
      <c r="F16" s="0" t="n">
        <v>568</v>
      </c>
      <c r="G16" s="0" t="n">
        <v>2858558</v>
      </c>
      <c r="H16" s="0" t="n">
        <v>106912</v>
      </c>
      <c r="I16" s="120" t="n">
        <v>2</v>
      </c>
      <c r="J16" s="0" t="n">
        <v>1363</v>
      </c>
      <c r="K16" s="0" t="n">
        <v>8083777</v>
      </c>
      <c r="L16" s="0" t="n">
        <v>949101</v>
      </c>
      <c r="M16" s="0" t="n">
        <v>332918</v>
      </c>
      <c r="N16" s="120" t="n">
        <v>2</v>
      </c>
      <c r="O16" s="0" t="n">
        <v>3591</v>
      </c>
      <c r="P16" s="0" t="n">
        <v>21619513</v>
      </c>
      <c r="Q16" s="0" t="n">
        <v>5269208</v>
      </c>
      <c r="R16" s="0" t="n">
        <v>6572641</v>
      </c>
      <c r="S16" s="0" t="n">
        <v>816027</v>
      </c>
      <c r="T16" s="120" t="n">
        <v>2</v>
      </c>
      <c r="U16" s="120" t="n">
        <v>5062</v>
      </c>
      <c r="V16" s="120" t="n">
        <v>27699809</v>
      </c>
      <c r="W16" s="120" t="n">
        <v>7989667</v>
      </c>
      <c r="X16" s="120" t="n">
        <v>15931255</v>
      </c>
      <c r="Y16" s="120" t="n">
        <v>11503236</v>
      </c>
      <c r="Z16" s="120" t="n">
        <v>1831733</v>
      </c>
      <c r="AA16" s="152" t="n">
        <f aca="false">C16+F16+J16+O16+U16</f>
        <v>10590</v>
      </c>
      <c r="AB16" s="152" t="n">
        <f aca="false">D16+G16+K16+P16+V16</f>
        <v>60264289</v>
      </c>
      <c r="AC16" s="152" t="n">
        <f aca="false">H16+L16+Q16+W16</f>
        <v>14314888</v>
      </c>
      <c r="AD16" s="152" t="n">
        <f aca="false">M16+R16+X16</f>
        <v>22836814</v>
      </c>
      <c r="AE16" s="152" t="n">
        <f aca="false">S16+Y16</f>
        <v>12319263</v>
      </c>
      <c r="AF16" s="152" t="n">
        <f aca="false">Z16</f>
        <v>1831733</v>
      </c>
      <c r="AG16" s="152" t="n">
        <f aca="false">SUM(AB16:AF16)</f>
        <v>111566987</v>
      </c>
    </row>
    <row r="17" customFormat="false" ht="12.2" hidden="false" customHeight="true" outlineLevel="0" collapsed="false">
      <c r="A17" s="53" t="s">
        <v>162</v>
      </c>
      <c r="B17" s="151" t="n">
        <v>3</v>
      </c>
      <c r="C17" s="0" t="n">
        <v>5</v>
      </c>
      <c r="D17" s="0" t="n">
        <v>4397</v>
      </c>
      <c r="E17" s="120" t="n">
        <v>3</v>
      </c>
      <c r="F17" s="0" t="n">
        <v>507</v>
      </c>
      <c r="G17" s="0" t="n">
        <v>2939706</v>
      </c>
      <c r="H17" s="0" t="n">
        <v>124423</v>
      </c>
      <c r="I17" s="120" t="n">
        <v>3</v>
      </c>
      <c r="J17" s="0" t="n">
        <v>1372</v>
      </c>
      <c r="K17" s="0" t="n">
        <v>8677523</v>
      </c>
      <c r="L17" s="0" t="n">
        <v>1173103</v>
      </c>
      <c r="M17" s="0" t="n">
        <v>494727</v>
      </c>
      <c r="N17" s="120" t="n">
        <v>3</v>
      </c>
      <c r="O17" s="0" t="n">
        <v>3204</v>
      </c>
      <c r="P17" s="0" t="n">
        <v>19767757</v>
      </c>
      <c r="Q17" s="0" t="n">
        <v>5032134</v>
      </c>
      <c r="R17" s="0" t="n">
        <v>6907582</v>
      </c>
      <c r="S17" s="0" t="n">
        <v>1290559</v>
      </c>
      <c r="T17" s="120" t="n">
        <v>3</v>
      </c>
      <c r="U17" s="120" t="n">
        <v>4373</v>
      </c>
      <c r="V17" s="120" t="n">
        <v>23796802</v>
      </c>
      <c r="W17" s="120" t="n">
        <v>6974370</v>
      </c>
      <c r="X17" s="120" t="n">
        <v>14320149</v>
      </c>
      <c r="Y17" s="120" t="n">
        <v>11619046</v>
      </c>
      <c r="Z17" s="120" t="n">
        <v>2901217</v>
      </c>
      <c r="AA17" s="152" t="n">
        <f aca="false">C17+F17+J17+O17+U17</f>
        <v>9461</v>
      </c>
      <c r="AB17" s="152" t="n">
        <f aca="false">D17+G17+K17+P17+V17</f>
        <v>55186185</v>
      </c>
      <c r="AC17" s="152" t="n">
        <f aca="false">H17+L17+Q17+W17</f>
        <v>13304030</v>
      </c>
      <c r="AD17" s="152" t="n">
        <f aca="false">M17+R17+X17</f>
        <v>21722458</v>
      </c>
      <c r="AE17" s="152" t="n">
        <f aca="false">S17+Y17</f>
        <v>12909605</v>
      </c>
      <c r="AF17" s="152" t="n">
        <f aca="false">Z17</f>
        <v>2901217</v>
      </c>
      <c r="AG17" s="152" t="n">
        <f aca="false">SUM(AB17:AF17)</f>
        <v>106023495</v>
      </c>
    </row>
    <row r="18" customFormat="false" ht="12.2" hidden="false" customHeight="true" outlineLevel="0" collapsed="false">
      <c r="A18" s="53" t="s">
        <v>162</v>
      </c>
      <c r="B18" s="151" t="n">
        <v>4</v>
      </c>
      <c r="C18" s="0" t="n">
        <v>5</v>
      </c>
      <c r="D18" s="0" t="n">
        <v>5255</v>
      </c>
      <c r="E18" s="120" t="n">
        <v>4</v>
      </c>
      <c r="F18" s="0" t="n">
        <v>417</v>
      </c>
      <c r="G18" s="0" t="n">
        <v>2388496</v>
      </c>
      <c r="H18" s="0" t="n">
        <v>117182</v>
      </c>
      <c r="I18" s="120" t="n">
        <v>4</v>
      </c>
      <c r="J18" s="0" t="n">
        <v>1385</v>
      </c>
      <c r="K18" s="0" t="n">
        <v>8719167</v>
      </c>
      <c r="L18" s="0" t="n">
        <v>1363572</v>
      </c>
      <c r="M18" s="0" t="n">
        <v>664927</v>
      </c>
      <c r="N18" s="120" t="n">
        <v>4</v>
      </c>
      <c r="O18" s="0" t="n">
        <v>2896</v>
      </c>
      <c r="P18" s="0" t="n">
        <v>17466134</v>
      </c>
      <c r="Q18" s="0" t="n">
        <v>4705218</v>
      </c>
      <c r="R18" s="0" t="n">
        <v>7018287</v>
      </c>
      <c r="S18" s="0" t="n">
        <v>1618422</v>
      </c>
      <c r="T18" s="120" t="n">
        <v>4</v>
      </c>
      <c r="U18" s="120" t="n">
        <v>4057</v>
      </c>
      <c r="V18" s="120" t="n">
        <v>21803100</v>
      </c>
      <c r="W18" s="120" t="n">
        <v>6432931</v>
      </c>
      <c r="X18" s="120" t="n">
        <v>13682386</v>
      </c>
      <c r="Y18" s="120" t="n">
        <v>12216056</v>
      </c>
      <c r="Z18" s="120" t="n">
        <v>4241449</v>
      </c>
      <c r="AA18" s="152" t="n">
        <f aca="false">C18+F18+J18+O18+U18</f>
        <v>8760</v>
      </c>
      <c r="AB18" s="152" t="n">
        <f aca="false">D18+G18+K18+P18+V18</f>
        <v>50382152</v>
      </c>
      <c r="AC18" s="152" t="n">
        <f aca="false">H18+L18+Q18+W18</f>
        <v>12618903</v>
      </c>
      <c r="AD18" s="152" t="n">
        <f aca="false">M18+R18+X18</f>
        <v>21365600</v>
      </c>
      <c r="AE18" s="152" t="n">
        <f aca="false">S18+Y18</f>
        <v>13834478</v>
      </c>
      <c r="AF18" s="152" t="n">
        <f aca="false">Z18</f>
        <v>4241449</v>
      </c>
      <c r="AG18" s="152" t="n">
        <f aca="false">SUM(AB18:AF18)</f>
        <v>102442582</v>
      </c>
    </row>
    <row r="19" customFormat="false" ht="12.2" hidden="false" customHeight="true" outlineLevel="0" collapsed="false">
      <c r="A19" s="53" t="s">
        <v>162</v>
      </c>
      <c r="B19" s="151" t="n">
        <v>5</v>
      </c>
      <c r="C19" s="0" t="n">
        <v>5</v>
      </c>
      <c r="D19" s="0" t="n">
        <v>4416</v>
      </c>
      <c r="E19" s="120" t="n">
        <v>5</v>
      </c>
      <c r="F19" s="0" t="n">
        <v>391</v>
      </c>
      <c r="G19" s="0" t="n">
        <v>2273445</v>
      </c>
      <c r="H19" s="0" t="n">
        <v>133367</v>
      </c>
      <c r="I19" s="120" t="n">
        <v>5</v>
      </c>
      <c r="J19" s="0" t="n">
        <v>1543</v>
      </c>
      <c r="K19" s="0" t="n">
        <v>10092671</v>
      </c>
      <c r="L19" s="0" t="n">
        <v>1707955</v>
      </c>
      <c r="M19" s="0" t="n">
        <v>958177</v>
      </c>
      <c r="N19" s="120" t="n">
        <v>5</v>
      </c>
      <c r="O19" s="0" t="n">
        <v>2869</v>
      </c>
      <c r="P19" s="0" t="n">
        <v>17374338</v>
      </c>
      <c r="Q19" s="0" t="n">
        <v>4834267</v>
      </c>
      <c r="R19" s="0" t="n">
        <v>7513136</v>
      </c>
      <c r="S19" s="0" t="n">
        <v>2086251</v>
      </c>
      <c r="T19" s="120" t="n">
        <v>5</v>
      </c>
      <c r="U19" s="120" t="n">
        <v>3855</v>
      </c>
      <c r="V19" s="120" t="n">
        <v>21016403</v>
      </c>
      <c r="W19" s="120" t="n">
        <v>6255677</v>
      </c>
      <c r="X19" s="120" t="n">
        <v>13646462</v>
      </c>
      <c r="Y19" s="120" t="n">
        <v>12810453</v>
      </c>
      <c r="Z19" s="120" t="n">
        <v>5839908</v>
      </c>
      <c r="AA19" s="152" t="n">
        <f aca="false">C19+F19+J19+O19+U19</f>
        <v>8663</v>
      </c>
      <c r="AB19" s="152" t="n">
        <f aca="false">D19+G19+K19+P19+V19</f>
        <v>50761273</v>
      </c>
      <c r="AC19" s="152" t="n">
        <f aca="false">H19+L19+Q19+W19</f>
        <v>12931266</v>
      </c>
      <c r="AD19" s="152" t="n">
        <f aca="false">M19+R19+X19</f>
        <v>22117775</v>
      </c>
      <c r="AE19" s="152" t="n">
        <f aca="false">S19+Y19</f>
        <v>14896704</v>
      </c>
      <c r="AF19" s="152" t="n">
        <f aca="false">Z19</f>
        <v>5839908</v>
      </c>
      <c r="AG19" s="152" t="n">
        <f aca="false">SUM(AB19:AF19)</f>
        <v>106546926</v>
      </c>
    </row>
    <row r="20" customFormat="false" ht="12.2" hidden="false" customHeight="true" outlineLevel="0" collapsed="false">
      <c r="A20" s="53" t="s">
        <v>162</v>
      </c>
      <c r="B20" s="151" t="n">
        <v>6</v>
      </c>
      <c r="C20" s="0" t="n">
        <v>6</v>
      </c>
      <c r="D20" s="0" t="n">
        <v>14386</v>
      </c>
      <c r="E20" s="120" t="n">
        <v>6</v>
      </c>
      <c r="F20" s="0" t="n">
        <v>331</v>
      </c>
      <c r="G20" s="0" t="n">
        <v>2047754</v>
      </c>
      <c r="H20" s="0" t="n">
        <v>164754</v>
      </c>
      <c r="I20" s="120" t="n">
        <v>6</v>
      </c>
      <c r="J20" s="0" t="n">
        <v>1603</v>
      </c>
      <c r="K20" s="0" t="n">
        <v>10805564</v>
      </c>
      <c r="L20" s="0" t="n">
        <v>2032269</v>
      </c>
      <c r="M20" s="0" t="n">
        <v>1379334</v>
      </c>
      <c r="N20" s="120" t="n">
        <v>6</v>
      </c>
      <c r="O20" s="0" t="n">
        <v>2542</v>
      </c>
      <c r="P20" s="0" t="n">
        <v>15252353</v>
      </c>
      <c r="Q20" s="0" t="n">
        <v>4434966</v>
      </c>
      <c r="R20" s="0" t="n">
        <v>7445301</v>
      </c>
      <c r="S20" s="0" t="n">
        <v>2387992</v>
      </c>
      <c r="T20" s="120" t="n">
        <v>6</v>
      </c>
      <c r="U20" s="120" t="n">
        <v>3479</v>
      </c>
      <c r="V20" s="120" t="n">
        <v>18663424</v>
      </c>
      <c r="W20" s="120" t="n">
        <v>5576016</v>
      </c>
      <c r="X20" s="120" t="n">
        <v>12598103</v>
      </c>
      <c r="Y20" s="120" t="n">
        <v>12865493</v>
      </c>
      <c r="Z20" s="120" t="n">
        <v>6785259</v>
      </c>
      <c r="AA20" s="152" t="n">
        <f aca="false">C20+F20+J20+O20+U20</f>
        <v>7961</v>
      </c>
      <c r="AB20" s="152" t="n">
        <f aca="false">D20+G20+K20+P20+V20</f>
        <v>46783481</v>
      </c>
      <c r="AC20" s="152" t="n">
        <f aca="false">H20+L20+Q20+W20</f>
        <v>12208005</v>
      </c>
      <c r="AD20" s="152" t="n">
        <f aca="false">M20+R20+X20</f>
        <v>21422738</v>
      </c>
      <c r="AE20" s="152" t="n">
        <f aca="false">S20+Y20</f>
        <v>15253485</v>
      </c>
      <c r="AF20" s="152" t="n">
        <f aca="false">Z20</f>
        <v>6785259</v>
      </c>
      <c r="AG20" s="152" t="n">
        <f aca="false">SUM(AB20:AF20)</f>
        <v>102452968</v>
      </c>
    </row>
    <row r="21" customFormat="false" ht="12.2" hidden="false" customHeight="true" outlineLevel="0" collapsed="false">
      <c r="A21" s="53" t="s">
        <v>162</v>
      </c>
      <c r="B21" s="151" t="n">
        <v>7</v>
      </c>
      <c r="C21" s="0" t="n">
        <v>9</v>
      </c>
      <c r="D21" s="0" t="n">
        <v>14615</v>
      </c>
      <c r="E21" s="120" t="n">
        <v>7</v>
      </c>
      <c r="F21" s="0" t="n">
        <v>184</v>
      </c>
      <c r="G21" s="0" t="n">
        <v>1014775</v>
      </c>
      <c r="H21" s="0" t="n">
        <v>78304</v>
      </c>
      <c r="I21" s="120" t="n">
        <v>7</v>
      </c>
      <c r="J21" s="0" t="n">
        <v>952</v>
      </c>
      <c r="K21" s="0" t="n">
        <v>6034412</v>
      </c>
      <c r="L21" s="0" t="n">
        <v>1392268</v>
      </c>
      <c r="M21" s="0" t="n">
        <v>875419</v>
      </c>
      <c r="N21" s="120" t="n">
        <v>7</v>
      </c>
      <c r="O21" s="0" t="n">
        <v>1535</v>
      </c>
      <c r="P21" s="0" t="n">
        <v>8051221</v>
      </c>
      <c r="Q21" s="0" t="n">
        <v>2388215</v>
      </c>
      <c r="R21" s="0" t="n">
        <v>4694589</v>
      </c>
      <c r="S21" s="0" t="n">
        <v>1495199</v>
      </c>
      <c r="T21" s="120" t="n">
        <v>7</v>
      </c>
      <c r="U21" s="120" t="n">
        <v>2419</v>
      </c>
      <c r="V21" s="120" t="n">
        <v>12010180</v>
      </c>
      <c r="W21" s="120" t="n">
        <v>3592035</v>
      </c>
      <c r="X21" s="120" t="n">
        <v>8283006</v>
      </c>
      <c r="Y21" s="120" t="n">
        <v>9821228</v>
      </c>
      <c r="Z21" s="120" t="n">
        <v>5571841</v>
      </c>
      <c r="AA21" s="152" t="n">
        <f aca="false">C21+F21+J21+O21+U21</f>
        <v>5099</v>
      </c>
      <c r="AB21" s="152" t="n">
        <f aca="false">D21+G21+K21+P21+V21</f>
        <v>27125203</v>
      </c>
      <c r="AC21" s="152" t="n">
        <f aca="false">H21+L21+Q21+W21</f>
        <v>7450822</v>
      </c>
      <c r="AD21" s="152" t="n">
        <f aca="false">M21+R21+X21</f>
        <v>13853014</v>
      </c>
      <c r="AE21" s="152" t="n">
        <f aca="false">S21+Y21</f>
        <v>11316427</v>
      </c>
      <c r="AF21" s="152" t="n">
        <f aca="false">Z21</f>
        <v>5571841</v>
      </c>
      <c r="AG21" s="152" t="n">
        <f aca="false">SUM(AB21:AF21)</f>
        <v>65317307</v>
      </c>
    </row>
    <row r="22" customFormat="false" ht="12.2" hidden="false" customHeight="true" outlineLevel="0" collapsed="false">
      <c r="A22" s="53" t="s">
        <v>162</v>
      </c>
      <c r="B22" s="151" t="n">
        <v>8</v>
      </c>
      <c r="C22" s="0" t="n">
        <v>7</v>
      </c>
      <c r="D22" s="0" t="n">
        <v>17760</v>
      </c>
      <c r="E22" s="120" t="n">
        <v>8</v>
      </c>
      <c r="F22" s="0" t="n">
        <v>114</v>
      </c>
      <c r="G22" s="0" t="n">
        <v>660484</v>
      </c>
      <c r="H22" s="0" t="n">
        <v>55056</v>
      </c>
      <c r="I22" s="120" t="n">
        <v>8</v>
      </c>
      <c r="J22" s="0" t="n">
        <v>761</v>
      </c>
      <c r="K22" s="0" t="n">
        <v>4631218</v>
      </c>
      <c r="L22" s="0" t="n">
        <v>1162445</v>
      </c>
      <c r="M22" s="0" t="n">
        <v>734155</v>
      </c>
      <c r="N22" s="120" t="n">
        <v>8</v>
      </c>
      <c r="O22" s="0" t="n">
        <v>1248</v>
      </c>
      <c r="P22" s="0" t="n">
        <v>6348691</v>
      </c>
      <c r="Q22" s="0" t="n">
        <v>1893338</v>
      </c>
      <c r="R22" s="0" t="n">
        <v>3934737</v>
      </c>
      <c r="S22" s="0" t="n">
        <v>1388218</v>
      </c>
      <c r="T22" s="120" t="n">
        <v>8</v>
      </c>
      <c r="U22" s="120" t="n">
        <v>2247</v>
      </c>
      <c r="V22" s="120" t="n">
        <v>10843703</v>
      </c>
      <c r="W22" s="120" t="n">
        <v>3247528</v>
      </c>
      <c r="X22" s="120" t="n">
        <v>7531475</v>
      </c>
      <c r="Y22" s="120" t="n">
        <v>9495487</v>
      </c>
      <c r="Z22" s="120" t="n">
        <v>5763978</v>
      </c>
      <c r="AA22" s="152" t="n">
        <f aca="false">C22+F22+J22+O22+U22</f>
        <v>4377</v>
      </c>
      <c r="AB22" s="152" t="n">
        <f aca="false">D22+G22+K22+P22+V22</f>
        <v>22501856</v>
      </c>
      <c r="AC22" s="152" t="n">
        <f aca="false">H22+L22+Q22+W22</f>
        <v>6358367</v>
      </c>
      <c r="AD22" s="152" t="n">
        <f aca="false">M22+R22+X22</f>
        <v>12200367</v>
      </c>
      <c r="AE22" s="152" t="n">
        <f aca="false">S22+Y22</f>
        <v>10883705</v>
      </c>
      <c r="AF22" s="152" t="n">
        <f aca="false">Z22</f>
        <v>5763978</v>
      </c>
      <c r="AG22" s="152" t="n">
        <f aca="false">SUM(AB22:AF22)</f>
        <v>57708273</v>
      </c>
    </row>
    <row r="23" customFormat="false" ht="12.2" hidden="false" customHeight="true" outlineLevel="0" collapsed="false">
      <c r="A23" s="53" t="s">
        <v>162</v>
      </c>
      <c r="B23" s="151" t="n">
        <v>9</v>
      </c>
      <c r="C23" s="0" t="n">
        <v>13</v>
      </c>
      <c r="D23" s="0" t="n">
        <v>21427</v>
      </c>
      <c r="E23" s="120" t="n">
        <v>9</v>
      </c>
      <c r="F23" s="0" t="n">
        <v>81</v>
      </c>
      <c r="G23" s="0" t="n">
        <v>405434</v>
      </c>
      <c r="H23" s="0" t="n">
        <v>38030</v>
      </c>
      <c r="I23" s="120" t="n">
        <v>9</v>
      </c>
      <c r="J23" s="0" t="n">
        <v>676</v>
      </c>
      <c r="K23" s="0" t="n">
        <v>3926605</v>
      </c>
      <c r="L23" s="0" t="n">
        <v>1044071</v>
      </c>
      <c r="M23" s="0" t="n">
        <v>735135</v>
      </c>
      <c r="N23" s="120" t="n">
        <v>9</v>
      </c>
      <c r="O23" s="0" t="n">
        <v>1233</v>
      </c>
      <c r="P23" s="0" t="n">
        <v>6211705</v>
      </c>
      <c r="Q23" s="0" t="n">
        <v>1858291</v>
      </c>
      <c r="R23" s="0" t="n">
        <v>4011933</v>
      </c>
      <c r="S23" s="0" t="n">
        <v>1569236</v>
      </c>
      <c r="T23" s="120" t="n">
        <v>9</v>
      </c>
      <c r="U23" s="120" t="n">
        <v>2208</v>
      </c>
      <c r="V23" s="120" t="n">
        <v>10582924</v>
      </c>
      <c r="W23" s="120" t="n">
        <v>3171034</v>
      </c>
      <c r="X23" s="120" t="n">
        <v>7363677</v>
      </c>
      <c r="Y23" s="120" t="n">
        <v>9648224</v>
      </c>
      <c r="Z23" s="120" t="n">
        <v>6688031</v>
      </c>
      <c r="AA23" s="152" t="n">
        <f aca="false">C23+F23+J23+O23+U23</f>
        <v>4211</v>
      </c>
      <c r="AB23" s="152" t="n">
        <f aca="false">D23+G23+K23+P23+V23</f>
        <v>21148095</v>
      </c>
      <c r="AC23" s="152" t="n">
        <f aca="false">H23+L23+Q23+W23</f>
        <v>6111426</v>
      </c>
      <c r="AD23" s="152" t="n">
        <f aca="false">M23+R23+X23</f>
        <v>12110745</v>
      </c>
      <c r="AE23" s="152" t="n">
        <f aca="false">S23+Y23</f>
        <v>11217460</v>
      </c>
      <c r="AF23" s="152" t="n">
        <f aca="false">Z23</f>
        <v>6688031</v>
      </c>
      <c r="AG23" s="152" t="n">
        <f aca="false">SUM(AB23:AF23)</f>
        <v>57275757</v>
      </c>
    </row>
    <row r="24" customFormat="false" ht="12.2" hidden="false" customHeight="true" outlineLevel="0" collapsed="false">
      <c r="A24" s="53" t="s">
        <v>162</v>
      </c>
      <c r="B24" s="151" t="n">
        <v>10</v>
      </c>
      <c r="C24" s="0" t="n">
        <v>15</v>
      </c>
      <c r="D24" s="0" t="n">
        <v>60686</v>
      </c>
      <c r="E24" s="120" t="n">
        <v>10</v>
      </c>
      <c r="F24" s="0" t="n">
        <v>61</v>
      </c>
      <c r="G24" s="0" t="n">
        <v>310424</v>
      </c>
      <c r="H24" s="0" t="n">
        <v>32727</v>
      </c>
      <c r="I24" s="120" t="n">
        <v>10</v>
      </c>
      <c r="J24" s="0" t="n">
        <v>744</v>
      </c>
      <c r="K24" s="0" t="n">
        <v>4224240</v>
      </c>
      <c r="L24" s="0" t="n">
        <v>1177914</v>
      </c>
      <c r="M24" s="0" t="n">
        <v>909996</v>
      </c>
      <c r="N24" s="120" t="n">
        <v>10</v>
      </c>
      <c r="O24" s="0" t="n">
        <v>1115</v>
      </c>
      <c r="P24" s="0" t="n">
        <v>5281871</v>
      </c>
      <c r="Q24" s="0" t="n">
        <v>1582456</v>
      </c>
      <c r="R24" s="0" t="n">
        <v>3525476</v>
      </c>
      <c r="S24" s="0" t="n">
        <v>1580593</v>
      </c>
      <c r="T24" s="120" t="n">
        <v>10</v>
      </c>
      <c r="U24" s="120" t="n">
        <v>2448</v>
      </c>
      <c r="V24" s="120" t="n">
        <v>11437438</v>
      </c>
      <c r="W24" s="120" t="n">
        <v>3429920</v>
      </c>
      <c r="X24" s="120" t="n">
        <v>7981972</v>
      </c>
      <c r="Y24" s="120" t="n">
        <v>10856558</v>
      </c>
      <c r="Z24" s="120" t="n">
        <v>8986567</v>
      </c>
      <c r="AA24" s="152" t="n">
        <f aca="false">C24+F24+J24+O24+U24</f>
        <v>4383</v>
      </c>
      <c r="AB24" s="152" t="n">
        <f aca="false">D24+G24+K24+P24+V24</f>
        <v>21314659</v>
      </c>
      <c r="AC24" s="152" t="n">
        <f aca="false">H24+L24+Q24+W24</f>
        <v>6223017</v>
      </c>
      <c r="AD24" s="152" t="n">
        <f aca="false">M24+R24+X24</f>
        <v>12417444</v>
      </c>
      <c r="AE24" s="152" t="n">
        <f aca="false">S24+Y24</f>
        <v>12437151</v>
      </c>
      <c r="AF24" s="152" t="n">
        <f aca="false">Z24</f>
        <v>8986567</v>
      </c>
      <c r="AG24" s="152" t="n">
        <f aca="false">SUM(AB24:AF24)</f>
        <v>61378838</v>
      </c>
    </row>
    <row r="25" customFormat="false" ht="12.2" hidden="false" customHeight="true" outlineLevel="0" collapsed="false">
      <c r="A25" s="53" t="s">
        <v>162</v>
      </c>
      <c r="B25" s="151" t="n">
        <v>11</v>
      </c>
      <c r="C25" s="0" t="n">
        <v>34</v>
      </c>
      <c r="D25" s="0" t="n">
        <v>100752</v>
      </c>
      <c r="E25" s="120" t="n">
        <v>11</v>
      </c>
      <c r="F25" s="0" t="n">
        <v>70</v>
      </c>
      <c r="G25" s="0" t="n">
        <v>322910</v>
      </c>
      <c r="H25" s="0" t="n">
        <v>35413</v>
      </c>
      <c r="I25" s="120" t="n">
        <v>11</v>
      </c>
      <c r="J25" s="0" t="n">
        <v>781</v>
      </c>
      <c r="K25" s="0" t="n">
        <v>3932870</v>
      </c>
      <c r="L25" s="0" t="n">
        <v>1149898</v>
      </c>
      <c r="M25" s="0" t="n">
        <v>1008919</v>
      </c>
      <c r="N25" s="120" t="n">
        <v>11</v>
      </c>
      <c r="O25" s="0" t="n">
        <v>1201</v>
      </c>
      <c r="P25" s="0" t="n">
        <v>5236830</v>
      </c>
      <c r="Q25" s="0" t="n">
        <v>1570917</v>
      </c>
      <c r="R25" s="0" t="n">
        <v>3597233</v>
      </c>
      <c r="S25" s="0" t="n">
        <v>1878950</v>
      </c>
      <c r="T25" s="120" t="n">
        <v>11</v>
      </c>
      <c r="U25" s="120" t="n">
        <v>3254</v>
      </c>
      <c r="V25" s="120" t="n">
        <v>14802508</v>
      </c>
      <c r="W25" s="120" t="n">
        <v>4440587</v>
      </c>
      <c r="X25" s="120" t="n">
        <v>10346857</v>
      </c>
      <c r="Y25" s="120" t="n">
        <v>14473868</v>
      </c>
      <c r="Z25" s="120" t="n">
        <v>15482836</v>
      </c>
      <c r="AA25" s="152" t="n">
        <f aca="false">C25+F25+J25+O25+U25</f>
        <v>5340</v>
      </c>
      <c r="AB25" s="152" t="n">
        <f aca="false">D25+G25+K25+P25+V25</f>
        <v>24395870</v>
      </c>
      <c r="AC25" s="152" t="n">
        <f aca="false">H25+L25+Q25+W25</f>
        <v>7196815</v>
      </c>
      <c r="AD25" s="152" t="n">
        <f aca="false">M25+R25+X25</f>
        <v>14953009</v>
      </c>
      <c r="AE25" s="152" t="n">
        <f aca="false">S25+Y25</f>
        <v>16352818</v>
      </c>
      <c r="AF25" s="152" t="n">
        <f aca="false">Z25</f>
        <v>15482836</v>
      </c>
      <c r="AG25" s="152" t="n">
        <f aca="false">SUM(AB25:AF25)</f>
        <v>78381348</v>
      </c>
    </row>
    <row r="26" customFormat="false" ht="12.2" hidden="false" customHeight="true" outlineLevel="0" collapsed="false">
      <c r="A26" s="53" t="s">
        <v>162</v>
      </c>
      <c r="B26" s="151" t="n">
        <v>12</v>
      </c>
      <c r="C26" s="0" t="n">
        <v>2575</v>
      </c>
      <c r="D26" s="0" t="n">
        <v>9035400</v>
      </c>
      <c r="E26" s="120" t="n">
        <v>12</v>
      </c>
      <c r="F26" s="0" t="n">
        <v>72</v>
      </c>
      <c r="G26" s="0" t="n">
        <v>316452</v>
      </c>
      <c r="H26" s="0" t="n">
        <v>42427</v>
      </c>
      <c r="I26" s="120" t="n">
        <v>12</v>
      </c>
      <c r="J26" s="0" t="n">
        <v>1364</v>
      </c>
      <c r="K26" s="0" t="n">
        <v>5840129</v>
      </c>
      <c r="L26" s="0" t="n">
        <v>1752796</v>
      </c>
      <c r="M26" s="0" t="n">
        <v>1932474</v>
      </c>
      <c r="N26" s="120" t="n">
        <v>12</v>
      </c>
      <c r="O26" s="0" t="n">
        <v>2120</v>
      </c>
      <c r="P26" s="0" t="n">
        <v>8350439</v>
      </c>
      <c r="Q26" s="0" t="n">
        <v>2506305</v>
      </c>
      <c r="R26" s="0" t="n">
        <v>5844134</v>
      </c>
      <c r="S26" s="0" t="n">
        <v>3851592</v>
      </c>
      <c r="T26" s="120" t="n">
        <v>12</v>
      </c>
      <c r="U26" s="120" t="n">
        <v>11682</v>
      </c>
      <c r="V26" s="120" t="n">
        <v>48969287</v>
      </c>
      <c r="W26" s="120" t="n">
        <v>14696567</v>
      </c>
      <c r="X26" s="120" t="n">
        <v>34272720</v>
      </c>
      <c r="Y26" s="120" t="n">
        <v>48969287</v>
      </c>
      <c r="Z26" s="120" t="n">
        <v>101350144</v>
      </c>
      <c r="AA26" s="152" t="n">
        <f aca="false">C26+F26+J26+O26+U26</f>
        <v>17813</v>
      </c>
      <c r="AB26" s="152" t="n">
        <f aca="false">D26+G26+K26+P26+V26</f>
        <v>72511707</v>
      </c>
      <c r="AC26" s="152" t="n">
        <f aca="false">H26+L26+Q26+W26</f>
        <v>18998095</v>
      </c>
      <c r="AD26" s="152" t="n">
        <f aca="false">M26+R26+X26</f>
        <v>42049328</v>
      </c>
      <c r="AE26" s="152" t="n">
        <f aca="false">S26+Y26</f>
        <v>52820879</v>
      </c>
      <c r="AF26" s="152" t="n">
        <f aca="false">Z26</f>
        <v>101350144</v>
      </c>
      <c r="AG26" s="152" t="n">
        <f aca="false">SUM(AB26:AF26)</f>
        <v>287730153</v>
      </c>
    </row>
    <row r="27" customFormat="false" ht="12.2" hidden="false" customHeight="true" outlineLevel="0" collapsed="false">
      <c r="A27" s="53" t="s">
        <v>163</v>
      </c>
      <c r="B27" s="151" t="n">
        <v>1</v>
      </c>
      <c r="C27" s="0" t="n">
        <v>10</v>
      </c>
      <c r="D27" s="0" t="n">
        <v>1937</v>
      </c>
      <c r="E27" s="120" t="n">
        <v>1</v>
      </c>
      <c r="F27" s="0" t="n">
        <v>816</v>
      </c>
      <c r="G27" s="0" t="n">
        <v>3826237</v>
      </c>
      <c r="H27" s="0" t="n">
        <v>807141</v>
      </c>
      <c r="I27" s="120" t="n">
        <v>1</v>
      </c>
      <c r="J27" s="0" t="n">
        <v>1011</v>
      </c>
      <c r="K27" s="0" t="n">
        <v>5126627</v>
      </c>
      <c r="L27" s="0" t="n">
        <v>884566</v>
      </c>
      <c r="M27" s="0" t="n">
        <v>1479585</v>
      </c>
      <c r="N27" s="120" t="n">
        <v>1</v>
      </c>
      <c r="O27" s="0" t="n">
        <v>2161</v>
      </c>
      <c r="P27" s="0" t="n">
        <v>14914720</v>
      </c>
      <c r="Q27" s="0" t="n">
        <v>3347182</v>
      </c>
      <c r="R27" s="0" t="n">
        <v>3533712</v>
      </c>
      <c r="S27" s="0" t="n">
        <v>266807</v>
      </c>
      <c r="T27" s="120" t="n">
        <v>1</v>
      </c>
      <c r="U27" s="120" t="n">
        <v>5501</v>
      </c>
      <c r="V27" s="120" t="n">
        <v>34914629</v>
      </c>
      <c r="W27" s="120" t="n">
        <v>9715629</v>
      </c>
      <c r="X27" s="120" t="n">
        <v>17842009</v>
      </c>
      <c r="Y27" s="120" t="n">
        <v>10395823</v>
      </c>
      <c r="Z27" s="120" t="n">
        <v>1021692</v>
      </c>
      <c r="AA27" s="152" t="n">
        <f aca="false">C27+F27+J27+O27+U27</f>
        <v>9499</v>
      </c>
      <c r="AB27" s="152" t="n">
        <f aca="false">D27+G27+K27+P27+V27</f>
        <v>58784150</v>
      </c>
      <c r="AC27" s="152" t="n">
        <f aca="false">H27+L27+Q27+W27</f>
        <v>14754518</v>
      </c>
      <c r="AD27" s="152" t="n">
        <f aca="false">M27+R27+X27</f>
        <v>22855306</v>
      </c>
      <c r="AE27" s="152" t="n">
        <f aca="false">S27+Y27</f>
        <v>10662630</v>
      </c>
      <c r="AF27" s="152" t="n">
        <f aca="false">Z27</f>
        <v>1021692</v>
      </c>
      <c r="AG27" s="152" t="n">
        <f aca="false">SUM(AB27:AF27)</f>
        <v>108078296</v>
      </c>
    </row>
    <row r="28" customFormat="false" ht="12.2" hidden="false" customHeight="true" outlineLevel="0" collapsed="false">
      <c r="A28" s="53" t="s">
        <v>163</v>
      </c>
      <c r="B28" s="151" t="n">
        <v>2</v>
      </c>
      <c r="C28" s="0" t="n">
        <v>3</v>
      </c>
      <c r="D28" s="0" t="n">
        <v>1297</v>
      </c>
      <c r="E28" s="120" t="n">
        <v>2</v>
      </c>
      <c r="F28" s="0" t="n">
        <v>243</v>
      </c>
      <c r="G28" s="0" t="n">
        <v>1226989</v>
      </c>
      <c r="H28" s="0" t="n">
        <v>139376</v>
      </c>
      <c r="I28" s="120" t="n">
        <v>2</v>
      </c>
      <c r="J28" s="0" t="n">
        <v>592</v>
      </c>
      <c r="K28" s="0" t="n">
        <v>3548108</v>
      </c>
      <c r="L28" s="0" t="n">
        <v>482464</v>
      </c>
      <c r="M28" s="0" t="n">
        <v>384693</v>
      </c>
      <c r="N28" s="120" t="n">
        <v>2</v>
      </c>
      <c r="O28" s="0" t="n">
        <v>1979</v>
      </c>
      <c r="P28" s="0" t="n">
        <v>14078989</v>
      </c>
      <c r="Q28" s="0" t="n">
        <v>3350894</v>
      </c>
      <c r="R28" s="0" t="n">
        <v>4133961</v>
      </c>
      <c r="S28" s="0" t="n">
        <v>583716</v>
      </c>
      <c r="T28" s="120" t="n">
        <v>2</v>
      </c>
      <c r="U28" s="120" t="n">
        <v>4662</v>
      </c>
      <c r="V28" s="120" t="n">
        <v>28765050</v>
      </c>
      <c r="W28" s="120" t="n">
        <v>8217587</v>
      </c>
      <c r="X28" s="120" t="n">
        <v>16024667</v>
      </c>
      <c r="Y28" s="120" t="n">
        <v>11313847</v>
      </c>
      <c r="Z28" s="120" t="n">
        <v>2171220</v>
      </c>
      <c r="AA28" s="152" t="n">
        <f aca="false">C28+F28+J28+O28+U28</f>
        <v>7479</v>
      </c>
      <c r="AB28" s="152" t="n">
        <f aca="false">D28+G28+K28+P28+V28</f>
        <v>47620433</v>
      </c>
      <c r="AC28" s="152" t="n">
        <f aca="false">H28+L28+Q28+W28</f>
        <v>12190321</v>
      </c>
      <c r="AD28" s="152" t="n">
        <f aca="false">M28+R28+X28</f>
        <v>20543321</v>
      </c>
      <c r="AE28" s="152" t="n">
        <f aca="false">S28+Y28</f>
        <v>11897563</v>
      </c>
      <c r="AF28" s="152" t="n">
        <f aca="false">Z28</f>
        <v>2171220</v>
      </c>
      <c r="AG28" s="152" t="n">
        <f aca="false">SUM(AB28:AF28)</f>
        <v>94422858</v>
      </c>
    </row>
    <row r="29" customFormat="false" ht="12.2" hidden="false" customHeight="true" outlineLevel="0" collapsed="false">
      <c r="A29" s="53" t="s">
        <v>163</v>
      </c>
      <c r="B29" s="151" t="n">
        <v>3</v>
      </c>
      <c r="C29" s="0" t="n">
        <v>6</v>
      </c>
      <c r="D29" s="0" t="n">
        <v>4166</v>
      </c>
      <c r="E29" s="120" t="n">
        <v>3</v>
      </c>
      <c r="F29" s="0" t="n">
        <v>171</v>
      </c>
      <c r="G29" s="0" t="n">
        <v>983927</v>
      </c>
      <c r="H29" s="0" t="n">
        <v>70132</v>
      </c>
      <c r="I29" s="120" t="n">
        <v>3</v>
      </c>
      <c r="J29" s="0" t="n">
        <v>576</v>
      </c>
      <c r="K29" s="0" t="n">
        <v>3811212</v>
      </c>
      <c r="L29" s="0" t="n">
        <v>546788</v>
      </c>
      <c r="M29" s="0" t="n">
        <v>361105</v>
      </c>
      <c r="N29" s="120" t="n">
        <v>3</v>
      </c>
      <c r="O29" s="0" t="n">
        <v>1854</v>
      </c>
      <c r="P29" s="0" t="n">
        <v>13316041</v>
      </c>
      <c r="Q29" s="0" t="n">
        <v>3326858</v>
      </c>
      <c r="R29" s="0" t="n">
        <v>4503816</v>
      </c>
      <c r="S29" s="0" t="n">
        <v>957831</v>
      </c>
      <c r="T29" s="120" t="n">
        <v>3</v>
      </c>
      <c r="U29" s="120" t="n">
        <v>4643</v>
      </c>
      <c r="V29" s="120" t="n">
        <v>28420939</v>
      </c>
      <c r="W29" s="120" t="n">
        <v>8232585</v>
      </c>
      <c r="X29" s="120" t="n">
        <v>16582241</v>
      </c>
      <c r="Y29" s="120" t="n">
        <v>13294623</v>
      </c>
      <c r="Z29" s="120" t="n">
        <v>4350003</v>
      </c>
      <c r="AA29" s="152" t="n">
        <f aca="false">C29+F29+J29+O29+U29</f>
        <v>7250</v>
      </c>
      <c r="AB29" s="152" t="n">
        <f aca="false">D29+G29+K29+P29+V29</f>
        <v>46536285</v>
      </c>
      <c r="AC29" s="152" t="n">
        <f aca="false">H29+L29+Q29+W29</f>
        <v>12176363</v>
      </c>
      <c r="AD29" s="152" t="n">
        <f aca="false">M29+R29+X29</f>
        <v>21447162</v>
      </c>
      <c r="AE29" s="152" t="n">
        <f aca="false">S29+Y29</f>
        <v>14252454</v>
      </c>
      <c r="AF29" s="152" t="n">
        <f aca="false">Z29</f>
        <v>4350003</v>
      </c>
      <c r="AG29" s="152" t="n">
        <f aca="false">SUM(AB29:AF29)</f>
        <v>98762267</v>
      </c>
    </row>
    <row r="30" customFormat="false" ht="12.2" hidden="false" customHeight="true" outlineLevel="0" collapsed="false">
      <c r="A30" s="53" t="s">
        <v>163</v>
      </c>
      <c r="B30" s="151" t="n">
        <v>4</v>
      </c>
      <c r="C30" s="0" t="n">
        <v>3</v>
      </c>
      <c r="D30" s="0" t="n">
        <v>1828</v>
      </c>
      <c r="E30" s="120" t="n">
        <v>4</v>
      </c>
      <c r="F30" s="0" t="n">
        <v>126</v>
      </c>
      <c r="G30" s="0" t="n">
        <v>729455</v>
      </c>
      <c r="H30" s="0" t="n">
        <v>65631</v>
      </c>
      <c r="I30" s="120" t="n">
        <v>4</v>
      </c>
      <c r="J30" s="0" t="n">
        <v>563</v>
      </c>
      <c r="K30" s="0" t="n">
        <v>3900232</v>
      </c>
      <c r="L30" s="0" t="n">
        <v>651430</v>
      </c>
      <c r="M30" s="0" t="n">
        <v>435958</v>
      </c>
      <c r="N30" s="120" t="n">
        <v>4</v>
      </c>
      <c r="O30" s="0" t="n">
        <v>1791</v>
      </c>
      <c r="P30" s="0" t="n">
        <v>12789682</v>
      </c>
      <c r="Q30" s="0" t="n">
        <v>3399689</v>
      </c>
      <c r="R30" s="0" t="n">
        <v>5048342</v>
      </c>
      <c r="S30" s="0" t="n">
        <v>1333434</v>
      </c>
      <c r="T30" s="120" t="n">
        <v>4</v>
      </c>
      <c r="U30" s="120" t="n">
        <v>4812</v>
      </c>
      <c r="V30" s="120" t="n">
        <v>28249992</v>
      </c>
      <c r="W30" s="120" t="n">
        <v>8280978</v>
      </c>
      <c r="X30" s="120" t="n">
        <v>17363485</v>
      </c>
      <c r="Y30" s="120" t="n">
        <v>15282285</v>
      </c>
      <c r="Z30" s="120" t="n">
        <v>7086081</v>
      </c>
      <c r="AA30" s="152" t="n">
        <f aca="false">C30+F30+J30+O30+U30</f>
        <v>7295</v>
      </c>
      <c r="AB30" s="152" t="n">
        <f aca="false">D30+G30+K30+P30+V30</f>
        <v>45671189</v>
      </c>
      <c r="AC30" s="152" t="n">
        <f aca="false">H30+L30+Q30+W30</f>
        <v>12397728</v>
      </c>
      <c r="AD30" s="152" t="n">
        <f aca="false">M30+R30+X30</f>
        <v>22847785</v>
      </c>
      <c r="AE30" s="152" t="n">
        <f aca="false">S30+Y30</f>
        <v>16615719</v>
      </c>
      <c r="AF30" s="152" t="n">
        <f aca="false">Z30</f>
        <v>7086081</v>
      </c>
      <c r="AG30" s="152" t="n">
        <f aca="false">SUM(AB30:AF30)</f>
        <v>104618502</v>
      </c>
    </row>
    <row r="31" customFormat="false" ht="12.2" hidden="false" customHeight="true" outlineLevel="0" collapsed="false">
      <c r="A31" s="53" t="s">
        <v>163</v>
      </c>
      <c r="B31" s="151" t="n">
        <v>5</v>
      </c>
      <c r="C31" s="0" t="n">
        <v>4</v>
      </c>
      <c r="D31" s="0" t="n">
        <v>6530</v>
      </c>
      <c r="E31" s="120" t="n">
        <v>5</v>
      </c>
      <c r="F31" s="0" t="n">
        <v>90</v>
      </c>
      <c r="G31" s="0" t="n">
        <v>577429</v>
      </c>
      <c r="H31" s="0" t="n">
        <v>53346</v>
      </c>
      <c r="I31" s="120" t="n">
        <v>5</v>
      </c>
      <c r="J31" s="0" t="n">
        <v>588</v>
      </c>
      <c r="K31" s="0" t="n">
        <v>4294205</v>
      </c>
      <c r="L31" s="0" t="n">
        <v>773954</v>
      </c>
      <c r="M31" s="0" t="n">
        <v>542315</v>
      </c>
      <c r="N31" s="120" t="n">
        <v>5</v>
      </c>
      <c r="O31" s="0" t="n">
        <v>1629</v>
      </c>
      <c r="P31" s="0" t="n">
        <v>11773346</v>
      </c>
      <c r="Q31" s="0" t="n">
        <v>3294286</v>
      </c>
      <c r="R31" s="0" t="n">
        <v>5119675</v>
      </c>
      <c r="S31" s="0" t="n">
        <v>1550723</v>
      </c>
      <c r="T31" s="120" t="n">
        <v>5</v>
      </c>
      <c r="U31" s="120" t="n">
        <v>5091</v>
      </c>
      <c r="V31" s="120" t="n">
        <v>30158544</v>
      </c>
      <c r="W31" s="120" t="n">
        <v>8920974</v>
      </c>
      <c r="X31" s="120" t="n">
        <v>19337438</v>
      </c>
      <c r="Y31" s="120" t="n">
        <v>18127524</v>
      </c>
      <c r="Z31" s="120" t="n">
        <v>10601323</v>
      </c>
      <c r="AA31" s="152" t="n">
        <f aca="false">C31+F31+J31+O31+U31</f>
        <v>7402</v>
      </c>
      <c r="AB31" s="152" t="n">
        <f aca="false">D31+G31+K31+P31+V31</f>
        <v>46810054</v>
      </c>
      <c r="AC31" s="152" t="n">
        <f aca="false">H31+L31+Q31+W31</f>
        <v>13042560</v>
      </c>
      <c r="AD31" s="152" t="n">
        <f aca="false">M31+R31+X31</f>
        <v>24999428</v>
      </c>
      <c r="AE31" s="152" t="n">
        <f aca="false">S31+Y31</f>
        <v>19678247</v>
      </c>
      <c r="AF31" s="152" t="n">
        <f aca="false">Z31</f>
        <v>10601323</v>
      </c>
      <c r="AG31" s="152" t="n">
        <f aca="false">SUM(AB31:AF31)</f>
        <v>115131612</v>
      </c>
    </row>
    <row r="32" customFormat="false" ht="12.2" hidden="false" customHeight="true" outlineLevel="0" collapsed="false">
      <c r="A32" s="53" t="s">
        <v>163</v>
      </c>
      <c r="B32" s="151" t="n">
        <v>6</v>
      </c>
      <c r="C32" s="0" t="n">
        <v>4</v>
      </c>
      <c r="D32" s="0" t="n">
        <v>6889</v>
      </c>
      <c r="E32" s="120" t="n">
        <v>6</v>
      </c>
      <c r="F32" s="0" t="n">
        <v>87</v>
      </c>
      <c r="G32" s="0" t="n">
        <v>638054</v>
      </c>
      <c r="H32" s="0" t="n">
        <v>72941</v>
      </c>
      <c r="I32" s="120" t="n">
        <v>6</v>
      </c>
      <c r="J32" s="0" t="n">
        <v>673</v>
      </c>
      <c r="K32" s="0" t="n">
        <v>5095851</v>
      </c>
      <c r="L32" s="0" t="n">
        <v>1031696</v>
      </c>
      <c r="M32" s="0" t="n">
        <v>796171</v>
      </c>
      <c r="N32" s="120" t="n">
        <v>6</v>
      </c>
      <c r="O32" s="0" t="n">
        <v>1464</v>
      </c>
      <c r="P32" s="0" t="n">
        <v>10147895</v>
      </c>
      <c r="Q32" s="0" t="n">
        <v>2942385</v>
      </c>
      <c r="R32" s="0" t="n">
        <v>4955982</v>
      </c>
      <c r="S32" s="0" t="n">
        <v>1688109</v>
      </c>
      <c r="T32" s="120" t="n">
        <v>6</v>
      </c>
      <c r="U32" s="120" t="n">
        <v>4507</v>
      </c>
      <c r="V32" s="120" t="n">
        <v>25903559</v>
      </c>
      <c r="W32" s="120" t="n">
        <v>7701763</v>
      </c>
      <c r="X32" s="120" t="n">
        <v>17379537</v>
      </c>
      <c r="Y32" s="120" t="n">
        <v>17894015</v>
      </c>
      <c r="Z32" s="120" t="n">
        <v>12209680</v>
      </c>
      <c r="AA32" s="152" t="n">
        <f aca="false">C32+F32+J32+O32+U32</f>
        <v>6735</v>
      </c>
      <c r="AB32" s="152" t="n">
        <f aca="false">D32+G32+K32+P32+V32</f>
        <v>41792248</v>
      </c>
      <c r="AC32" s="152" t="n">
        <f aca="false">H32+L32+Q32+W32</f>
        <v>11748785</v>
      </c>
      <c r="AD32" s="152" t="n">
        <f aca="false">M32+R32+X32</f>
        <v>23131690</v>
      </c>
      <c r="AE32" s="152" t="n">
        <f aca="false">S32+Y32</f>
        <v>19582124</v>
      </c>
      <c r="AF32" s="152" t="n">
        <f aca="false">Z32</f>
        <v>12209680</v>
      </c>
      <c r="AG32" s="152" t="n">
        <f aca="false">SUM(AB32:AF32)</f>
        <v>108464527</v>
      </c>
    </row>
    <row r="33" customFormat="false" ht="12.2" hidden="false" customHeight="true" outlineLevel="0" collapsed="false">
      <c r="A33" s="53" t="s">
        <v>163</v>
      </c>
      <c r="B33" s="151" t="n">
        <v>7</v>
      </c>
      <c r="C33" s="0" t="n">
        <v>1</v>
      </c>
      <c r="D33" s="0" t="n">
        <v>2240</v>
      </c>
      <c r="E33" s="120" t="n">
        <v>7</v>
      </c>
      <c r="F33" s="0" t="n">
        <v>49</v>
      </c>
      <c r="G33" s="0" t="n">
        <v>328101</v>
      </c>
      <c r="H33" s="0" t="n">
        <v>28783</v>
      </c>
      <c r="I33" s="120" t="n">
        <v>7</v>
      </c>
      <c r="J33" s="0" t="n">
        <v>377</v>
      </c>
      <c r="K33" s="0" t="n">
        <v>2820774</v>
      </c>
      <c r="L33" s="0" t="n">
        <v>659782</v>
      </c>
      <c r="M33" s="0" t="n">
        <v>512996</v>
      </c>
      <c r="N33" s="120" t="n">
        <v>7</v>
      </c>
      <c r="O33" s="0" t="n">
        <v>942</v>
      </c>
      <c r="P33" s="0" t="n">
        <v>6147232</v>
      </c>
      <c r="Q33" s="0" t="n">
        <v>1811250</v>
      </c>
      <c r="R33" s="0" t="n">
        <v>3473105</v>
      </c>
      <c r="S33" s="0" t="n">
        <v>1219568</v>
      </c>
      <c r="T33" s="120" t="n">
        <v>7</v>
      </c>
      <c r="U33" s="120" t="n">
        <v>3513</v>
      </c>
      <c r="V33" s="120" t="n">
        <v>18630256</v>
      </c>
      <c r="W33" s="120" t="n">
        <v>5544894</v>
      </c>
      <c r="X33" s="120" t="n">
        <v>12712597</v>
      </c>
      <c r="Y33" s="120" t="n">
        <v>14884996</v>
      </c>
      <c r="Z33" s="120" t="n">
        <v>10885621</v>
      </c>
      <c r="AA33" s="152" t="n">
        <f aca="false">C33+F33+J33+O33+U33</f>
        <v>4882</v>
      </c>
      <c r="AB33" s="152" t="n">
        <f aca="false">D33+G33+K33+P33+V33</f>
        <v>27928603</v>
      </c>
      <c r="AC33" s="152" t="n">
        <f aca="false">H33+L33+Q33+W33</f>
        <v>8044709</v>
      </c>
      <c r="AD33" s="152" t="n">
        <f aca="false">M33+R33+X33</f>
        <v>16698698</v>
      </c>
      <c r="AE33" s="152" t="n">
        <f aca="false">S33+Y33</f>
        <v>16104564</v>
      </c>
      <c r="AF33" s="152" t="n">
        <f aca="false">Z33</f>
        <v>10885621</v>
      </c>
      <c r="AG33" s="152" t="n">
        <f aca="false">SUM(AB33:AF33)</f>
        <v>79662195</v>
      </c>
    </row>
    <row r="34" customFormat="false" ht="12.2" hidden="false" customHeight="true" outlineLevel="0" collapsed="false">
      <c r="A34" s="53" t="s">
        <v>163</v>
      </c>
      <c r="B34" s="151" t="n">
        <v>8</v>
      </c>
      <c r="C34" s="0" t="n">
        <v>1</v>
      </c>
      <c r="D34" s="0" t="n">
        <v>2623</v>
      </c>
      <c r="E34" s="120" t="n">
        <v>8</v>
      </c>
      <c r="F34" s="0" t="n">
        <v>19</v>
      </c>
      <c r="G34" s="0" t="n">
        <v>136272</v>
      </c>
      <c r="H34" s="0" t="n">
        <v>11345</v>
      </c>
      <c r="I34" s="120" t="n">
        <v>8</v>
      </c>
      <c r="J34" s="0" t="n">
        <v>322</v>
      </c>
      <c r="K34" s="0" t="n">
        <v>2432481</v>
      </c>
      <c r="L34" s="0" t="n">
        <v>602511</v>
      </c>
      <c r="M34" s="0" t="n">
        <v>422912</v>
      </c>
      <c r="N34" s="120" t="n">
        <v>8</v>
      </c>
      <c r="O34" s="0" t="n">
        <v>745</v>
      </c>
      <c r="P34" s="0" t="n">
        <v>4787731</v>
      </c>
      <c r="Q34" s="0" t="n">
        <v>1421668</v>
      </c>
      <c r="R34" s="0" t="n">
        <v>2896390</v>
      </c>
      <c r="S34" s="0" t="n">
        <v>1114671</v>
      </c>
      <c r="T34" s="120" t="n">
        <v>8</v>
      </c>
      <c r="U34" s="120" t="n">
        <v>3330</v>
      </c>
      <c r="V34" s="120" t="n">
        <v>17334487</v>
      </c>
      <c r="W34" s="120" t="n">
        <v>5168095</v>
      </c>
      <c r="X34" s="120" t="n">
        <v>11905724</v>
      </c>
      <c r="Y34" s="120" t="n">
        <v>14863022</v>
      </c>
      <c r="Z34" s="120" t="n">
        <v>12530473</v>
      </c>
      <c r="AA34" s="152" t="n">
        <f aca="false">C34+F34+J34+O34+U34</f>
        <v>4417</v>
      </c>
      <c r="AB34" s="152" t="n">
        <f aca="false">D34+G34+K34+P34+V34</f>
        <v>24693594</v>
      </c>
      <c r="AC34" s="152" t="n">
        <f aca="false">H34+L34+Q34+W34</f>
        <v>7203619</v>
      </c>
      <c r="AD34" s="152" t="n">
        <f aca="false">M34+R34+X34</f>
        <v>15225026</v>
      </c>
      <c r="AE34" s="152" t="n">
        <f aca="false">S34+Y34</f>
        <v>15977693</v>
      </c>
      <c r="AF34" s="152" t="n">
        <f aca="false">Z34</f>
        <v>12530473</v>
      </c>
      <c r="AG34" s="152" t="n">
        <f aca="false">SUM(AB34:AF34)</f>
        <v>75630405</v>
      </c>
    </row>
    <row r="35" customFormat="false" ht="12.2" hidden="false" customHeight="true" outlineLevel="0" collapsed="false">
      <c r="A35" s="53" t="s">
        <v>163</v>
      </c>
      <c r="B35" s="151" t="n">
        <v>9</v>
      </c>
      <c r="C35" s="0" t="n">
        <v>3</v>
      </c>
      <c r="D35" s="0" t="n">
        <v>6091</v>
      </c>
      <c r="E35" s="120" t="n">
        <v>9</v>
      </c>
      <c r="F35" s="0" t="n">
        <v>17</v>
      </c>
      <c r="G35" s="0" t="n">
        <v>100628</v>
      </c>
      <c r="H35" s="0" t="n">
        <v>9016</v>
      </c>
      <c r="I35" s="120" t="n">
        <v>9</v>
      </c>
      <c r="J35" s="0" t="n">
        <v>263</v>
      </c>
      <c r="K35" s="0" t="n">
        <v>1934237</v>
      </c>
      <c r="L35" s="0" t="n">
        <v>502888</v>
      </c>
      <c r="M35" s="0" t="n">
        <v>407149</v>
      </c>
      <c r="N35" s="120" t="n">
        <v>9</v>
      </c>
      <c r="O35" s="0" t="n">
        <v>631</v>
      </c>
      <c r="P35" s="0" t="n">
        <v>3878385</v>
      </c>
      <c r="Q35" s="0" t="n">
        <v>1158228</v>
      </c>
      <c r="R35" s="0" t="n">
        <v>2455000</v>
      </c>
      <c r="S35" s="0" t="n">
        <v>1040904</v>
      </c>
      <c r="T35" s="120" t="n">
        <v>9</v>
      </c>
      <c r="U35" s="120" t="n">
        <v>3417</v>
      </c>
      <c r="V35" s="120" t="n">
        <v>17227681</v>
      </c>
      <c r="W35" s="120" t="n">
        <v>5144300</v>
      </c>
      <c r="X35" s="120" t="n">
        <v>11912063</v>
      </c>
      <c r="Y35" s="120" t="n">
        <v>15543493</v>
      </c>
      <c r="Z35" s="120" t="n">
        <v>14747021</v>
      </c>
      <c r="AA35" s="152" t="n">
        <f aca="false">C35+F35+J35+O35+U35</f>
        <v>4331</v>
      </c>
      <c r="AB35" s="152" t="n">
        <f aca="false">D35+G35+K35+P35+V35</f>
        <v>23147022</v>
      </c>
      <c r="AC35" s="152" t="n">
        <f aca="false">H35+L35+Q35+W35</f>
        <v>6814432</v>
      </c>
      <c r="AD35" s="152" t="n">
        <f aca="false">M35+R35+X35</f>
        <v>14774212</v>
      </c>
      <c r="AE35" s="152" t="n">
        <f aca="false">S35+Y35</f>
        <v>16584397</v>
      </c>
      <c r="AF35" s="152" t="n">
        <f aca="false">Z35</f>
        <v>14747021</v>
      </c>
      <c r="AG35" s="152" t="n">
        <f aca="false">SUM(AB35:AF35)</f>
        <v>76067084</v>
      </c>
    </row>
    <row r="36" customFormat="false" ht="12.2" hidden="false" customHeight="true" outlineLevel="0" collapsed="false">
      <c r="A36" s="53" t="s">
        <v>163</v>
      </c>
      <c r="B36" s="151" t="n">
        <v>10</v>
      </c>
      <c r="C36" s="0" t="n">
        <v>2</v>
      </c>
      <c r="D36" s="0" t="n">
        <v>3521</v>
      </c>
      <c r="E36" s="120" t="n">
        <v>10</v>
      </c>
      <c r="F36" s="0" t="n">
        <v>8</v>
      </c>
      <c r="G36" s="0" t="n">
        <v>44244</v>
      </c>
      <c r="H36" s="0" t="n">
        <v>5119</v>
      </c>
      <c r="I36" s="120" t="n">
        <v>10</v>
      </c>
      <c r="J36" s="0" t="n">
        <v>285</v>
      </c>
      <c r="K36" s="0" t="n">
        <v>2090488</v>
      </c>
      <c r="L36" s="0" t="n">
        <v>573551</v>
      </c>
      <c r="M36" s="0" t="n">
        <v>497550</v>
      </c>
      <c r="N36" s="120" t="n">
        <v>10</v>
      </c>
      <c r="O36" s="0" t="n">
        <v>589</v>
      </c>
      <c r="P36" s="0" t="n">
        <v>3374881</v>
      </c>
      <c r="Q36" s="0" t="n">
        <v>1008956</v>
      </c>
      <c r="R36" s="0" t="n">
        <v>2221663</v>
      </c>
      <c r="S36" s="0" t="n">
        <v>1100047</v>
      </c>
      <c r="T36" s="120" t="n">
        <v>10</v>
      </c>
      <c r="U36" s="120" t="n">
        <v>4024</v>
      </c>
      <c r="V36" s="120" t="n">
        <v>19989526</v>
      </c>
      <c r="W36" s="120" t="n">
        <v>5976289</v>
      </c>
      <c r="X36" s="120" t="n">
        <v>13872224</v>
      </c>
      <c r="Y36" s="120" t="n">
        <v>18788635</v>
      </c>
      <c r="Z36" s="120" t="n">
        <v>21002597</v>
      </c>
      <c r="AA36" s="152" t="n">
        <f aca="false">C36+F36+J36+O36+U36</f>
        <v>4908</v>
      </c>
      <c r="AB36" s="152" t="n">
        <f aca="false">D36+G36+K36+P36+V36</f>
        <v>25502660</v>
      </c>
      <c r="AC36" s="152" t="n">
        <f aca="false">H36+L36+Q36+W36</f>
        <v>7563915</v>
      </c>
      <c r="AD36" s="152" t="n">
        <f aca="false">M36+R36+X36</f>
        <v>16591437</v>
      </c>
      <c r="AE36" s="152" t="n">
        <f aca="false">S36+Y36</f>
        <v>19888682</v>
      </c>
      <c r="AF36" s="152" t="n">
        <f aca="false">Z36</f>
        <v>21002597</v>
      </c>
      <c r="AG36" s="152" t="n">
        <f aca="false">SUM(AB36:AF36)</f>
        <v>90549291</v>
      </c>
      <c r="AI36" s="53" t="s">
        <v>164</v>
      </c>
    </row>
    <row r="37" customFormat="false" ht="12.2" hidden="false" customHeight="true" outlineLevel="0" collapsed="false">
      <c r="A37" s="53" t="s">
        <v>163</v>
      </c>
      <c r="B37" s="151" t="n">
        <v>11</v>
      </c>
      <c r="C37" s="0" t="n">
        <v>3</v>
      </c>
      <c r="D37" s="0" t="n">
        <v>7265</v>
      </c>
      <c r="E37" s="120" t="n">
        <v>11</v>
      </c>
      <c r="F37" s="0" t="n">
        <v>7</v>
      </c>
      <c r="G37" s="0" t="n">
        <v>33153</v>
      </c>
      <c r="H37" s="0" t="n">
        <v>4500</v>
      </c>
      <c r="I37" s="120" t="n">
        <v>11</v>
      </c>
      <c r="J37" s="0" t="n">
        <v>212</v>
      </c>
      <c r="K37" s="0" t="n">
        <v>1436373</v>
      </c>
      <c r="L37" s="0" t="n">
        <v>414056</v>
      </c>
      <c r="M37" s="0" t="n">
        <v>403023</v>
      </c>
      <c r="N37" s="120" t="n">
        <v>11</v>
      </c>
      <c r="O37" s="0" t="n">
        <v>568</v>
      </c>
      <c r="P37" s="0" t="n">
        <v>2865822</v>
      </c>
      <c r="Q37" s="0" t="n">
        <v>859489</v>
      </c>
      <c r="R37" s="0" t="n">
        <v>1958930</v>
      </c>
      <c r="S37" s="0" t="n">
        <v>1082454</v>
      </c>
      <c r="T37" s="120" t="n">
        <v>11</v>
      </c>
      <c r="U37" s="120" t="n">
        <v>5866</v>
      </c>
      <c r="V37" s="120" t="n">
        <v>27757884</v>
      </c>
      <c r="W37" s="120" t="n">
        <v>8308670</v>
      </c>
      <c r="X37" s="120" t="n">
        <v>19321811</v>
      </c>
      <c r="Y37" s="120" t="n">
        <v>26970270</v>
      </c>
      <c r="Z37" s="120" t="n">
        <v>39744140</v>
      </c>
      <c r="AA37" s="152" t="n">
        <f aca="false">C37+F37+J37+O37+U37</f>
        <v>6656</v>
      </c>
      <c r="AB37" s="152" t="n">
        <f aca="false">D37+G37+K37+P37+V37</f>
        <v>32100497</v>
      </c>
      <c r="AC37" s="152" t="n">
        <f aca="false">H37+L37+Q37+W37</f>
        <v>9586715</v>
      </c>
      <c r="AD37" s="152" t="n">
        <f aca="false">M37+R37+X37</f>
        <v>21683764</v>
      </c>
      <c r="AE37" s="152" t="n">
        <f aca="false">S37+Y37</f>
        <v>28052724</v>
      </c>
      <c r="AF37" s="152" t="n">
        <f aca="false">Z37</f>
        <v>39744140</v>
      </c>
      <c r="AG37" s="152" t="n">
        <f aca="false">SUM(AB37:AF37)</f>
        <v>131167840</v>
      </c>
    </row>
    <row r="38" customFormat="false" ht="12.2" hidden="false" customHeight="true" outlineLevel="0" collapsed="false">
      <c r="A38" s="53" t="s">
        <v>163</v>
      </c>
      <c r="B38" s="151" t="n">
        <v>12</v>
      </c>
      <c r="C38" s="0" t="n">
        <v>557</v>
      </c>
      <c r="D38" s="0" t="n">
        <v>1869661</v>
      </c>
      <c r="E38" s="120" t="n">
        <v>12</v>
      </c>
      <c r="F38" s="0" t="n">
        <v>3</v>
      </c>
      <c r="G38" s="0" t="n">
        <v>12234</v>
      </c>
      <c r="H38" s="0" t="n">
        <v>1717</v>
      </c>
      <c r="I38" s="120" t="n">
        <v>12</v>
      </c>
      <c r="J38" s="0" t="n">
        <v>246</v>
      </c>
      <c r="K38" s="0" t="n">
        <v>1289632</v>
      </c>
      <c r="L38" s="0" t="n">
        <v>387058</v>
      </c>
      <c r="M38" s="0" t="n">
        <v>438522</v>
      </c>
      <c r="N38" s="120" t="n">
        <v>12</v>
      </c>
      <c r="O38" s="0" t="n">
        <v>864</v>
      </c>
      <c r="P38" s="0" t="n">
        <v>3498008</v>
      </c>
      <c r="Q38" s="0" t="n">
        <v>1049931</v>
      </c>
      <c r="R38" s="0" t="n">
        <v>2448077</v>
      </c>
      <c r="S38" s="0" t="n">
        <v>1690036</v>
      </c>
      <c r="T38" s="120" t="n">
        <v>12</v>
      </c>
      <c r="U38" s="120" t="n">
        <v>25111</v>
      </c>
      <c r="V38" s="120" t="n">
        <v>108392014</v>
      </c>
      <c r="W38" s="120" t="n">
        <v>32528296</v>
      </c>
      <c r="X38" s="120" t="n">
        <v>75863718</v>
      </c>
      <c r="Y38" s="120" t="n">
        <v>108392014</v>
      </c>
      <c r="Z38" s="120" t="n">
        <v>442070918</v>
      </c>
      <c r="AA38" s="152" t="n">
        <f aca="false">C38+F38+J38+O38+U38</f>
        <v>26781</v>
      </c>
      <c r="AB38" s="152" t="n">
        <f aca="false">D38+G38+K38+P38+V38</f>
        <v>115061549</v>
      </c>
      <c r="AC38" s="152" t="n">
        <f aca="false">H38+L38+Q38+W38</f>
        <v>33967002</v>
      </c>
      <c r="AD38" s="152" t="n">
        <f aca="false">M38+R38+X38</f>
        <v>78750317</v>
      </c>
      <c r="AE38" s="152" t="n">
        <f aca="false">S38+Y38</f>
        <v>110082050</v>
      </c>
      <c r="AF38" s="152" t="n">
        <f aca="false">Z38</f>
        <v>442070918</v>
      </c>
      <c r="AG38" s="152" t="n">
        <f aca="false">SUM(AB38:AF38)</f>
        <v>779931836</v>
      </c>
      <c r="AI38" s="53" t="s">
        <v>165</v>
      </c>
      <c r="AJ38" s="53" t="s">
        <v>166</v>
      </c>
      <c r="AK38" s="53" t="s">
        <v>167</v>
      </c>
      <c r="AL38" s="53" t="s">
        <v>168</v>
      </c>
      <c r="AM38" s="53" t="s">
        <v>169</v>
      </c>
      <c r="AN38" s="53" t="s">
        <v>170</v>
      </c>
    </row>
    <row r="39" customFormat="false" ht="12.2" hidden="false" customHeight="true" outlineLevel="0" collapsed="false">
      <c r="A39" s="53" t="s">
        <v>151</v>
      </c>
      <c r="B39" s="151" t="n">
        <v>1</v>
      </c>
      <c r="C39" s="120" t="n">
        <f aca="false">C3+C15+C27</f>
        <v>4335</v>
      </c>
      <c r="D39" s="120" t="n">
        <f aca="false">D3+D15+D27</f>
        <v>441218</v>
      </c>
      <c r="F39" s="120" t="n">
        <f aca="false">F3+F15+F27</f>
        <v>137149</v>
      </c>
      <c r="G39" s="120" t="n">
        <f aca="false">G3+G15+G27</f>
        <v>451777343</v>
      </c>
      <c r="H39" s="120" t="n">
        <f aca="false">H3+H15+H27</f>
        <v>13718290</v>
      </c>
      <c r="J39" s="120" t="n">
        <f aca="false">J3+J15+J27</f>
        <v>186942</v>
      </c>
      <c r="K39" s="120" t="n">
        <f aca="false">K3+K15+K27</f>
        <v>714363802</v>
      </c>
      <c r="L39" s="120" t="n">
        <f aca="false">L3+L15+L27</f>
        <v>63903175</v>
      </c>
      <c r="M39" s="120" t="n">
        <f aca="false">M3+M15+M27</f>
        <v>19071851</v>
      </c>
      <c r="O39" s="120" t="n">
        <f aca="false">O3+O15+O27</f>
        <v>222579</v>
      </c>
      <c r="P39" s="120" t="n">
        <f aca="false">P3+P15+P27</f>
        <v>959245332</v>
      </c>
      <c r="Q39" s="120" t="n">
        <f aca="false">Q3+Q15+Q27</f>
        <v>214009013</v>
      </c>
      <c r="R39" s="120" t="n">
        <f aca="false">R3+R15+R27</f>
        <v>230635839</v>
      </c>
      <c r="S39" s="120" t="n">
        <f aca="false">S3+S15+S27</f>
        <v>17565175</v>
      </c>
      <c r="U39" s="120" t="n">
        <f aca="false">U3+U15+U27</f>
        <v>184393</v>
      </c>
      <c r="V39" s="120" t="n">
        <f aca="false">V3+V15+V27</f>
        <v>816109633</v>
      </c>
      <c r="W39" s="120" t="n">
        <f aca="false">W3+W15+W27</f>
        <v>221859883</v>
      </c>
      <c r="X39" s="120" t="n">
        <f aca="false">X3+X15+X27</f>
        <v>408376848</v>
      </c>
      <c r="Y39" s="120" t="n">
        <f aca="false">Y3+Y15+Y27</f>
        <v>238837239</v>
      </c>
      <c r="Z39" s="120" t="n">
        <f aca="false">Z3+Z15+Z27</f>
        <v>33123572</v>
      </c>
      <c r="AA39" s="152" t="n">
        <f aca="false">C39+F39+J39+O39+U39</f>
        <v>735398</v>
      </c>
      <c r="AB39" s="152" t="n">
        <f aca="false">D39+G39+K39+P39+V39</f>
        <v>2941937328</v>
      </c>
      <c r="AC39" s="152" t="n">
        <f aca="false">H39+L39+Q39+W39</f>
        <v>513490361</v>
      </c>
      <c r="AD39" s="152" t="n">
        <f aca="false">M39+R39+X39</f>
        <v>658084538</v>
      </c>
      <c r="AE39" s="152" t="n">
        <f aca="false">S39+Y39</f>
        <v>256402414</v>
      </c>
      <c r="AF39" s="152" t="n">
        <f aca="false">Z39</f>
        <v>33123572</v>
      </c>
      <c r="AG39" s="152" t="n">
        <f aca="false">SUM(AB39:AF39)</f>
        <v>4403038213</v>
      </c>
      <c r="AH39" s="152" t="n">
        <f aca="false">O39+U39</f>
        <v>406972</v>
      </c>
      <c r="AI39" s="152" t="n">
        <f aca="false">P39+V39</f>
        <v>1775354965</v>
      </c>
      <c r="AJ39" s="152" t="n">
        <f aca="false">Q39+W39</f>
        <v>435868896</v>
      </c>
      <c r="AK39" s="152" t="n">
        <f aca="false">R39+X39</f>
        <v>639012687</v>
      </c>
      <c r="AL39" s="152" t="n">
        <f aca="false">S39+Y39</f>
        <v>256402414</v>
      </c>
      <c r="AM39" s="152" t="n">
        <f aca="false">Z39</f>
        <v>33123572</v>
      </c>
    </row>
    <row r="40" customFormat="false" ht="12.2" hidden="false" customHeight="true" outlineLevel="0" collapsed="false">
      <c r="A40" s="53" t="s">
        <v>151</v>
      </c>
      <c r="B40" s="151" t="n">
        <v>2</v>
      </c>
      <c r="C40" s="120" t="n">
        <f aca="false">C4+C16+C28</f>
        <v>3736</v>
      </c>
      <c r="D40" s="120" t="n">
        <f aca="false">D4+D16+D28</f>
        <v>831958</v>
      </c>
      <c r="F40" s="120" t="n">
        <f aca="false">F4+F16+F28</f>
        <v>84704</v>
      </c>
      <c r="G40" s="120" t="n">
        <f aca="false">G4+G16+G28</f>
        <v>306711676</v>
      </c>
      <c r="H40" s="120" t="n">
        <f aca="false">H4+H16+H28</f>
        <v>9112747</v>
      </c>
      <c r="J40" s="120" t="n">
        <f aca="false">J4+J16+J28</f>
        <v>134718</v>
      </c>
      <c r="K40" s="120" t="n">
        <f aca="false">K4+K16+K28</f>
        <v>551713096</v>
      </c>
      <c r="L40" s="120" t="n">
        <f aca="false">L4+L16+L28</f>
        <v>65624067</v>
      </c>
      <c r="M40" s="120" t="n">
        <f aca="false">M4+M16+M28</f>
        <v>22136154</v>
      </c>
      <c r="O40" s="120" t="n">
        <f aca="false">O4+O16+O28</f>
        <v>152895</v>
      </c>
      <c r="P40" s="120" t="n">
        <f aca="false">P4+P16+P28</f>
        <v>684853316</v>
      </c>
      <c r="Q40" s="120" t="n">
        <f aca="false">Q4+Q16+Q28</f>
        <v>165037217</v>
      </c>
      <c r="R40" s="120" t="n">
        <f aca="false">R4+R16+R28</f>
        <v>212176777</v>
      </c>
      <c r="S40" s="120" t="n">
        <f aca="false">S4+S16+S28</f>
        <v>31247587</v>
      </c>
      <c r="U40" s="120" t="n">
        <f aca="false">U4+U16+U28</f>
        <v>115155</v>
      </c>
      <c r="V40" s="120" t="n">
        <f aca="false">V4+V16+V28</f>
        <v>523488632</v>
      </c>
      <c r="W40" s="120" t="n">
        <f aca="false">W4+W16+W28</f>
        <v>147503106</v>
      </c>
      <c r="X40" s="120" t="n">
        <f aca="false">X4+X16+X28</f>
        <v>289548786</v>
      </c>
      <c r="Y40" s="120" t="n">
        <f aca="false">Y4+Y16+Y28</f>
        <v>208758447</v>
      </c>
      <c r="Z40" s="120" t="n">
        <f aca="false">Z4+Z16+Z28</f>
        <v>43960952</v>
      </c>
      <c r="AA40" s="152" t="n">
        <f aca="false">C40+F40+J40+O40+U40</f>
        <v>491208</v>
      </c>
      <c r="AB40" s="152" t="n">
        <f aca="false">D40+G40+K40+P40+V40</f>
        <v>2067598678</v>
      </c>
      <c r="AC40" s="152" t="n">
        <f aca="false">H40+L40+Q40+W40</f>
        <v>387277137</v>
      </c>
      <c r="AD40" s="152" t="n">
        <f aca="false">M40+R40+X40</f>
        <v>523861717</v>
      </c>
      <c r="AE40" s="152" t="n">
        <f aca="false">S40+Y40</f>
        <v>240006034</v>
      </c>
      <c r="AF40" s="152" t="n">
        <f aca="false">Z40</f>
        <v>43960952</v>
      </c>
      <c r="AG40" s="152" t="n">
        <f aca="false">SUM(AB40:AF40)</f>
        <v>3262704518</v>
      </c>
      <c r="AH40" s="152" t="n">
        <f aca="false">O40+U40</f>
        <v>268050</v>
      </c>
      <c r="AI40" s="152" t="n">
        <f aca="false">P40+V40</f>
        <v>1208341948</v>
      </c>
      <c r="AJ40" s="152" t="n">
        <f aca="false">Q40+W40</f>
        <v>312540323</v>
      </c>
      <c r="AK40" s="152" t="n">
        <f aca="false">R40+X40</f>
        <v>501725563</v>
      </c>
      <c r="AL40" s="152" t="n">
        <f aca="false">S40+Y40</f>
        <v>240006034</v>
      </c>
      <c r="AM40" s="152" t="n">
        <f aca="false">Z40</f>
        <v>43960952</v>
      </c>
    </row>
    <row r="41" customFormat="false" ht="12.2" hidden="false" customHeight="true" outlineLevel="0" collapsed="false">
      <c r="A41" s="53" t="s">
        <v>151</v>
      </c>
      <c r="B41" s="151" t="n">
        <v>3</v>
      </c>
      <c r="C41" s="120" t="n">
        <f aca="false">C5+C17+C29</f>
        <v>3314</v>
      </c>
      <c r="D41" s="120" t="n">
        <f aca="false">D5+D17+D29</f>
        <v>1268748</v>
      </c>
      <c r="F41" s="120" t="n">
        <f aca="false">F5+F17+F29</f>
        <v>60006</v>
      </c>
      <c r="G41" s="120" t="n">
        <f aca="false">G5+G17+G29</f>
        <v>229689981</v>
      </c>
      <c r="H41" s="120" t="n">
        <f aca="false">H5+H17+H29</f>
        <v>8438720</v>
      </c>
      <c r="J41" s="120" t="n">
        <f aca="false">J5+J17+J29</f>
        <v>110143</v>
      </c>
      <c r="K41" s="120" t="n">
        <f aca="false">K5+K17+K29</f>
        <v>470126627</v>
      </c>
      <c r="L41" s="120" t="n">
        <f aca="false">L5+L17+L29</f>
        <v>67608632</v>
      </c>
      <c r="M41" s="120" t="n">
        <f aca="false">M5+M17+M29</f>
        <v>28309143</v>
      </c>
      <c r="O41" s="120" t="n">
        <f aca="false">O5+O17+O29</f>
        <v>118380</v>
      </c>
      <c r="P41" s="120" t="n">
        <f aca="false">P5+P17+P29</f>
        <v>542106571</v>
      </c>
      <c r="Q41" s="120" t="n">
        <f aca="false">Q5+Q17+Q29</f>
        <v>138891598</v>
      </c>
      <c r="R41" s="120" t="n">
        <f aca="false">R5+R17+R29</f>
        <v>199554588</v>
      </c>
      <c r="S41" s="120" t="n">
        <f aca="false">S5+S17+S29</f>
        <v>41487252</v>
      </c>
      <c r="U41" s="120" t="n">
        <f aca="false">U5+U17+U29</f>
        <v>88406</v>
      </c>
      <c r="V41" s="120" t="n">
        <f aca="false">V5+V17+V29</f>
        <v>406626087</v>
      </c>
      <c r="W41" s="120" t="n">
        <f aca="false">W5+W17+W29</f>
        <v>116956803</v>
      </c>
      <c r="X41" s="120" t="n">
        <f aca="false">X5+X17+X29</f>
        <v>239949978</v>
      </c>
      <c r="Y41" s="120" t="n">
        <f aca="false">Y5+Y17+Y29</f>
        <v>197464898</v>
      </c>
      <c r="Z41" s="120" t="n">
        <f aca="false">Z5+Z17+Z29</f>
        <v>61344810</v>
      </c>
      <c r="AA41" s="152" t="n">
        <f aca="false">C41+F41+J41+O41+U41</f>
        <v>380249</v>
      </c>
      <c r="AB41" s="152" t="n">
        <f aca="false">D41+G41+K41+P41+V41</f>
        <v>1649818014</v>
      </c>
      <c r="AC41" s="152" t="n">
        <f aca="false">H41+L41+Q41+W41</f>
        <v>331895753</v>
      </c>
      <c r="AD41" s="152" t="n">
        <f aca="false">M41+R41+X41</f>
        <v>467813709</v>
      </c>
      <c r="AE41" s="152" t="n">
        <f aca="false">S41+Y41</f>
        <v>238952150</v>
      </c>
      <c r="AF41" s="152" t="n">
        <f aca="false">Z41</f>
        <v>61344810</v>
      </c>
      <c r="AG41" s="152" t="n">
        <f aca="false">SUM(AB41:AF41)</f>
        <v>2749824436</v>
      </c>
      <c r="AH41" s="152" t="n">
        <f aca="false">O41+U41</f>
        <v>206786</v>
      </c>
      <c r="AI41" s="152" t="n">
        <f aca="false">P41+V41</f>
        <v>948732658</v>
      </c>
      <c r="AJ41" s="152" t="n">
        <f aca="false">Q41+W41</f>
        <v>255848401</v>
      </c>
      <c r="AK41" s="152" t="n">
        <f aca="false">R41+X41</f>
        <v>439504566</v>
      </c>
      <c r="AL41" s="152" t="n">
        <f aca="false">S41+Y41</f>
        <v>238952150</v>
      </c>
      <c r="AM41" s="152" t="n">
        <f aca="false">Z41</f>
        <v>61344810</v>
      </c>
    </row>
    <row r="42" customFormat="false" ht="12.2" hidden="false" customHeight="true" outlineLevel="0" collapsed="false">
      <c r="A42" s="53" t="s">
        <v>151</v>
      </c>
      <c r="B42" s="151" t="n">
        <v>4</v>
      </c>
      <c r="C42" s="120" t="n">
        <f aca="false">C6+C18+C30</f>
        <v>2547</v>
      </c>
      <c r="D42" s="120" t="n">
        <f aca="false">D6+D18+D30</f>
        <v>1329942</v>
      </c>
      <c r="F42" s="120" t="n">
        <f aca="false">F6+F18+F30</f>
        <v>45504</v>
      </c>
      <c r="G42" s="120" t="n">
        <f aca="false">G6+G18+G30</f>
        <v>179914949</v>
      </c>
      <c r="H42" s="120" t="n">
        <f aca="false">H6+H18+H30</f>
        <v>8054806</v>
      </c>
      <c r="J42" s="120" t="n">
        <f aca="false">J6+J18+J30</f>
        <v>92227</v>
      </c>
      <c r="K42" s="120" t="n">
        <f aca="false">K6+K18+K30</f>
        <v>404004075</v>
      </c>
      <c r="L42" s="120" t="n">
        <f aca="false">L6+L18+L30</f>
        <v>67716299</v>
      </c>
      <c r="M42" s="120" t="n">
        <f aca="false">M6+M18+M30</f>
        <v>31463927</v>
      </c>
      <c r="O42" s="120" t="n">
        <f aca="false">O6+O18+O30</f>
        <v>90470</v>
      </c>
      <c r="P42" s="120" t="n">
        <f aca="false">P6+P18+P30</f>
        <v>410725244</v>
      </c>
      <c r="Q42" s="120" t="n">
        <f aca="false">Q6+Q18+Q30</f>
        <v>111505152</v>
      </c>
      <c r="R42" s="120" t="n">
        <f aca="false">R6+R18+R30</f>
        <v>176087774</v>
      </c>
      <c r="S42" s="120" t="n">
        <f aca="false">S6+S18+S30</f>
        <v>42617033</v>
      </c>
      <c r="U42" s="120" t="n">
        <f aca="false">U6+U18+U30</f>
        <v>74085</v>
      </c>
      <c r="V42" s="120" t="n">
        <f aca="false">V6+V18+V30</f>
        <v>338235862</v>
      </c>
      <c r="W42" s="120" t="n">
        <f aca="false">W6+W18+W30</f>
        <v>98704595</v>
      </c>
      <c r="X42" s="120" t="n">
        <f aca="false">X6+X18+X30</f>
        <v>210559358</v>
      </c>
      <c r="Y42" s="120" t="n">
        <f aca="false">Y6+Y18+Y30</f>
        <v>191718829</v>
      </c>
      <c r="Z42" s="120" t="n">
        <f aca="false">Z6+Z18+Z30</f>
        <v>81148000</v>
      </c>
      <c r="AA42" s="152" t="n">
        <f aca="false">C42+F42+J42+O42+U42</f>
        <v>304833</v>
      </c>
      <c r="AB42" s="152" t="n">
        <f aca="false">D42+G42+K42+P42+V42</f>
        <v>1334210072</v>
      </c>
      <c r="AC42" s="152" t="n">
        <f aca="false">H42+L42+Q42+W42</f>
        <v>285980852</v>
      </c>
      <c r="AD42" s="152" t="n">
        <f aca="false">M42+R42+X42</f>
        <v>418111059</v>
      </c>
      <c r="AE42" s="152" t="n">
        <f aca="false">S42+Y42</f>
        <v>234335862</v>
      </c>
      <c r="AF42" s="152" t="n">
        <f aca="false">Z42</f>
        <v>81148000</v>
      </c>
      <c r="AG42" s="152" t="n">
        <f aca="false">SUM(AB42:AF42)</f>
        <v>2353785845</v>
      </c>
      <c r="AH42" s="152" t="n">
        <f aca="false">O42+U42</f>
        <v>164555</v>
      </c>
      <c r="AI42" s="152" t="n">
        <f aca="false">P42+V42</f>
        <v>748961106</v>
      </c>
      <c r="AJ42" s="152" t="n">
        <f aca="false">Q42+W42</f>
        <v>210209747</v>
      </c>
      <c r="AK42" s="152" t="n">
        <f aca="false">R42+X42</f>
        <v>386647132</v>
      </c>
      <c r="AL42" s="152" t="n">
        <f aca="false">S42+Y42</f>
        <v>234335862</v>
      </c>
      <c r="AM42" s="152" t="n">
        <f aca="false">Z42</f>
        <v>81148000</v>
      </c>
    </row>
    <row r="43" customFormat="false" ht="12.2" hidden="false" customHeight="true" outlineLevel="0" collapsed="false">
      <c r="A43" s="53" t="s">
        <v>151</v>
      </c>
      <c r="B43" s="151" t="n">
        <v>5</v>
      </c>
      <c r="C43" s="120" t="n">
        <f aca="false">C7+C19+C31</f>
        <v>2185</v>
      </c>
      <c r="D43" s="120" t="n">
        <f aca="false">D7+D19+D31</f>
        <v>1645813</v>
      </c>
      <c r="F43" s="120" t="n">
        <f aca="false">F7+F19+F31</f>
        <v>35520</v>
      </c>
      <c r="G43" s="120" t="n">
        <f aca="false">G7+G19+G31</f>
        <v>145334686</v>
      </c>
      <c r="H43" s="120" t="n">
        <f aca="false">H7+H19+H31</f>
        <v>7727910</v>
      </c>
      <c r="J43" s="120" t="n">
        <f aca="false">J7+J19+J31</f>
        <v>76974</v>
      </c>
      <c r="K43" s="120" t="n">
        <f aca="false">K7+K19+K31</f>
        <v>349471953</v>
      </c>
      <c r="L43" s="120" t="n">
        <f aca="false">L7+L19+L31</f>
        <v>65252195</v>
      </c>
      <c r="M43" s="120" t="n">
        <f aca="false">M7+M19+M31</f>
        <v>32577851</v>
      </c>
      <c r="O43" s="120" t="n">
        <f aca="false">O7+O19+O31</f>
        <v>66799</v>
      </c>
      <c r="P43" s="120" t="n">
        <f aca="false">P7+P19+P31</f>
        <v>306079456</v>
      </c>
      <c r="Q43" s="120" t="n">
        <f aca="false">Q7+Q19+Q31</f>
        <v>86307081</v>
      </c>
      <c r="R43" s="120" t="n">
        <f aca="false">R7+R19+R31</f>
        <v>146669739</v>
      </c>
      <c r="S43" s="120" t="n">
        <f aca="false">S7+S19+S31</f>
        <v>38185386</v>
      </c>
      <c r="U43" s="120" t="n">
        <f aca="false">U7+U19+U31</f>
        <v>56478</v>
      </c>
      <c r="V43" s="120" t="n">
        <f aca="false">V7+V19+V31</f>
        <v>261906198</v>
      </c>
      <c r="W43" s="120" t="n">
        <f aca="false">W7+W19+W31</f>
        <v>77250907</v>
      </c>
      <c r="X43" s="120" t="n">
        <f aca="false">X7+X19+X31</f>
        <v>169858318</v>
      </c>
      <c r="Y43" s="120" t="n">
        <f aca="false">Y7+Y19+Y31</f>
        <v>168474013</v>
      </c>
      <c r="Z43" s="120" t="n">
        <f aca="false">Z7+Z19+Z31</f>
        <v>85406897</v>
      </c>
      <c r="AA43" s="152" t="n">
        <f aca="false">C43+F43+J43+O43+U43</f>
        <v>237956</v>
      </c>
      <c r="AB43" s="152" t="n">
        <f aca="false">D43+G43+K43+P43+V43</f>
        <v>1064438106</v>
      </c>
      <c r="AC43" s="152" t="n">
        <f aca="false">H43+L43+Q43+W43</f>
        <v>236538093</v>
      </c>
      <c r="AD43" s="152" t="n">
        <f aca="false">M43+R43+X43</f>
        <v>349105908</v>
      </c>
      <c r="AE43" s="152" t="n">
        <f aca="false">S43+Y43</f>
        <v>206659399</v>
      </c>
      <c r="AF43" s="152" t="n">
        <f aca="false">Z43</f>
        <v>85406897</v>
      </c>
      <c r="AG43" s="152" t="n">
        <f aca="false">SUM(AB43:AF43)</f>
        <v>1942148403</v>
      </c>
      <c r="AH43" s="152" t="n">
        <f aca="false">O43+U43</f>
        <v>123277</v>
      </c>
      <c r="AI43" s="152" t="n">
        <f aca="false">P43+V43</f>
        <v>567985654</v>
      </c>
      <c r="AJ43" s="152" t="n">
        <f aca="false">Q43+W43</f>
        <v>163557988</v>
      </c>
      <c r="AK43" s="152" t="n">
        <f aca="false">R43+X43</f>
        <v>316528057</v>
      </c>
      <c r="AL43" s="152" t="n">
        <f aca="false">S43+Y43</f>
        <v>206659399</v>
      </c>
      <c r="AM43" s="152" t="n">
        <f aca="false">Z43</f>
        <v>85406897</v>
      </c>
    </row>
    <row r="44" customFormat="false" ht="12.2" hidden="false" customHeight="true" outlineLevel="0" collapsed="false">
      <c r="A44" s="53" t="s">
        <v>151</v>
      </c>
      <c r="B44" s="151" t="n">
        <v>6</v>
      </c>
      <c r="C44" s="120" t="n">
        <f aca="false">C8+C20+C32</f>
        <v>2355</v>
      </c>
      <c r="D44" s="120" t="n">
        <f aca="false">D8+D20+D32</f>
        <v>2138020</v>
      </c>
      <c r="F44" s="120" t="n">
        <f aca="false">F8+F20+F32</f>
        <v>26716</v>
      </c>
      <c r="G44" s="120" t="n">
        <f aca="false">G8+G20+G32</f>
        <v>113294305</v>
      </c>
      <c r="H44" s="120" t="n">
        <f aca="false">H8+H20+H32</f>
        <v>7229802</v>
      </c>
      <c r="J44" s="120" t="n">
        <f aca="false">J8+J20+J32</f>
        <v>65160</v>
      </c>
      <c r="K44" s="120" t="n">
        <f aca="false">K8+K20+K32</f>
        <v>302010530</v>
      </c>
      <c r="L44" s="120" t="n">
        <f aca="false">L8+L20+L32</f>
        <v>62611428</v>
      </c>
      <c r="M44" s="120" t="n">
        <f aca="false">M8+M20+M32</f>
        <v>34711755</v>
      </c>
      <c r="O44" s="120" t="n">
        <f aca="false">O8+O20+O32</f>
        <v>51285</v>
      </c>
      <c r="P44" s="120" t="n">
        <f aca="false">P8+P20+P32</f>
        <v>232538376</v>
      </c>
      <c r="Q44" s="120" t="n">
        <f aca="false">Q8+Q20+Q32</f>
        <v>67537076</v>
      </c>
      <c r="R44" s="120" t="n">
        <f aca="false">R8+R20+R32</f>
        <v>123449069</v>
      </c>
      <c r="S44" s="120" t="n">
        <f aca="false">S8+S20+S32</f>
        <v>35074486</v>
      </c>
      <c r="U44" s="120" t="n">
        <f aca="false">U8+U20+U32</f>
        <v>42579</v>
      </c>
      <c r="V44" s="120" t="n">
        <f aca="false">V8+V20+V32</f>
        <v>196138526</v>
      </c>
      <c r="W44" s="120" t="n">
        <f aca="false">W8+W20+W32</f>
        <v>58210134</v>
      </c>
      <c r="X44" s="120" t="n">
        <f aca="false">X8+X20+X32</f>
        <v>131611019</v>
      </c>
      <c r="Y44" s="120" t="n">
        <f aca="false">Y8+Y20+Y32</f>
        <v>142427147</v>
      </c>
      <c r="Z44" s="120" t="n">
        <f aca="false">Z8+Z20+Z32</f>
        <v>80300601</v>
      </c>
      <c r="AA44" s="152" t="n">
        <f aca="false">C44+F44+J44+O44+U44</f>
        <v>188095</v>
      </c>
      <c r="AB44" s="152" t="n">
        <f aca="false">D44+G44+K44+P44+V44</f>
        <v>846119757</v>
      </c>
      <c r="AC44" s="152" t="n">
        <f aca="false">H44+L44+Q44+W44</f>
        <v>195588440</v>
      </c>
      <c r="AD44" s="152" t="n">
        <f aca="false">M44+R44+X44</f>
        <v>289771843</v>
      </c>
      <c r="AE44" s="152" t="n">
        <f aca="false">S44+Y44</f>
        <v>177501633</v>
      </c>
      <c r="AF44" s="152" t="n">
        <f aca="false">Z44</f>
        <v>80300601</v>
      </c>
      <c r="AG44" s="152" t="n">
        <f aca="false">SUM(AB44:AF44)</f>
        <v>1589282274</v>
      </c>
      <c r="AH44" s="152" t="n">
        <f aca="false">O44+U44</f>
        <v>93864</v>
      </c>
      <c r="AI44" s="152" t="n">
        <f aca="false">P44+V44</f>
        <v>428676902</v>
      </c>
      <c r="AJ44" s="152" t="n">
        <f aca="false">Q44+W44</f>
        <v>125747210</v>
      </c>
      <c r="AK44" s="152" t="n">
        <f aca="false">R44+X44</f>
        <v>255060088</v>
      </c>
      <c r="AL44" s="152" t="n">
        <f aca="false">S44+Y44</f>
        <v>177501633</v>
      </c>
      <c r="AM44" s="152" t="n">
        <f aca="false">Z44</f>
        <v>80300601</v>
      </c>
    </row>
    <row r="45" customFormat="false" ht="12.2" hidden="false" customHeight="true" outlineLevel="0" collapsed="false">
      <c r="A45" s="53" t="s">
        <v>151</v>
      </c>
      <c r="B45" s="151" t="n">
        <v>7</v>
      </c>
      <c r="C45" s="120" t="n">
        <f aca="false">C9+C21+C33</f>
        <v>2346</v>
      </c>
      <c r="D45" s="120" t="n">
        <f aca="false">D9+D21+D33</f>
        <v>2754289</v>
      </c>
      <c r="F45" s="120" t="n">
        <f aca="false">F9+F21+F33</f>
        <v>17858</v>
      </c>
      <c r="G45" s="120" t="n">
        <f aca="false">G9+G21+G33</f>
        <v>72745097</v>
      </c>
      <c r="H45" s="120" t="n">
        <f aca="false">H9+H21+H33</f>
        <v>5103778</v>
      </c>
      <c r="J45" s="120" t="n">
        <f aca="false">J9+J21+J33</f>
        <v>49052</v>
      </c>
      <c r="K45" s="120" t="n">
        <f aca="false">K9+K21+K33</f>
        <v>212508138</v>
      </c>
      <c r="L45" s="120" t="n">
        <f aca="false">L9+L21+L33</f>
        <v>50973573</v>
      </c>
      <c r="M45" s="120" t="n">
        <f aca="false">M9+M21+M33</f>
        <v>28266683</v>
      </c>
      <c r="O45" s="120" t="n">
        <f aca="false">O9+O21+O33</f>
        <v>37845</v>
      </c>
      <c r="P45" s="120" t="n">
        <f aca="false">P9+P21+P33</f>
        <v>159361167</v>
      </c>
      <c r="Q45" s="120" t="n">
        <f aca="false">Q9+Q21+Q33</f>
        <v>47063337</v>
      </c>
      <c r="R45" s="120" t="n">
        <f aca="false">R9+R21+R33</f>
        <v>94801706</v>
      </c>
      <c r="S45" s="120" t="n">
        <f aca="false">S9+S21+S33</f>
        <v>28381832</v>
      </c>
      <c r="U45" s="120" t="n">
        <f aca="false">U9+U21+U33</f>
        <v>31497</v>
      </c>
      <c r="V45" s="120" t="n">
        <f aca="false">V9+V21+V33</f>
        <v>137833273</v>
      </c>
      <c r="W45" s="120" t="n">
        <f aca="false">W9+W21+W33</f>
        <v>41008303</v>
      </c>
      <c r="X45" s="120" t="n">
        <f aca="false">X9+X21+X33</f>
        <v>94212626</v>
      </c>
      <c r="Y45" s="120" t="n">
        <f aca="false">Y9+Y21+Y33</f>
        <v>113244565</v>
      </c>
      <c r="Z45" s="120" t="n">
        <f aca="false">Z9+Z21+Z33</f>
        <v>68583218</v>
      </c>
      <c r="AA45" s="152" t="n">
        <f aca="false">C45+F45+J45+O45+U45</f>
        <v>138598</v>
      </c>
      <c r="AB45" s="152" t="n">
        <f aca="false">D45+G45+K45+P45+V45</f>
        <v>585201964</v>
      </c>
      <c r="AC45" s="152" t="n">
        <f aca="false">H45+L45+Q45+W45</f>
        <v>144148991</v>
      </c>
      <c r="AD45" s="152" t="n">
        <f aca="false">M45+R45+X45</f>
        <v>217281015</v>
      </c>
      <c r="AE45" s="152" t="n">
        <f aca="false">S45+Y45</f>
        <v>141626397</v>
      </c>
      <c r="AF45" s="152" t="n">
        <f aca="false">Z45</f>
        <v>68583218</v>
      </c>
      <c r="AG45" s="152" t="n">
        <f aca="false">SUM(AB45:AF45)</f>
        <v>1156841585</v>
      </c>
      <c r="AH45" s="152" t="n">
        <f aca="false">O45+U45</f>
        <v>69342</v>
      </c>
      <c r="AI45" s="152" t="n">
        <f aca="false">P45+V45</f>
        <v>297194440</v>
      </c>
      <c r="AJ45" s="152" t="n">
        <f aca="false">Q45+W45</f>
        <v>88071640</v>
      </c>
      <c r="AK45" s="152" t="n">
        <f aca="false">R45+X45</f>
        <v>189014332</v>
      </c>
      <c r="AL45" s="152" t="n">
        <f aca="false">S45+Y45</f>
        <v>141626397</v>
      </c>
      <c r="AM45" s="152" t="n">
        <f aca="false">Z45</f>
        <v>68583218</v>
      </c>
    </row>
    <row r="46" customFormat="false" ht="12.2" hidden="false" customHeight="true" outlineLevel="0" collapsed="false">
      <c r="A46" s="53" t="s">
        <v>151</v>
      </c>
      <c r="B46" s="151" t="n">
        <v>8</v>
      </c>
      <c r="C46" s="120" t="n">
        <f aca="false">C10+C22+C34</f>
        <v>2464</v>
      </c>
      <c r="D46" s="120" t="n">
        <f aca="false">D10+D22+D34</f>
        <v>3458013</v>
      </c>
      <c r="F46" s="120" t="n">
        <f aca="false">F10+F22+F34</f>
        <v>13772</v>
      </c>
      <c r="G46" s="120" t="n">
        <f aca="false">G10+G22+G34</f>
        <v>54194447</v>
      </c>
      <c r="H46" s="120" t="n">
        <f aca="false">H10+H22+H34</f>
        <v>4265520</v>
      </c>
      <c r="J46" s="120" t="n">
        <f aca="false">J10+J22+J34</f>
        <v>42502</v>
      </c>
      <c r="K46" s="120" t="n">
        <f aca="false">K10+K22+K34</f>
        <v>183572047</v>
      </c>
      <c r="L46" s="120" t="n">
        <f aca="false">L10+L22+L34</f>
        <v>47298485</v>
      </c>
      <c r="M46" s="120" t="n">
        <f aca="false">M10+M22+M34</f>
        <v>27779727</v>
      </c>
      <c r="O46" s="120" t="n">
        <f aca="false">O10+O22+O34</f>
        <v>31439</v>
      </c>
      <c r="P46" s="120" t="n">
        <f aca="false">P10+P22+P34</f>
        <v>130265720</v>
      </c>
      <c r="Q46" s="120" t="n">
        <f aca="false">Q10+Q22+Q34</f>
        <v>38702143</v>
      </c>
      <c r="R46" s="120" t="n">
        <f aca="false">R10+R22+R34</f>
        <v>81671820</v>
      </c>
      <c r="S46" s="120" t="n">
        <f aca="false">S10+S22+S34</f>
        <v>26870353</v>
      </c>
      <c r="U46" s="120" t="n">
        <f aca="false">U10+U22+U34</f>
        <v>27423</v>
      </c>
      <c r="V46" s="120" t="n">
        <f aca="false">V10+V22+V34</f>
        <v>118611939</v>
      </c>
      <c r="W46" s="120" t="n">
        <f aca="false">W10+W22+W34</f>
        <v>35368927</v>
      </c>
      <c r="X46" s="120" t="n">
        <f aca="false">X10+X22+X34</f>
        <v>81647517</v>
      </c>
      <c r="Y46" s="120" t="n">
        <f aca="false">Y10+Y22+Y34</f>
        <v>103614869</v>
      </c>
      <c r="Z46" s="120" t="n">
        <f aca="false">Z10+Z22+Z34</f>
        <v>70539811</v>
      </c>
      <c r="AA46" s="152" t="n">
        <f aca="false">C46+F46+J46+O46+U46</f>
        <v>117600</v>
      </c>
      <c r="AB46" s="152" t="n">
        <f aca="false">D46+G46+K46+P46+V46</f>
        <v>490102166</v>
      </c>
      <c r="AC46" s="152" t="n">
        <f aca="false">H46+L46+Q46+W46</f>
        <v>125635075</v>
      </c>
      <c r="AD46" s="152" t="n">
        <f aca="false">M46+R46+X46</f>
        <v>191099064</v>
      </c>
      <c r="AE46" s="152" t="n">
        <f aca="false">S46+Y46</f>
        <v>130485222</v>
      </c>
      <c r="AF46" s="152" t="n">
        <f aca="false">Z46</f>
        <v>70539811</v>
      </c>
      <c r="AG46" s="152" t="n">
        <f aca="false">SUM(AB46:AF46)</f>
        <v>1007861338</v>
      </c>
      <c r="AH46" s="152" t="n">
        <f aca="false">O46+U46</f>
        <v>58862</v>
      </c>
      <c r="AI46" s="152" t="n">
        <f aca="false">P46+V46</f>
        <v>248877659</v>
      </c>
      <c r="AJ46" s="152" t="n">
        <f aca="false">Q46+W46</f>
        <v>74071070</v>
      </c>
      <c r="AK46" s="152" t="n">
        <f aca="false">R46+X46</f>
        <v>163319337</v>
      </c>
      <c r="AL46" s="152" t="n">
        <f aca="false">S46+Y46</f>
        <v>130485222</v>
      </c>
      <c r="AM46" s="152" t="n">
        <f aca="false">Z46</f>
        <v>70539811</v>
      </c>
    </row>
    <row r="47" customFormat="false" ht="12.2" hidden="false" customHeight="true" outlineLevel="0" collapsed="false">
      <c r="A47" s="53" t="s">
        <v>151</v>
      </c>
      <c r="B47" s="151" t="n">
        <v>9</v>
      </c>
      <c r="C47" s="120" t="n">
        <f aca="false">C11+C23+C35</f>
        <v>2842</v>
      </c>
      <c r="D47" s="120" t="n">
        <f aca="false">D11+D23+D35</f>
        <v>4302288</v>
      </c>
      <c r="F47" s="120" t="n">
        <f aca="false">F11+F23+F35</f>
        <v>11330</v>
      </c>
      <c r="G47" s="120" t="n">
        <f aca="false">G11+G23+G35</f>
        <v>45179335</v>
      </c>
      <c r="H47" s="120" t="n">
        <f aca="false">H11+H23+H35</f>
        <v>4011741</v>
      </c>
      <c r="J47" s="120" t="n">
        <f aca="false">J11+J23+J35</f>
        <v>39457</v>
      </c>
      <c r="K47" s="120" t="n">
        <f aca="false">K11+K23+K35</f>
        <v>165380563</v>
      </c>
      <c r="L47" s="120" t="n">
        <f aca="false">L11+L23+L35</f>
        <v>44850020</v>
      </c>
      <c r="M47" s="120" t="n">
        <f aca="false">M11+M23+M35</f>
        <v>28710043</v>
      </c>
      <c r="O47" s="120" t="n">
        <f aca="false">O11+O23+O35</f>
        <v>28595</v>
      </c>
      <c r="P47" s="120" t="n">
        <f aca="false">P11+P23+P35</f>
        <v>116379670</v>
      </c>
      <c r="Q47" s="120" t="n">
        <f aca="false">Q11+Q23+Q35</f>
        <v>34724001</v>
      </c>
      <c r="R47" s="120" t="n">
        <f aca="false">R11+R23+R35</f>
        <v>75851587</v>
      </c>
      <c r="S47" s="120" t="n">
        <f aca="false">S11+S23+S35</f>
        <v>27962250</v>
      </c>
      <c r="U47" s="120" t="n">
        <f aca="false">U11+U23+U35</f>
        <v>26321</v>
      </c>
      <c r="V47" s="120" t="n">
        <f aca="false">V11+V23+V35</f>
        <v>113159589</v>
      </c>
      <c r="W47" s="120" t="n">
        <f aca="false">W11+W23+W35</f>
        <v>33800548</v>
      </c>
      <c r="X47" s="120" t="n">
        <f aca="false">X11+X23+X35</f>
        <v>78329137</v>
      </c>
      <c r="Y47" s="120" t="n">
        <f aca="false">Y11+Y23+Y35</f>
        <v>103449008</v>
      </c>
      <c r="Z47" s="120" t="n">
        <f aca="false">Z11+Z23+Z35</f>
        <v>79094296</v>
      </c>
      <c r="AA47" s="152" t="n">
        <f aca="false">C47+F47+J47+O47+U47</f>
        <v>108545</v>
      </c>
      <c r="AB47" s="152" t="n">
        <f aca="false">D47+G47+K47+P47+V47</f>
        <v>444401445</v>
      </c>
      <c r="AC47" s="152" t="n">
        <f aca="false">H47+L47+Q47+W47</f>
        <v>117386310</v>
      </c>
      <c r="AD47" s="152" t="n">
        <f aca="false">M47+R47+X47</f>
        <v>182890767</v>
      </c>
      <c r="AE47" s="152" t="n">
        <f aca="false">S47+Y47</f>
        <v>131411258</v>
      </c>
      <c r="AF47" s="152" t="n">
        <f aca="false">Z47</f>
        <v>79094296</v>
      </c>
      <c r="AG47" s="152" t="n">
        <f aca="false">SUM(AB47:AF47)</f>
        <v>955184076</v>
      </c>
      <c r="AH47" s="152" t="n">
        <f aca="false">O47+U47</f>
        <v>54916</v>
      </c>
      <c r="AI47" s="152" t="n">
        <f aca="false">P47+V47</f>
        <v>229539259</v>
      </c>
      <c r="AJ47" s="152" t="n">
        <f aca="false">Q47+W47</f>
        <v>68524549</v>
      </c>
      <c r="AK47" s="152" t="n">
        <f aca="false">R47+X47</f>
        <v>154180724</v>
      </c>
      <c r="AL47" s="152" t="n">
        <f aca="false">S47+Y47</f>
        <v>131411258</v>
      </c>
      <c r="AM47" s="152" t="n">
        <f aca="false">Z47</f>
        <v>79094296</v>
      </c>
    </row>
    <row r="48" customFormat="false" ht="12.2" hidden="false" customHeight="true" outlineLevel="0" collapsed="false">
      <c r="A48" s="53" t="s">
        <v>151</v>
      </c>
      <c r="B48" s="151" t="n">
        <v>10</v>
      </c>
      <c r="C48" s="120" t="n">
        <f aca="false">C12+C24+C36</f>
        <v>4049</v>
      </c>
      <c r="D48" s="120" t="n">
        <f aca="false">D12+D24+D36</f>
        <v>7199403</v>
      </c>
      <c r="F48" s="120" t="n">
        <f aca="false">F12+F24+F36</f>
        <v>9530</v>
      </c>
      <c r="G48" s="120" t="n">
        <f aca="false">G12+G24+G36</f>
        <v>40154856</v>
      </c>
      <c r="H48" s="120" t="n">
        <f aca="false">H12+H24+H36</f>
        <v>4061781</v>
      </c>
      <c r="J48" s="120" t="n">
        <f aca="false">J12+J24+J36</f>
        <v>39519</v>
      </c>
      <c r="K48" s="120" t="n">
        <f aca="false">K12+K24+K36</f>
        <v>161377957</v>
      </c>
      <c r="L48" s="120" t="n">
        <f aca="false">L12+L24+L36</f>
        <v>45651306</v>
      </c>
      <c r="M48" s="120" t="n">
        <f aca="false">M12+M24+M36</f>
        <v>32686620</v>
      </c>
      <c r="O48" s="120" t="n">
        <f aca="false">O12+O24+O36</f>
        <v>27254</v>
      </c>
      <c r="P48" s="120" t="n">
        <f aca="false">P12+P24+P36</f>
        <v>108992934</v>
      </c>
      <c r="Q48" s="120" t="n">
        <f aca="false">Q12+Q24+Q36</f>
        <v>32606293</v>
      </c>
      <c r="R48" s="120" t="n">
        <f aca="false">R12+R24+R36</f>
        <v>73246961</v>
      </c>
      <c r="S48" s="120" t="n">
        <f aca="false">S12+S24+S36</f>
        <v>30461250</v>
      </c>
      <c r="U48" s="120" t="n">
        <f aca="false">U12+U24+U36</f>
        <v>27769</v>
      </c>
      <c r="V48" s="120" t="n">
        <f aca="false">V12+V24+V36</f>
        <v>118585953</v>
      </c>
      <c r="W48" s="120" t="n">
        <f aca="false">W12+W24+W36</f>
        <v>35473983</v>
      </c>
      <c r="X48" s="120" t="n">
        <f aca="false">X12+X24+X36</f>
        <v>82391863</v>
      </c>
      <c r="Y48" s="120" t="n">
        <f aca="false">Y12+Y24+Y36</f>
        <v>112364698</v>
      </c>
      <c r="Z48" s="120" t="n">
        <f aca="false">Z12+Z24+Z36</f>
        <v>100431539</v>
      </c>
      <c r="AA48" s="152" t="n">
        <f aca="false">C48+F48+J48+O48+U48</f>
        <v>108121</v>
      </c>
      <c r="AB48" s="152" t="n">
        <f aca="false">D48+G48+K48+P48+V48</f>
        <v>436311103</v>
      </c>
      <c r="AC48" s="152" t="n">
        <f aca="false">H48+L48+Q48+W48</f>
        <v>117793363</v>
      </c>
      <c r="AD48" s="152" t="n">
        <f aca="false">M48+R48+X48</f>
        <v>188325444</v>
      </c>
      <c r="AE48" s="152" t="n">
        <f aca="false">S48+Y48</f>
        <v>142825948</v>
      </c>
      <c r="AF48" s="152" t="n">
        <f aca="false">Z48</f>
        <v>100431539</v>
      </c>
      <c r="AG48" s="152" t="n">
        <f aca="false">SUM(AB48:AF48)</f>
        <v>985687397</v>
      </c>
      <c r="AH48" s="152" t="n">
        <f aca="false">O48+U48</f>
        <v>55023</v>
      </c>
      <c r="AI48" s="152" t="n">
        <f aca="false">P48+V48</f>
        <v>227578887</v>
      </c>
      <c r="AJ48" s="152" t="n">
        <f aca="false">Q48+W48</f>
        <v>68080276</v>
      </c>
      <c r="AK48" s="152" t="n">
        <f aca="false">R48+X48</f>
        <v>155638824</v>
      </c>
      <c r="AL48" s="152" t="n">
        <f aca="false">S48+Y48</f>
        <v>142825948</v>
      </c>
      <c r="AM48" s="152" t="n">
        <f aca="false">Z48</f>
        <v>100431539</v>
      </c>
    </row>
    <row r="49" customFormat="false" ht="12.2" hidden="false" customHeight="true" outlineLevel="0" collapsed="false">
      <c r="A49" s="53" t="s">
        <v>151</v>
      </c>
      <c r="B49" s="151" t="n">
        <v>11</v>
      </c>
      <c r="C49" s="120" t="n">
        <f aca="false">C13+C25+C37</f>
        <v>10330</v>
      </c>
      <c r="D49" s="120" t="n">
        <f aca="false">D13+D25+D37</f>
        <v>21451150</v>
      </c>
      <c r="F49" s="120" t="n">
        <f aca="false">F13+F25+F37</f>
        <v>8300</v>
      </c>
      <c r="G49" s="120" t="n">
        <f aca="false">G13+G25+G37</f>
        <v>33334025</v>
      </c>
      <c r="H49" s="120" t="n">
        <f aca="false">H13+H25+H37</f>
        <v>3906474</v>
      </c>
      <c r="J49" s="120" t="n">
        <f aca="false">J13+J25+J37</f>
        <v>44721</v>
      </c>
      <c r="K49" s="120" t="n">
        <f aca="false">K13+K25+K37</f>
        <v>179687807</v>
      </c>
      <c r="L49" s="120" t="n">
        <f aca="false">L13+L25+L37</f>
        <v>52620905</v>
      </c>
      <c r="M49" s="120" t="n">
        <f aca="false">M13+M25+M37</f>
        <v>43006583</v>
      </c>
      <c r="O49" s="120" t="n">
        <f aca="false">O13+O25+O37</f>
        <v>28606</v>
      </c>
      <c r="P49" s="120" t="n">
        <f aca="false">P13+P25+P37</f>
        <v>112230364</v>
      </c>
      <c r="Q49" s="120" t="n">
        <f aca="false">Q13+Q25+Q37</f>
        <v>33651515</v>
      </c>
      <c r="R49" s="120" t="n">
        <f aca="false">R13+R25+R37</f>
        <v>77286036</v>
      </c>
      <c r="S49" s="120" t="n">
        <f aca="false">S13+S25+S37</f>
        <v>37356017</v>
      </c>
      <c r="U49" s="120" t="n">
        <f aca="false">U13+U25+U37</f>
        <v>35615</v>
      </c>
      <c r="V49" s="120" t="n">
        <f aca="false">V13+V25+V37</f>
        <v>149377071</v>
      </c>
      <c r="W49" s="120" t="n">
        <f aca="false">W13+W25+W37</f>
        <v>44721474</v>
      </c>
      <c r="X49" s="120" t="n">
        <f aca="false">X13+X25+X37</f>
        <v>104053368</v>
      </c>
      <c r="Y49" s="120" t="n">
        <f aca="false">Y13+Y25+Y37</f>
        <v>145658780</v>
      </c>
      <c r="Z49" s="120" t="n">
        <f aca="false">Z13+Z25+Z37</f>
        <v>169095624</v>
      </c>
      <c r="AA49" s="152" t="n">
        <f aca="false">C49+F49+J49+O49+U49</f>
        <v>127572</v>
      </c>
      <c r="AB49" s="152" t="n">
        <f aca="false">D49+G49+K49+P49+V49</f>
        <v>496080417</v>
      </c>
      <c r="AC49" s="152" t="n">
        <f aca="false">H49+L49+Q49+W49</f>
        <v>134900368</v>
      </c>
      <c r="AD49" s="152" t="n">
        <f aca="false">M49+R49+X49</f>
        <v>224345987</v>
      </c>
      <c r="AE49" s="152" t="n">
        <f aca="false">S49+Y49</f>
        <v>183014797</v>
      </c>
      <c r="AF49" s="152" t="n">
        <f aca="false">Z49</f>
        <v>169095624</v>
      </c>
      <c r="AG49" s="152" t="n">
        <f aca="false">SUM(AB49:AF49)</f>
        <v>1207437193</v>
      </c>
      <c r="AH49" s="152" t="n">
        <f aca="false">O49+U49</f>
        <v>64221</v>
      </c>
      <c r="AI49" s="152" t="n">
        <f aca="false">P49+V49</f>
        <v>261607435</v>
      </c>
      <c r="AJ49" s="152" t="n">
        <f aca="false">Q49+W49</f>
        <v>78372989</v>
      </c>
      <c r="AK49" s="152" t="n">
        <f aca="false">R49+X49</f>
        <v>181339404</v>
      </c>
      <c r="AL49" s="152" t="n">
        <f aca="false">S49+Y49</f>
        <v>183014797</v>
      </c>
      <c r="AM49" s="152" t="n">
        <f aca="false">Z49</f>
        <v>169095624</v>
      </c>
    </row>
    <row r="50" customFormat="false" ht="12.2" hidden="false" customHeight="true" outlineLevel="0" collapsed="false">
      <c r="A50" s="53" t="s">
        <v>151</v>
      </c>
      <c r="B50" s="151" t="n">
        <v>12</v>
      </c>
      <c r="C50" s="120" t="n">
        <f aca="false">C14+C26+C38</f>
        <v>648100</v>
      </c>
      <c r="D50" s="120" t="n">
        <f aca="false">D14+D26+D38</f>
        <v>1551606734</v>
      </c>
      <c r="F50" s="120" t="n">
        <f aca="false">F14+F26+F38</f>
        <v>8468</v>
      </c>
      <c r="G50" s="120" t="n">
        <f aca="false">G14+G26+G38</f>
        <v>37185310</v>
      </c>
      <c r="H50" s="120" t="n">
        <f aca="false">H14+H26+H38</f>
        <v>5372926</v>
      </c>
      <c r="J50" s="120" t="n">
        <f aca="false">J14+J26+J38</f>
        <v>81603</v>
      </c>
      <c r="K50" s="120" t="n">
        <f aca="false">K14+K26+K38</f>
        <v>324267901</v>
      </c>
      <c r="L50" s="120" t="n">
        <f aca="false">L14+L26+L38</f>
        <v>97321435</v>
      </c>
      <c r="M50" s="120" t="n">
        <f aca="false">M14+M26+M38</f>
        <v>103469331</v>
      </c>
      <c r="O50" s="120" t="n">
        <f aca="false">O14+O26+O38</f>
        <v>46060</v>
      </c>
      <c r="P50" s="120" t="n">
        <f aca="false">P14+P26+P38</f>
        <v>174868353</v>
      </c>
      <c r="Q50" s="120" t="n">
        <f aca="false">Q14+Q26+Q38</f>
        <v>52482337</v>
      </c>
      <c r="R50" s="120" t="n">
        <f aca="false">R14+R26+R38</f>
        <v>122386016</v>
      </c>
      <c r="S50" s="120" t="n">
        <f aca="false">S14+S26+S38</f>
        <v>78166790</v>
      </c>
      <c r="U50" s="120" t="n">
        <f aca="false">U14+U26+U38</f>
        <v>111326</v>
      </c>
      <c r="V50" s="120" t="n">
        <f aca="false">V14+V26+V38</f>
        <v>450360739</v>
      </c>
      <c r="W50" s="120" t="n">
        <f aca="false">W14+W26+W38</f>
        <v>135154780</v>
      </c>
      <c r="X50" s="120" t="n">
        <f aca="false">X14+X26+X38</f>
        <v>315205959</v>
      </c>
      <c r="Y50" s="120" t="n">
        <f aca="false">Y14+Y26+Y38</f>
        <v>450360739</v>
      </c>
      <c r="Z50" s="120" t="n">
        <f aca="false">Z14+Z26+Z38</f>
        <v>1145607582</v>
      </c>
      <c r="AA50" s="152" t="n">
        <f aca="false">C50+F50+J50+O50+U50</f>
        <v>895557</v>
      </c>
      <c r="AB50" s="152" t="n">
        <f aca="false">D50+G50+K50+P50+V50</f>
        <v>2538289037</v>
      </c>
      <c r="AC50" s="152" t="n">
        <f aca="false">H50+L50+Q50+W50</f>
        <v>290331478</v>
      </c>
      <c r="AD50" s="152" t="n">
        <f aca="false">M50+R50+X50</f>
        <v>541061306</v>
      </c>
      <c r="AE50" s="152" t="n">
        <f aca="false">S50+Y50</f>
        <v>528527529</v>
      </c>
      <c r="AF50" s="152" t="n">
        <f aca="false">Z50</f>
        <v>1145607582</v>
      </c>
      <c r="AG50" s="152" t="n">
        <f aca="false">SUM(AB50:AF50)</f>
        <v>5043816932</v>
      </c>
      <c r="AH50" s="152" t="n">
        <f aca="false">O50+U50</f>
        <v>157386</v>
      </c>
      <c r="AI50" s="152" t="n">
        <f aca="false">P50+V50</f>
        <v>625229092</v>
      </c>
      <c r="AJ50" s="152" t="n">
        <f aca="false">Q50+W50</f>
        <v>187637117</v>
      </c>
      <c r="AK50" s="152" t="n">
        <f aca="false">R50+X50</f>
        <v>437591975</v>
      </c>
      <c r="AL50" s="152" t="n">
        <f aca="false">S50+Y50</f>
        <v>528527529</v>
      </c>
      <c r="AM50" s="152" t="n">
        <f aca="false">Z50</f>
        <v>1145607582</v>
      </c>
    </row>
    <row r="51" customFormat="false" ht="12.2" hidden="false" customHeight="true" outlineLevel="0" collapsed="false">
      <c r="A51" s="53" t="s">
        <v>151</v>
      </c>
      <c r="B51" s="151" t="s">
        <v>152</v>
      </c>
      <c r="C51" s="120" t="n">
        <f aca="false">SUM(C39:C50)</f>
        <v>688603</v>
      </c>
      <c r="D51" s="120" t="n">
        <f aca="false">SUM(D39:D50)</f>
        <v>1598427576</v>
      </c>
      <c r="E51" s="120" t="n">
        <f aca="false">SUM(E39:E50)</f>
        <v>0</v>
      </c>
      <c r="F51" s="120" t="n">
        <f aca="false">SUM(F39:F50)</f>
        <v>458857</v>
      </c>
      <c r="G51" s="120" t="n">
        <f aca="false">SUM(G39:G50)</f>
        <v>1709516010</v>
      </c>
      <c r="H51" s="120" t="n">
        <f aca="false">SUM(H39:H50)</f>
        <v>81004495</v>
      </c>
      <c r="I51" s="120" t="n">
        <f aca="false">SUM(I39:I50)</f>
        <v>0</v>
      </c>
      <c r="J51" s="120" t="n">
        <f aca="false">SUM(J39:J50)</f>
        <v>963018</v>
      </c>
      <c r="K51" s="120" t="n">
        <f aca="false">SUM(K39:K50)</f>
        <v>4018484496</v>
      </c>
      <c r="L51" s="120" t="n">
        <f aca="false">SUM(L39:L50)</f>
        <v>731431520</v>
      </c>
      <c r="M51" s="120" t="n">
        <f aca="false">SUM(M39:M50)</f>
        <v>432189668</v>
      </c>
      <c r="N51" s="120" t="n">
        <f aca="false">SUM(N39:N50)</f>
        <v>0</v>
      </c>
      <c r="O51" s="120" t="n">
        <f aca="false">SUM(O39:O50)</f>
        <v>902207</v>
      </c>
      <c r="P51" s="120" t="n">
        <f aca="false">SUM(P39:P50)</f>
        <v>3937646503</v>
      </c>
      <c r="Q51" s="120" t="n">
        <f aca="false">SUM(Q39:Q50)</f>
        <v>1022516763</v>
      </c>
      <c r="R51" s="120" t="n">
        <f aca="false">SUM(R39:R50)</f>
        <v>1613817912</v>
      </c>
      <c r="S51" s="120" t="n">
        <f aca="false">SUM(S39:S50)</f>
        <v>435375411</v>
      </c>
      <c r="T51" s="120" t="n">
        <f aca="false">SUM(T39:T50)</f>
        <v>0</v>
      </c>
      <c r="U51" s="120" t="n">
        <f aca="false">SUM(U39:U50)</f>
        <v>821047</v>
      </c>
      <c r="V51" s="120" t="n">
        <f aca="false">SUM(V39:V50)</f>
        <v>3630433502</v>
      </c>
      <c r="W51" s="120" t="n">
        <f aca="false">SUM(W39:W50)</f>
        <v>1046013443</v>
      </c>
      <c r="X51" s="120" t="n">
        <f aca="false">SUM(X39:X50)</f>
        <v>2205744777</v>
      </c>
      <c r="Y51" s="120" t="n">
        <f aca="false">SUM(Y39:Y50)</f>
        <v>2176373232</v>
      </c>
      <c r="Z51" s="120" t="n">
        <f aca="false">SUM(Z39:Z50)</f>
        <v>2018636902</v>
      </c>
      <c r="AA51" s="152" t="n">
        <f aca="false">SUM(AA39:AA50)</f>
        <v>3833732</v>
      </c>
      <c r="AB51" s="152" t="n">
        <f aca="false">SUM(AB39:AB50)</f>
        <v>14894508087</v>
      </c>
      <c r="AC51" s="152" t="n">
        <f aca="false">SUM(AC39:AC50)</f>
        <v>2880966221</v>
      </c>
      <c r="AD51" s="152" t="n">
        <f aca="false">SUM(AD39:AD50)</f>
        <v>4251752357</v>
      </c>
      <c r="AE51" s="152" t="n">
        <f aca="false">SUM(AE39:AE50)</f>
        <v>2611748643</v>
      </c>
      <c r="AF51" s="152" t="n">
        <f aca="false">SUM(AF39:AF50)</f>
        <v>2018636902</v>
      </c>
      <c r="AG51" s="152" t="n">
        <f aca="false">SUM(AB51:AF51)</f>
        <v>26657612210</v>
      </c>
      <c r="AH51" s="152" t="n">
        <f aca="false">SUM(AH39:AH50)</f>
        <v>1723254</v>
      </c>
      <c r="AI51" s="152" t="n">
        <f aca="false">SUM(AI39:AI50)</f>
        <v>7568080005</v>
      </c>
      <c r="AJ51" s="152" t="n">
        <f aca="false">SUM(AJ39:AJ50)</f>
        <v>2068530206</v>
      </c>
      <c r="AK51" s="152" t="n">
        <f aca="false">SUM(AK39:AK50)</f>
        <v>3819562689</v>
      </c>
      <c r="AL51" s="152" t="n">
        <f aca="false">SUM(AL39:AL50)</f>
        <v>2611748643</v>
      </c>
      <c r="AM51" s="152" t="n">
        <f aca="false">SUM(AM39:AM50)</f>
        <v>2018636902</v>
      </c>
      <c r="AN51" s="152" t="n">
        <f aca="false">SUM(AL51:AM51)</f>
        <v>4630385545</v>
      </c>
    </row>
    <row r="52" customFormat="false" ht="12.2" hidden="false" customHeight="true" outlineLevel="0" collapsed="false">
      <c r="AA52" s="53" t="s">
        <v>171</v>
      </c>
      <c r="AM52" s="153"/>
    </row>
    <row r="53" customFormat="false" ht="12.2" hidden="false" customHeight="true" outlineLevel="0" collapsed="false">
      <c r="A53" s="53" t="s">
        <v>172</v>
      </c>
      <c r="B53" s="151" t="s">
        <v>20</v>
      </c>
      <c r="C53" s="120" t="n">
        <f aca="false">SUM(C3:C14)</f>
        <v>685319</v>
      </c>
      <c r="D53" s="120" t="n">
        <f aca="false">SUM(D3:D14)</f>
        <v>1587231343</v>
      </c>
      <c r="F53" s="120" t="n">
        <f aca="false">SUM(F3:F14)</f>
        <v>453569</v>
      </c>
      <c r="G53" s="120" t="n">
        <f aca="false">SUM(G3:G14)</f>
        <v>1681138556</v>
      </c>
      <c r="H53" s="120" t="n">
        <f aca="false">SUM(H3:H14)</f>
        <v>78514058</v>
      </c>
      <c r="J53" s="120" t="n">
        <f aca="false">SUM(J3:J14)</f>
        <v>943030</v>
      </c>
      <c r="K53" s="120" t="n">
        <f aca="false">SUM(K3:K14)</f>
        <v>3895942333</v>
      </c>
      <c r="L53" s="120" t="n">
        <f aca="false">SUM(L3:L14)</f>
        <v>708079475</v>
      </c>
      <c r="M53" s="120" t="n">
        <f aca="false">SUM(M3:M14)</f>
        <v>415018251</v>
      </c>
      <c r="O53" s="120" t="n">
        <f aca="false">SUM(O3:O14)</f>
        <v>859007</v>
      </c>
      <c r="P53" s="120" t="n">
        <f aca="false">SUM(P3:P14)</f>
        <v>3678870468</v>
      </c>
      <c r="Q53" s="120" t="n">
        <f aca="false">SUM(Q3:Q14)</f>
        <v>953456708</v>
      </c>
      <c r="R53" s="120" t="n">
        <f aca="false">SUM(R3:R14)</f>
        <v>1503571229</v>
      </c>
      <c r="S53" s="120" t="n">
        <f aca="false">SUM(S3:S14)</f>
        <v>401385145</v>
      </c>
      <c r="U53" s="120" t="n">
        <f aca="false">SUM(U3:U14)</f>
        <v>694445</v>
      </c>
      <c r="V53" s="120" t="n">
        <f aca="false">SUM(V3:V14)</f>
        <v>2984645022</v>
      </c>
      <c r="W53" s="120" t="n">
        <f aca="false">SUM(W3:W14)</f>
        <v>855578215</v>
      </c>
      <c r="X53" s="120" t="n">
        <f aca="false">SUM(X3:X14)</f>
        <v>1789057059</v>
      </c>
      <c r="Y53" s="120" t="n">
        <f aca="false">SUM(Y3:Y14)</f>
        <v>1714143327</v>
      </c>
      <c r="Z53" s="120" t="n">
        <f aca="false">SUM(Z3:Z14)</f>
        <v>1273564394</v>
      </c>
      <c r="AA53" s="123" t="n">
        <f aca="false">SUM(AA3:AA14)</f>
        <v>3635370</v>
      </c>
      <c r="AB53" s="124" t="n">
        <f aca="false">SUM(AB3:AB14)</f>
        <v>13827827722</v>
      </c>
      <c r="AC53" s="124" t="n">
        <f aca="false">SUM(AC3:AC14)</f>
        <v>2595628456</v>
      </c>
      <c r="AD53" s="124" t="n">
        <f aca="false">SUM(AD3:AD14)</f>
        <v>3707646539</v>
      </c>
      <c r="AE53" s="124" t="n">
        <f aca="false">SUM(AE3:AE14)</f>
        <v>2115528472</v>
      </c>
      <c r="AF53" s="124" t="n">
        <f aca="false">SUM(AF3:AF14)</f>
        <v>1273564394</v>
      </c>
      <c r="AG53" s="125" t="n">
        <f aca="false">SUM(AG3:AG14)</f>
        <v>23520195583</v>
      </c>
    </row>
    <row r="54" customFormat="false" ht="12.2" hidden="false" customHeight="true" outlineLevel="0" collapsed="false">
      <c r="A54" s="53" t="s">
        <v>173</v>
      </c>
      <c r="B54" s="151" t="s">
        <v>20</v>
      </c>
      <c r="C54" s="120" t="n">
        <f aca="false">SUM(C15:C26)</f>
        <v>2687</v>
      </c>
      <c r="D54" s="120" t="n">
        <f aca="false">SUM(D15:D26)</f>
        <v>9282185</v>
      </c>
      <c r="F54" s="120" t="n">
        <f aca="false">SUM(F15:F26)</f>
        <v>3652</v>
      </c>
      <c r="G54" s="120" t="n">
        <f aca="false">SUM(G15:G26)</f>
        <v>19740731</v>
      </c>
      <c r="H54" s="120" t="n">
        <f aca="false">SUM(H15:H26)</f>
        <v>1221390</v>
      </c>
      <c r="J54" s="120" t="n">
        <f aca="false">SUM(J15:J26)</f>
        <v>14280</v>
      </c>
      <c r="K54" s="120" t="n">
        <f aca="false">SUM(K15:K26)</f>
        <v>84761943</v>
      </c>
      <c r="L54" s="120" t="n">
        <f aca="false">SUM(L15:L26)</f>
        <v>15841301</v>
      </c>
      <c r="M54" s="120" t="n">
        <f aca="false">SUM(M15:M26)</f>
        <v>10489438</v>
      </c>
      <c r="O54" s="120" t="n">
        <f aca="false">SUM(O15:O26)</f>
        <v>27983</v>
      </c>
      <c r="P54" s="120" t="n">
        <f aca="false">SUM(P15:P26)</f>
        <v>157203303</v>
      </c>
      <c r="Q54" s="120" t="n">
        <f aca="false">SUM(Q15:Q26)</f>
        <v>42089239</v>
      </c>
      <c r="R54" s="120" t="n">
        <f aca="false">SUM(R15:R26)</f>
        <v>67498030</v>
      </c>
      <c r="S54" s="120" t="n">
        <f aca="false">SUM(S15:S26)</f>
        <v>20361966</v>
      </c>
      <c r="U54" s="120" t="n">
        <f aca="false">SUM(U15:U26)</f>
        <v>52125</v>
      </c>
      <c r="V54" s="120" t="n">
        <f aca="false">SUM(V15:V26)</f>
        <v>260043919</v>
      </c>
      <c r="W54" s="120" t="n">
        <f aca="false">SUM(W15:W26)</f>
        <v>76695168</v>
      </c>
      <c r="X54" s="120" t="n">
        <f aca="false">SUM(X15:X26)</f>
        <v>166570204</v>
      </c>
      <c r="Y54" s="120" t="n">
        <f aca="false">SUM(Y15:Y26)</f>
        <v>176479358</v>
      </c>
      <c r="Z54" s="120" t="n">
        <f aca="false">SUM(Z15:Z26)</f>
        <v>166651739</v>
      </c>
      <c r="AA54" s="126" t="n">
        <f aca="false">SUM(AA15:AA26)</f>
        <v>100727</v>
      </c>
      <c r="AB54" s="120" t="n">
        <f aca="false">SUM(AB15:AB26)</f>
        <v>531032081</v>
      </c>
      <c r="AC54" s="120" t="n">
        <f aca="false">SUM(AC15:AC26)</f>
        <v>135847098</v>
      </c>
      <c r="AD54" s="120" t="n">
        <f aca="false">SUM(AD15:AD26)</f>
        <v>244557672</v>
      </c>
      <c r="AE54" s="120" t="n">
        <f aca="false">SUM(AE15:AE26)</f>
        <v>196841324</v>
      </c>
      <c r="AF54" s="120" t="n">
        <f aca="false">SUM(AF15:AF26)</f>
        <v>166651739</v>
      </c>
      <c r="AG54" s="127" t="n">
        <f aca="false">SUM(AG15:AG26)</f>
        <v>1274929914</v>
      </c>
    </row>
    <row r="55" customFormat="false" ht="14.25" hidden="false" customHeight="true" outlineLevel="0" collapsed="false">
      <c r="A55" s="53" t="s">
        <v>174</v>
      </c>
      <c r="B55" s="151" t="s">
        <v>20</v>
      </c>
      <c r="C55" s="120" t="n">
        <f aca="false">SUM(C27:C38)</f>
        <v>597</v>
      </c>
      <c r="D55" s="120" t="n">
        <f aca="false">SUM(D27:D38)</f>
        <v>1914048</v>
      </c>
      <c r="F55" s="120" t="n">
        <f aca="false">SUM(F27:F38)</f>
        <v>1636</v>
      </c>
      <c r="G55" s="120" t="n">
        <f aca="false">SUM(G27:G38)</f>
        <v>8636723</v>
      </c>
      <c r="H55" s="120" t="n">
        <f aca="false">SUM(H27:H38)</f>
        <v>1269047</v>
      </c>
      <c r="J55" s="120" t="n">
        <f aca="false">SUM(J27:J38)</f>
        <v>5708</v>
      </c>
      <c r="K55" s="120" t="n">
        <f aca="false">SUM(K27:K38)</f>
        <v>37780220</v>
      </c>
      <c r="L55" s="120" t="n">
        <f aca="false">SUM(L27:L38)</f>
        <v>7510744</v>
      </c>
      <c r="M55" s="120" t="n">
        <f aca="false">SUM(M27:M38)</f>
        <v>6681979</v>
      </c>
      <c r="O55" s="120" t="n">
        <f aca="false">SUM(O27:O38)</f>
        <v>15217</v>
      </c>
      <c r="P55" s="120" t="n">
        <f aca="false">SUM(P27:P38)</f>
        <v>101572732</v>
      </c>
      <c r="Q55" s="120" t="n">
        <f aca="false">SUM(Q27:Q38)</f>
        <v>26970816</v>
      </c>
      <c r="R55" s="120" t="n">
        <f aca="false">SUM(R27:R38)</f>
        <v>42748653</v>
      </c>
      <c r="S55" s="120" t="n">
        <f aca="false">SUM(S27:S38)</f>
        <v>13628300</v>
      </c>
      <c r="U55" s="120" t="n">
        <f aca="false">SUM(U27:U38)</f>
        <v>74477</v>
      </c>
      <c r="V55" s="120" t="n">
        <f aca="false">SUM(V27:V38)</f>
        <v>385744561</v>
      </c>
      <c r="W55" s="120" t="n">
        <f aca="false">SUM(W27:W38)</f>
        <v>113740060</v>
      </c>
      <c r="X55" s="120" t="n">
        <f aca="false">SUM(X27:X38)</f>
        <v>250117514</v>
      </c>
      <c r="Y55" s="120" t="n">
        <f aca="false">SUM(Y27:Y38)</f>
        <v>285750547</v>
      </c>
      <c r="Z55" s="129" t="n">
        <f aca="false">SUM(Z27:Z38)</f>
        <v>578420769</v>
      </c>
      <c r="AA55" s="128" t="n">
        <f aca="false">SUM(AA27:AA38)</f>
        <v>97635</v>
      </c>
      <c r="AB55" s="129" t="n">
        <f aca="false">SUM(AB27:AB38)</f>
        <v>535648284</v>
      </c>
      <c r="AC55" s="129" t="n">
        <f aca="false">SUM(AC27:AC38)</f>
        <v>149490667</v>
      </c>
      <c r="AD55" s="129" t="n">
        <f aca="false">SUM(AD27:AD38)</f>
        <v>299548146</v>
      </c>
      <c r="AE55" s="129" t="n">
        <f aca="false">SUM(AE27:AE38)</f>
        <v>299378847</v>
      </c>
      <c r="AF55" s="129" t="n">
        <f aca="false">SUM(AF27:AF38)</f>
        <v>578420769</v>
      </c>
      <c r="AG55" s="130" t="n">
        <f aca="false">SUM(AG27:AG38)</f>
        <v>1862486713</v>
      </c>
    </row>
    <row r="56" customFormat="false" ht="12.2" hidden="false" customHeight="true" outlineLevel="0" collapsed="false">
      <c r="A56" s="53" t="s">
        <v>151</v>
      </c>
      <c r="B56" s="151" t="s">
        <v>20</v>
      </c>
      <c r="C56" s="120" t="n">
        <f aca="false">SUM(C53:C55)</f>
        <v>688603</v>
      </c>
      <c r="D56" s="120" t="n">
        <f aca="false">SUM(D53:D55)</f>
        <v>1598427576</v>
      </c>
      <c r="E56" s="120" t="n">
        <f aca="false">SUM(E53:E55)</f>
        <v>0</v>
      </c>
      <c r="F56" s="120" t="n">
        <f aca="false">SUM(F53:F55)</f>
        <v>458857</v>
      </c>
      <c r="G56" s="120" t="n">
        <f aca="false">SUM(G53:G55)</f>
        <v>1709516010</v>
      </c>
      <c r="H56" s="120" t="n">
        <f aca="false">SUM(H53:H55)</f>
        <v>81004495</v>
      </c>
      <c r="I56" s="120" t="n">
        <f aca="false">SUM(I53:I55)</f>
        <v>0</v>
      </c>
      <c r="J56" s="120" t="n">
        <f aca="false">SUM(J53:J55)</f>
        <v>963018</v>
      </c>
      <c r="K56" s="120" t="n">
        <f aca="false">SUM(K53:K55)</f>
        <v>4018484496</v>
      </c>
      <c r="L56" s="120" t="n">
        <f aca="false">SUM(L53:L55)</f>
        <v>731431520</v>
      </c>
      <c r="M56" s="120" t="n">
        <f aca="false">SUM(M53:M55)</f>
        <v>432189668</v>
      </c>
      <c r="N56" s="120" t="n">
        <f aca="false">SUM(N53:N55)</f>
        <v>0</v>
      </c>
      <c r="O56" s="120" t="n">
        <f aca="false">SUM(O53:O55)</f>
        <v>902207</v>
      </c>
      <c r="P56" s="120" t="n">
        <f aca="false">SUM(P53:P55)</f>
        <v>3937646503</v>
      </c>
      <c r="Q56" s="120" t="n">
        <f aca="false">SUM(Q53:Q55)</f>
        <v>1022516763</v>
      </c>
      <c r="R56" s="120" t="n">
        <f aca="false">SUM(R53:R55)</f>
        <v>1613817912</v>
      </c>
      <c r="S56" s="120" t="n">
        <f aca="false">SUM(S53:S55)</f>
        <v>435375411</v>
      </c>
      <c r="T56" s="120" t="n">
        <f aca="false">SUM(T53:T55)</f>
        <v>0</v>
      </c>
      <c r="U56" s="120" t="n">
        <f aca="false">SUM(U53:U55)</f>
        <v>821047</v>
      </c>
      <c r="V56" s="120" t="n">
        <f aca="false">SUM(V53:V55)</f>
        <v>3630433502</v>
      </c>
      <c r="W56" s="120" t="n">
        <f aca="false">SUM(W53:W55)</f>
        <v>1046013443</v>
      </c>
      <c r="X56" s="120" t="n">
        <f aca="false">SUM(X53:X55)</f>
        <v>2205744777</v>
      </c>
      <c r="Y56" s="120" t="n">
        <f aca="false">SUM(Y53:Y55)</f>
        <v>2176373232</v>
      </c>
      <c r="Z56" s="120" t="n">
        <f aca="false">SUM(Z53:Z55)</f>
        <v>2018636902</v>
      </c>
      <c r="AA56" s="131" t="n">
        <f aca="false">SUM(AA53:AA55)</f>
        <v>3833732</v>
      </c>
      <c r="AB56" s="132" t="n">
        <f aca="false">SUM(AB53:AB55)</f>
        <v>14894508087</v>
      </c>
      <c r="AC56" s="132" t="n">
        <f aca="false">SUM(AC53:AC55)</f>
        <v>2880966221</v>
      </c>
      <c r="AD56" s="132" t="n">
        <f aca="false">SUM(AD53:AD55)</f>
        <v>4251752357</v>
      </c>
      <c r="AE56" s="132" t="n">
        <f aca="false">SUM(AE53:AE55)</f>
        <v>2611748643</v>
      </c>
      <c r="AF56" s="132" t="n">
        <f aca="false">SUM(AF53:AF55)</f>
        <v>2018636902</v>
      </c>
      <c r="AG56" s="133" t="n">
        <f aca="false">SUM(AG53:AG55)</f>
        <v>26657612210</v>
      </c>
    </row>
    <row r="57" customFormat="false" ht="12.75" hidden="false" customHeight="false" outlineLevel="0" collapsed="false">
      <c r="A57" s="154"/>
      <c r="B57" s="155"/>
      <c r="C57" s="134"/>
      <c r="D57" s="134"/>
      <c r="E57" s="134"/>
      <c r="F57" s="134"/>
      <c r="G57" s="134"/>
      <c r="H57" s="134"/>
      <c r="I57" s="134"/>
      <c r="J57" s="134"/>
      <c r="K57" s="134"/>
      <c r="L57" s="134"/>
      <c r="M57" s="134"/>
      <c r="N57" s="134"/>
      <c r="O57" s="134"/>
      <c r="P57" s="134"/>
      <c r="Q57" s="134"/>
      <c r="R57" s="134"/>
      <c r="S57" s="134"/>
      <c r="T57" s="134"/>
      <c r="U57" s="134"/>
      <c r="V57" s="134"/>
      <c r="W57" s="134"/>
      <c r="X57" s="134"/>
      <c r="Y57" s="134"/>
      <c r="Z57" s="134" t="s">
        <v>175</v>
      </c>
      <c r="AA57" s="156" t="n">
        <f aca="false">[12]TierSum!$B$9</f>
        <v>3788967</v>
      </c>
      <c r="AB57" s="157" t="n">
        <f aca="false">[12]TierSum!D$9</f>
        <v>14713813280</v>
      </c>
      <c r="AC57" s="157" t="n">
        <f aca="false">[12]TierSum!E$9</f>
        <v>2844883235</v>
      </c>
      <c r="AD57" s="157" t="n">
        <f aca="false">[12]TierSum!F$9</f>
        <v>4224630177</v>
      </c>
      <c r="AE57" s="157" t="n">
        <f aca="false">[12]TierSum!G$9</f>
        <v>2611748643</v>
      </c>
      <c r="AF57" s="157" t="n">
        <f aca="false">[12]TierSum!H$9</f>
        <v>2018636902</v>
      </c>
      <c r="AG57" s="157" t="n">
        <f aca="false">[12]TierSum!I$9</f>
        <v>26413712237</v>
      </c>
      <c r="AH57" s="154"/>
      <c r="AI57" s="154"/>
      <c r="AJ57" s="154"/>
      <c r="AK57" s="154"/>
      <c r="AL57" s="154"/>
      <c r="AM57" s="154"/>
      <c r="AN57" s="154"/>
    </row>
    <row r="58" customFormat="false" ht="12.2" hidden="false" customHeight="true" outlineLevel="0" collapsed="false">
      <c r="AA58" s="53" t="s">
        <v>172</v>
      </c>
      <c r="AB58" s="135" t="n">
        <f aca="false">AB53/$AG53</f>
        <v>0.587912956471949</v>
      </c>
      <c r="AC58" s="135" t="n">
        <f aca="false">AC53/$AG53</f>
        <v>0.110357435032389</v>
      </c>
      <c r="AD58" s="135" t="n">
        <f aca="false">AD53/$AG53</f>
        <v>0.157636722276231</v>
      </c>
      <c r="AE58" s="135" t="n">
        <f aca="false">AE53/$AG53</f>
        <v>0.0899451904868116</v>
      </c>
      <c r="AF58" s="135" t="n">
        <f aca="false">AF53/$AG53</f>
        <v>0.0541476957326201</v>
      </c>
      <c r="AG58" s="135" t="n">
        <f aca="false">SUM(AB58:AF58)</f>
        <v>1</v>
      </c>
    </row>
    <row r="59" customFormat="false" ht="12.2" hidden="false" customHeight="true" outlineLevel="0" collapsed="false">
      <c r="AA59" s="53" t="s">
        <v>173</v>
      </c>
      <c r="AB59" s="135" t="n">
        <f aca="false">AB54/$AG54</f>
        <v>0.416518645588859</v>
      </c>
      <c r="AC59" s="135" t="n">
        <f aca="false">AC54/$AG54</f>
        <v>0.106552600663192</v>
      </c>
      <c r="AD59" s="135" t="n">
        <f aca="false">AD54/$AG54</f>
        <v>0.191820483082649</v>
      </c>
      <c r="AE59" s="135" t="n">
        <f aca="false">AE54/$AG54</f>
        <v>0.154393839095378</v>
      </c>
      <c r="AF59" s="135" t="n">
        <f aca="false">AF54/$AG54</f>
        <v>0.130714431569922</v>
      </c>
      <c r="AG59" s="135" t="n">
        <f aca="false">SUM(AB59:AF59)</f>
        <v>1</v>
      </c>
    </row>
    <row r="60" customFormat="false" ht="12.2" hidden="false" customHeight="true" outlineLevel="0" collapsed="false">
      <c r="AA60" s="53" t="s">
        <v>174</v>
      </c>
      <c r="AB60" s="135" t="n">
        <f aca="false">AB55/$AG55</f>
        <v>0.287598445809691</v>
      </c>
      <c r="AC60" s="135" t="n">
        <f aca="false">AC55/$AG55</f>
        <v>0.0802640179693996</v>
      </c>
      <c r="AD60" s="135" t="n">
        <f aca="false">AD55/$AG55</f>
        <v>0.160832366700487</v>
      </c>
      <c r="AE60" s="135" t="n">
        <f aca="false">AE55/$AG55</f>
        <v>0.160741467260067</v>
      </c>
      <c r="AF60" s="135" t="n">
        <f aca="false">AF55/$AG55</f>
        <v>0.310563702260355</v>
      </c>
      <c r="AG60" s="135" t="n">
        <f aca="false">SUM(AB60:AF60)</f>
        <v>1</v>
      </c>
    </row>
    <row r="61" customFormat="false" ht="12.2" hidden="false" customHeight="true" outlineLevel="0" collapsed="false">
      <c r="AA61" s="158"/>
      <c r="AB61" s="159" t="s">
        <v>17</v>
      </c>
      <c r="AC61" s="159" t="s">
        <v>18</v>
      </c>
      <c r="AD61" s="159" t="s">
        <v>155</v>
      </c>
      <c r="AE61" s="159" t="s">
        <v>156</v>
      </c>
      <c r="AF61" s="159" t="s">
        <v>157</v>
      </c>
      <c r="AG61" s="160" t="s">
        <v>20</v>
      </c>
    </row>
    <row r="62" customFormat="false" ht="12.2" hidden="false" customHeight="true" outlineLevel="0" collapsed="false">
      <c r="AA62" s="161" t="s">
        <v>172</v>
      </c>
      <c r="AB62" s="162" t="n">
        <f aca="false">Residential!E6+Residential!E8</f>
        <v>13828756763.2458</v>
      </c>
      <c r="AC62" s="139" t="n">
        <f aca="false">AG62-AB62-AD62-AE62-AF62</f>
        <v>2488041966.18214</v>
      </c>
      <c r="AD62" s="139" t="n">
        <f aca="false">AD58*$AG62</f>
        <v>3683568286.78738</v>
      </c>
      <c r="AE62" s="139" t="n">
        <f aca="false">AE58*$AG62</f>
        <v>2101789776.15185</v>
      </c>
      <c r="AF62" s="139" t="n">
        <f aca="false">AF58*$AG62</f>
        <v>1265293593.54338</v>
      </c>
      <c r="AG62" s="140" t="n">
        <f aca="false">Residential!E11</f>
        <v>23367450385.9106</v>
      </c>
      <c r="AH62" s="152" t="n">
        <f aca="false">SUM(AB62:AF62)</f>
        <v>23367450385.9106</v>
      </c>
    </row>
    <row r="63" customFormat="false" ht="12.75" hidden="false" customHeight="false" outlineLevel="0" collapsed="false">
      <c r="AA63" s="161" t="s">
        <v>173</v>
      </c>
      <c r="AB63" s="162" t="n">
        <f aca="false">Residential!E19+Residential!E20</f>
        <v>506087521.758126</v>
      </c>
      <c r="AC63" s="139" t="n">
        <f aca="false">AG63-AB63-AD63-AE63-AF63</f>
        <v>121080687.387074</v>
      </c>
      <c r="AD63" s="139" t="n">
        <f aca="false">AD59*$AG63</f>
        <v>229994880.648327</v>
      </c>
      <c r="AE63" s="139" t="n">
        <f aca="false">AE59*$AG63</f>
        <v>185119920.588869</v>
      </c>
      <c r="AF63" s="139" t="n">
        <f aca="false">AF59*$AG63</f>
        <v>156728049.08423</v>
      </c>
      <c r="AG63" s="140" t="n">
        <f aca="false">Residential!E22</f>
        <v>1199011059.46663</v>
      </c>
      <c r="AH63" s="152" t="n">
        <f aca="false">SUM(AB63:AF63)</f>
        <v>1199011059.46663</v>
      </c>
    </row>
    <row r="64" customFormat="false" ht="12.75" hidden="false" customHeight="false" outlineLevel="0" collapsed="false">
      <c r="AA64" s="163" t="s">
        <v>174</v>
      </c>
      <c r="AB64" s="141" t="n">
        <f aca="false">AB60*$AG64</f>
        <v>646553301.89782</v>
      </c>
      <c r="AC64" s="141" t="n">
        <f aca="false">AC60*$AG64</f>
        <v>180442441.876202</v>
      </c>
      <c r="AD64" s="141" t="n">
        <f aca="false">AD60*$AG64</f>
        <v>361569053.161888</v>
      </c>
      <c r="AE64" s="141" t="n">
        <f aca="false">AE60*$AG64</f>
        <v>361364701.10714</v>
      </c>
      <c r="AF64" s="141" t="n">
        <f aca="false">AF60*$AG64</f>
        <v>698181753.314879</v>
      </c>
      <c r="AG64" s="142" t="n">
        <f aca="false">Residential!E31</f>
        <v>2248111251.35793</v>
      </c>
      <c r="AH64" s="152" t="n">
        <f aca="false">SUM(AB64:AF64)</f>
        <v>2248111251.35793</v>
      </c>
    </row>
    <row r="65" customFormat="false" ht="12.75" hidden="false" customHeight="false" outlineLevel="0" collapsed="false">
      <c r="AA65" s="164" t="s">
        <v>158</v>
      </c>
      <c r="AB65" s="148" t="n">
        <f aca="false">SUM(AB62:AB64)</f>
        <v>14981397586.9018</v>
      </c>
      <c r="AC65" s="148" t="n">
        <f aca="false">SUM(AC62:AC64)</f>
        <v>2789565095.44541</v>
      </c>
      <c r="AD65" s="148" t="n">
        <f aca="false">SUM(AD62:AD64)</f>
        <v>4275132220.5976</v>
      </c>
      <c r="AE65" s="148" t="n">
        <f aca="false">SUM(AE62:AE64)</f>
        <v>2648274397.84785</v>
      </c>
      <c r="AF65" s="148" t="n">
        <f aca="false">SUM(AF62:AF64)</f>
        <v>2120203395.94249</v>
      </c>
      <c r="AG65" s="149" t="n">
        <f aca="false">SUM(AG62:AG64)</f>
        <v>26814572696.7351</v>
      </c>
    </row>
    <row r="66" customFormat="false" ht="12.75" hidden="false" customHeight="false" outlineLevel="0" collapsed="false">
      <c r="AA66" s="53" t="s">
        <v>176</v>
      </c>
      <c r="AB66" s="165" t="n">
        <f aca="false">[12]BillDet!D$9</f>
        <v>14937113431.9421</v>
      </c>
      <c r="AC66" s="165" t="n">
        <f aca="false">[12]BillDet!E$9</f>
        <v>2888057825.1993</v>
      </c>
      <c r="AD66" s="165" t="n">
        <f aca="false">[12]BillDet!F$9</f>
        <v>4288744118.26536</v>
      </c>
      <c r="AE66" s="165" t="n">
        <f aca="false">[12]BillDet!G$9</f>
        <v>2651385130.00159</v>
      </c>
      <c r="AF66" s="165" t="n">
        <f aca="false">[12]BillDet!H$9</f>
        <v>2049272191.32675</v>
      </c>
      <c r="AG66" s="152" t="n">
        <f aca="false">SUM(AB66:AF66)</f>
        <v>26814572696.7351</v>
      </c>
    </row>
    <row r="67" customFormat="false" ht="12.75" hidden="false" customHeight="false" outlineLevel="0" collapsed="false">
      <c r="AA67" s="158" t="s">
        <v>172</v>
      </c>
      <c r="AB67" s="144" t="n">
        <f aca="false">AB62</f>
        <v>13828756763.2458</v>
      </c>
      <c r="AC67" s="144" t="n">
        <f aca="false">AC66-AC68-AC69</f>
        <v>2533865375.68769</v>
      </c>
      <c r="AD67" s="144" t="n">
        <f aca="false">AD$66/AD$65*AD62+AD72*$AG72</f>
        <v>3686054464.30233</v>
      </c>
      <c r="AE67" s="144" t="n">
        <f aca="false">AE$66/AE$65*AE62+AE72*$AG72</f>
        <v>2098985131.4518</v>
      </c>
      <c r="AF67" s="144" t="n">
        <f aca="false">AF$66/AF$65*AF62+AF72*$AG72</f>
        <v>1219788651.22293</v>
      </c>
      <c r="AG67" s="145" t="n">
        <f aca="false">SUM(AB67:AF67)</f>
        <v>23367450385.9106</v>
      </c>
      <c r="AH67" s="53" t="n">
        <v>0.992732615381676</v>
      </c>
    </row>
    <row r="68" customFormat="false" ht="12.75" hidden="false" customHeight="false" outlineLevel="0" collapsed="false">
      <c r="AA68" s="161" t="s">
        <v>173</v>
      </c>
      <c r="AB68" s="139" t="n">
        <f aca="false">AB63</f>
        <v>506087521.758126</v>
      </c>
      <c r="AC68" s="139" t="n">
        <f aca="false">AB68/AB54*AC54</f>
        <v>129465852.675769</v>
      </c>
      <c r="AD68" s="139" t="n">
        <f aca="false">AD$66/AD$65*AD63+AD73*$AG73</f>
        <v>229081543.690961</v>
      </c>
      <c r="AE68" s="139" t="n">
        <f aca="false">AE$66/AE$65*AE63+AE73*$AG73</f>
        <v>184012817.619902</v>
      </c>
      <c r="AF68" s="139" t="n">
        <f aca="false">AF$66/AF$65*AF63+AF73*$AG73</f>
        <v>150363323.721867</v>
      </c>
      <c r="AG68" s="146" t="n">
        <f aca="false">SUM(AB68:AF68)</f>
        <v>1199011059.46663</v>
      </c>
      <c r="AH68" s="53" t="n">
        <v>0.995515787969289</v>
      </c>
    </row>
    <row r="69" customFormat="false" ht="12.75" hidden="false" customHeight="false" outlineLevel="0" collapsed="false">
      <c r="AA69" s="163" t="s">
        <v>174</v>
      </c>
      <c r="AB69" s="141" t="n">
        <f aca="false">AB64+AB66-AB65</f>
        <v>602269146.938179</v>
      </c>
      <c r="AC69" s="141" t="n">
        <f aca="false">AC64+AB64-AB69</f>
        <v>224726596.835843</v>
      </c>
      <c r="AD69" s="141" t="n">
        <f aca="false">AD66-AD67-AD68</f>
        <v>373608110.272068</v>
      </c>
      <c r="AE69" s="141" t="n">
        <f aca="false">AE66-AE67-AE68</f>
        <v>368387180.929881</v>
      </c>
      <c r="AF69" s="141" t="n">
        <f aca="false">AF66-AF67-AF68</f>
        <v>679120216.381956</v>
      </c>
      <c r="AG69" s="147" t="n">
        <f aca="false">SUM(AB69:AF69)</f>
        <v>2248111251.35793</v>
      </c>
      <c r="AH69" s="152" t="n">
        <f aca="false">AG63-AG68</f>
        <v>0</v>
      </c>
    </row>
    <row r="70" customFormat="false" ht="12.75" hidden="false" customHeight="false" outlineLevel="0" collapsed="false">
      <c r="AA70" s="164" t="s">
        <v>177</v>
      </c>
      <c r="AB70" s="148" t="n">
        <f aca="false">SUM(AB67:AB69)</f>
        <v>14937113431.9421</v>
      </c>
      <c r="AC70" s="148" t="n">
        <f aca="false">SUM(AC67:AC69)</f>
        <v>2888057825.1993</v>
      </c>
      <c r="AD70" s="148" t="n">
        <f aca="false">SUM(AD67:AD69)</f>
        <v>4288744118.26536</v>
      </c>
      <c r="AE70" s="148" t="n">
        <f aca="false">SUM(AE67:AE69)</f>
        <v>2651385130.00159</v>
      </c>
      <c r="AF70" s="148" t="n">
        <f aca="false">SUM(AF67:AF69)</f>
        <v>2049272191.32675</v>
      </c>
      <c r="AG70" s="149" t="n">
        <f aca="false">SUM(AG67:AG69)</f>
        <v>26814572696.7351</v>
      </c>
    </row>
    <row r="71" customFormat="false" ht="12.75" hidden="false" customHeight="false" outlineLevel="0" collapsed="false">
      <c r="AB71" s="152" t="n">
        <f aca="false">AB66-AB70</f>
        <v>0</v>
      </c>
      <c r="AC71" s="152" t="n">
        <f aca="false">AC66-AC70</f>
        <v>0</v>
      </c>
      <c r="AD71" s="152" t="n">
        <f aca="false">AD66-AD70</f>
        <v>0</v>
      </c>
      <c r="AE71" s="152" t="n">
        <f aca="false">AE66-AE70</f>
        <v>0</v>
      </c>
      <c r="AF71" s="152" t="n">
        <f aca="false">AF66-AF70</f>
        <v>0</v>
      </c>
      <c r="AG71" s="152" t="n">
        <f aca="false">AG66-AG70</f>
        <v>0</v>
      </c>
      <c r="AH71" s="152"/>
    </row>
    <row r="72" customFormat="false" ht="12.75" hidden="false" customHeight="false" outlineLevel="0" collapsed="false">
      <c r="Z72" s="0"/>
      <c r="AA72" s="0"/>
      <c r="AB72" s="0"/>
      <c r="AD72" s="150" t="n">
        <v>0.522443664253443</v>
      </c>
      <c r="AE72" s="150" t="n">
        <v>0.2980986550682</v>
      </c>
      <c r="AF72" s="150" t="n">
        <v>0.179457680678357</v>
      </c>
      <c r="AG72" s="152" t="n">
        <v>-17690323.9229088</v>
      </c>
    </row>
    <row r="73" customFormat="false" ht="12.75" hidden="false" customHeight="false" outlineLevel="0" collapsed="false">
      <c r="Z73" s="0"/>
      <c r="AA73" s="0"/>
      <c r="AB73" s="0"/>
      <c r="AD73" s="150" t="n">
        <v>0.402199451333613</v>
      </c>
      <c r="AE73" s="150" t="n">
        <v>0.323725164150982</v>
      </c>
      <c r="AF73" s="150" t="n">
        <v>0.274075384515406</v>
      </c>
      <c r="AG73" s="152" t="n">
        <v>-4091586.94111824</v>
      </c>
    </row>
    <row r="74" customFormat="false" ht="12.75" hidden="false" customHeight="false" outlineLevel="0" collapsed="false">
      <c r="AD74" s="150" t="n">
        <f aca="false">AD64/($AD64+$AE64+$AF64)</f>
        <v>0.254426224492199</v>
      </c>
      <c r="AE74" s="150" t="n">
        <f aca="false">AE64/($AD64+$AE64+$AF64)</f>
        <v>0.254282427556863</v>
      </c>
      <c r="AF74" s="150" t="n">
        <f aca="false">AF64/($AD64+$AE64+$AF64)</f>
        <v>0.491291347950938</v>
      </c>
      <c r="AG74" s="152" t="n">
        <f aca="false">AG64-AG69</f>
        <v>0</v>
      </c>
    </row>
    <row r="75" customFormat="false" ht="12.75" hidden="false" customHeight="false" outlineLevel="0" collapsed="false">
      <c r="AD75" s="150"/>
      <c r="AE75" s="150"/>
      <c r="AF75" s="150"/>
      <c r="AG75" s="152"/>
    </row>
    <row r="76" customFormat="false" ht="12.75" hidden="false" customHeight="false" outlineLevel="0" collapsed="false">
      <c r="AG76" s="152"/>
    </row>
    <row r="77" customFormat="false" ht="12.75" hidden="false" customHeight="false" outlineLevel="0" collapsed="false">
      <c r="AG77" s="152"/>
    </row>
  </sheetData>
  <printOptions headings="tru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3" fitToHeight="2" pageOrder="downThenOver" orientation="landscape" blackAndWhite="false" draft="false" cellComments="none" horizontalDpi="300" verticalDpi="300" copies="1"/>
  <headerFooter differentFirst="false" differentOddEven="false">
    <oddHeader>&amp;CPacific Gas and Electric Company
Rate Design Workpapers
3 Cent Surcharge</oddHeader>
    <oddFooter>&amp;L&amp;D  &amp;T&amp;R&amp;F  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Q88"/>
  <sheetViews>
    <sheetView showFormulas="false" showGridLines="true" showRowColHeaders="true" showZeros="true" rightToLeft="false" tabSelected="false" showOutlineSymbols="true" defaultGridColor="true" view="normal" topLeftCell="A1" colorId="64" zoomScale="80" zoomScaleNormal="80" zoomScalePageLayoutView="100" workbookViewId="0">
      <pane xSplit="4" ySplit="4" topLeftCell="E28" activePane="bottomRight" state="frozen"/>
      <selection pane="topLeft" activeCell="A1" activeCellId="0" sqref="A1"/>
      <selection pane="topRight" activeCell="E1" activeCellId="0" sqref="E1"/>
      <selection pane="bottomLeft" activeCell="A28" activeCellId="0" sqref="A28"/>
      <selection pane="bottomRight" activeCell="E67" activeCellId="0" sqref="E6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66" width="9.14"/>
    <col collapsed="false" customWidth="true" hidden="false" outlineLevel="0" max="2" min="2" style="116" width="10.41"/>
    <col collapsed="false" customWidth="true" hidden="false" outlineLevel="0" max="3" min="3" style="167" width="4.41"/>
    <col collapsed="false" customWidth="true" hidden="false" outlineLevel="0" max="4" min="4" style="1" width="11.99"/>
    <col collapsed="false" customWidth="true" hidden="false" outlineLevel="0" max="5" min="5" style="21" width="16.28"/>
    <col collapsed="false" customWidth="true" hidden="false" outlineLevel="0" max="6" min="6" style="21" width="6.99"/>
    <col collapsed="false" customWidth="true" hidden="false" outlineLevel="0" max="7" min="7" style="21" width="10.99"/>
    <col collapsed="false" customWidth="true" hidden="false" outlineLevel="0" max="8" min="8" style="21" width="18.41"/>
    <col collapsed="false" customWidth="true" hidden="false" outlineLevel="0" max="9" min="9" style="21" width="1.7"/>
    <col collapsed="false" customWidth="true" hidden="false" outlineLevel="0" max="10" min="10" style="21" width="10.99"/>
    <col collapsed="false" customWidth="true" hidden="false" outlineLevel="0" max="11" min="11" style="21" width="15.28"/>
    <col collapsed="false" customWidth="true" hidden="false" outlineLevel="0" max="12" min="12" style="21" width="1.7"/>
    <col collapsed="false" customWidth="true" hidden="false" outlineLevel="0" max="13" min="13" style="1" width="9.99"/>
    <col collapsed="false" customWidth="true" hidden="false" outlineLevel="0" max="14" min="14" style="1" width="10.56"/>
    <col collapsed="false" customWidth="true" hidden="false" outlineLevel="0" max="16" min="15" style="1" width="14.99"/>
    <col collapsed="false" customWidth="true" hidden="false" outlineLevel="0" max="17" min="17" style="3" width="13.7"/>
    <col collapsed="false" customWidth="true" hidden="false" outlineLevel="0" max="18" min="18" style="1" width="9.14"/>
    <col collapsed="false" customWidth="true" hidden="false" outlineLevel="0" max="19" min="19" style="1" width="17.28"/>
    <col collapsed="false" customWidth="true" hidden="false" outlineLevel="0" max="20" min="20" style="1" width="11.13"/>
    <col collapsed="false" customWidth="true" hidden="false" outlineLevel="0" max="21" min="21" style="1" width="13.41"/>
    <col collapsed="false" customWidth="true" hidden="false" outlineLevel="0" max="123" min="22" style="1" width="9.14"/>
  </cols>
  <sheetData>
    <row r="2" customFormat="false" ht="12.75" hidden="false" customHeight="false" outlineLevel="0" collapsed="false">
      <c r="E2" s="5" t="s">
        <v>101</v>
      </c>
      <c r="F2" s="84"/>
      <c r="G2" s="84"/>
      <c r="H2" s="84"/>
      <c r="I2" s="84"/>
      <c r="J2" s="168" t="n">
        <v>0.01</v>
      </c>
      <c r="K2" s="84"/>
      <c r="L2" s="84"/>
      <c r="M2" s="5"/>
      <c r="N2" s="5" t="s">
        <v>20</v>
      </c>
      <c r="O2" s="5" t="s">
        <v>20</v>
      </c>
      <c r="P2" s="5"/>
      <c r="Q2" s="169" t="n">
        <v>0.03</v>
      </c>
    </row>
    <row r="3" customFormat="false" ht="12.75" hidden="false" customHeight="false" outlineLevel="0" collapsed="false">
      <c r="E3" s="5" t="s">
        <v>104</v>
      </c>
      <c r="F3" s="84"/>
      <c r="G3" s="5" t="s">
        <v>178</v>
      </c>
      <c r="H3" s="5" t="s">
        <v>179</v>
      </c>
      <c r="I3" s="5"/>
      <c r="J3" s="5" t="s">
        <v>178</v>
      </c>
      <c r="K3" s="5" t="s">
        <v>180</v>
      </c>
      <c r="L3" s="84"/>
      <c r="M3" s="5" t="s">
        <v>181</v>
      </c>
      <c r="N3" s="5" t="s">
        <v>181</v>
      </c>
      <c r="O3" s="5" t="s">
        <v>182</v>
      </c>
      <c r="P3" s="5" t="s">
        <v>183</v>
      </c>
      <c r="Q3" s="4" t="s">
        <v>12</v>
      </c>
    </row>
    <row r="4" customFormat="false" ht="12.75" hidden="false" customHeight="false" outlineLevel="0" collapsed="false">
      <c r="E4" s="5" t="s">
        <v>9</v>
      </c>
      <c r="F4" s="84"/>
      <c r="G4" s="5" t="s">
        <v>184</v>
      </c>
      <c r="H4" s="5" t="s">
        <v>184</v>
      </c>
      <c r="I4" s="5"/>
      <c r="J4" s="5" t="s">
        <v>185</v>
      </c>
      <c r="K4" s="5" t="s">
        <v>185</v>
      </c>
      <c r="L4" s="84"/>
      <c r="M4" s="5" t="s">
        <v>184</v>
      </c>
      <c r="N4" s="5" t="s">
        <v>185</v>
      </c>
      <c r="O4" s="5" t="s">
        <v>185</v>
      </c>
      <c r="P4" s="5" t="s">
        <v>186</v>
      </c>
      <c r="Q4" s="4" t="s">
        <v>187</v>
      </c>
    </row>
    <row r="5" customFormat="false" ht="12.75" hidden="false" customHeight="false" outlineLevel="0" collapsed="false">
      <c r="E5" s="84"/>
      <c r="F5" s="84"/>
      <c r="G5" s="84"/>
      <c r="H5" s="84"/>
      <c r="I5" s="84"/>
      <c r="J5" s="84"/>
      <c r="K5" s="84"/>
      <c r="L5" s="84"/>
      <c r="M5" s="5"/>
      <c r="N5" s="5"/>
      <c r="O5" s="5"/>
      <c r="P5" s="5"/>
      <c r="Q5" s="4"/>
    </row>
    <row r="6" customFormat="false" ht="12.75" hidden="false" customHeight="false" outlineLevel="0" collapsed="false">
      <c r="A6" s="21" t="s">
        <v>172</v>
      </c>
      <c r="B6" s="11" t="s">
        <v>15</v>
      </c>
      <c r="C6" s="17" t="s">
        <v>16</v>
      </c>
      <c r="D6" s="1" t="s">
        <v>17</v>
      </c>
      <c r="E6" s="170" t="n">
        <v>6743661372</v>
      </c>
      <c r="F6" s="13"/>
      <c r="G6" s="171" t="n">
        <v>0.11589</v>
      </c>
      <c r="H6" s="172" t="n">
        <f aca="false">E6*G6</f>
        <v>781522916.40108</v>
      </c>
      <c r="I6" s="13"/>
      <c r="J6" s="173" t="n">
        <f aca="false">G6+$J$2</f>
        <v>0.12589</v>
      </c>
      <c r="K6" s="172" t="n">
        <f aca="false">E6*J6</f>
        <v>848959530.12108</v>
      </c>
      <c r="L6" s="13"/>
      <c r="M6" s="171" t="n">
        <v>0.05735</v>
      </c>
      <c r="N6" s="174" t="n">
        <f aca="false">$J$2+M6</f>
        <v>0.06735</v>
      </c>
      <c r="O6" s="111" t="n">
        <f aca="false">E6*N6</f>
        <v>454185593.4042</v>
      </c>
      <c r="P6" s="111"/>
      <c r="Q6" s="4"/>
    </row>
    <row r="7" customFormat="false" ht="12.75" hidden="false" customHeight="false" outlineLevel="0" collapsed="false">
      <c r="A7" s="21"/>
      <c r="B7" s="25"/>
      <c r="C7" s="28"/>
      <c r="D7" s="1" t="s">
        <v>18</v>
      </c>
      <c r="E7" s="170" t="n">
        <v>4786100707</v>
      </c>
      <c r="F7" s="13"/>
      <c r="G7" s="171" t="n">
        <v>0.13321</v>
      </c>
      <c r="H7" s="172" t="n">
        <f aca="false">E7*G7</f>
        <v>637556475.17947</v>
      </c>
      <c r="I7" s="13"/>
      <c r="J7" s="173" t="n">
        <f aca="false">G7+$J$2</f>
        <v>0.14321</v>
      </c>
      <c r="K7" s="172" t="n">
        <f aca="false">E7*J7</f>
        <v>685417482.24947</v>
      </c>
      <c r="L7" s="13"/>
      <c r="M7" s="171" t="n">
        <v>0.06395</v>
      </c>
      <c r="N7" s="174" t="n">
        <f aca="false">$J$2+M7</f>
        <v>0.07395</v>
      </c>
      <c r="O7" s="111" t="n">
        <f aca="false">E7*N7</f>
        <v>353932147.28265</v>
      </c>
      <c r="P7" s="111"/>
      <c r="Q7" s="4"/>
    </row>
    <row r="8" customFormat="false" ht="12.75" hidden="false" customHeight="false" outlineLevel="0" collapsed="false">
      <c r="A8" s="21"/>
      <c r="B8" s="25"/>
      <c r="C8" s="28" t="s">
        <v>19</v>
      </c>
      <c r="D8" s="1" t="s">
        <v>17</v>
      </c>
      <c r="E8" s="170" t="n">
        <v>7085095391.24582</v>
      </c>
      <c r="F8" s="13"/>
      <c r="G8" s="173" t="n">
        <f aca="false">G6</f>
        <v>0.11589</v>
      </c>
      <c r="H8" s="172" t="n">
        <f aca="false">E8*G8</f>
        <v>821091704.891478</v>
      </c>
      <c r="I8" s="13"/>
      <c r="J8" s="173" t="n">
        <f aca="false">G8+$J$2</f>
        <v>0.12589</v>
      </c>
      <c r="K8" s="172" t="n">
        <f aca="false">E8*J8</f>
        <v>891942658.803936</v>
      </c>
      <c r="L8" s="13"/>
      <c r="M8" s="173" t="n">
        <f aca="false">M6</f>
        <v>0.05735</v>
      </c>
      <c r="N8" s="174" t="n">
        <f aca="false">$J$2+M8</f>
        <v>0.06735</v>
      </c>
      <c r="O8" s="111" t="n">
        <f aca="false">E8*N8</f>
        <v>477181174.600406</v>
      </c>
      <c r="P8" s="111"/>
      <c r="Q8" s="4"/>
    </row>
    <row r="9" customFormat="false" ht="12.75" hidden="false" customHeight="false" outlineLevel="0" collapsed="false">
      <c r="A9" s="21"/>
      <c r="B9" s="25"/>
      <c r="C9" s="30"/>
      <c r="D9" s="1" t="s">
        <v>18</v>
      </c>
      <c r="E9" s="170" t="n">
        <v>4752592915.66475</v>
      </c>
      <c r="F9" s="13"/>
      <c r="G9" s="173" t="n">
        <f aca="false">G7</f>
        <v>0.13321</v>
      </c>
      <c r="H9" s="172" t="n">
        <f aca="false">E9*G9</f>
        <v>633092902.295701</v>
      </c>
      <c r="I9" s="13"/>
      <c r="J9" s="173" t="n">
        <f aca="false">G9+$J$2</f>
        <v>0.14321</v>
      </c>
      <c r="K9" s="172" t="n">
        <f aca="false">E9*J9</f>
        <v>680618831.452349</v>
      </c>
      <c r="L9" s="13"/>
      <c r="M9" s="173" t="n">
        <f aca="false">M7</f>
        <v>0.06395</v>
      </c>
      <c r="N9" s="174" t="n">
        <f aca="false">$J$2+M9</f>
        <v>0.07395</v>
      </c>
      <c r="O9" s="111" t="n">
        <f aca="false">E9*N9</f>
        <v>351454246.113408</v>
      </c>
      <c r="P9" s="111"/>
      <c r="Q9" s="4"/>
    </row>
    <row r="10" customFormat="false" ht="12.75" hidden="false" customHeight="false" outlineLevel="0" collapsed="false">
      <c r="E10" s="84"/>
      <c r="F10" s="84"/>
      <c r="G10" s="84"/>
      <c r="H10" s="84"/>
      <c r="I10" s="84"/>
      <c r="J10" s="84"/>
      <c r="K10" s="84"/>
      <c r="L10" s="84"/>
      <c r="M10" s="174"/>
      <c r="N10" s="174"/>
      <c r="O10" s="5"/>
      <c r="P10" s="5"/>
      <c r="Q10" s="4"/>
    </row>
    <row r="11" customFormat="false" ht="12.75" hidden="false" customHeight="false" outlineLevel="0" collapsed="false">
      <c r="B11" s="21" t="s">
        <v>20</v>
      </c>
      <c r="D11" s="5"/>
      <c r="E11" s="175" t="n">
        <f aca="false">SUM(E6:E9)</f>
        <v>23367450385.9106</v>
      </c>
      <c r="F11" s="176" t="s">
        <v>188</v>
      </c>
      <c r="G11" s="177"/>
      <c r="H11" s="178" t="n">
        <f aca="false">SUM(H6:H9)</f>
        <v>2873263998.76773</v>
      </c>
      <c r="I11" s="175"/>
      <c r="J11" s="175"/>
      <c r="K11" s="178" t="n">
        <f aca="false">SUM(K6:K9)</f>
        <v>3106938502.62683</v>
      </c>
      <c r="L11" s="175"/>
      <c r="M11" s="174"/>
      <c r="N11" s="174"/>
      <c r="O11" s="178" t="n">
        <f aca="false">SUM(O6:O9)</f>
        <v>1636753161.40066</v>
      </c>
      <c r="P11" s="179" t="n">
        <f aca="false">O11/E11</f>
        <v>0.0700441483503714</v>
      </c>
      <c r="Q11" s="180" t="n">
        <f aca="false">E11*$Q$2</f>
        <v>701023511.577317</v>
      </c>
    </row>
    <row r="12" customFormat="false" ht="12.75" hidden="false" customHeight="false" outlineLevel="0" collapsed="false">
      <c r="B12" s="1"/>
      <c r="D12" s="5"/>
      <c r="E12" s="175"/>
      <c r="F12" s="176"/>
      <c r="G12" s="177"/>
      <c r="H12" s="178"/>
      <c r="I12" s="175"/>
      <c r="J12" s="175"/>
      <c r="K12" s="178"/>
      <c r="L12" s="175"/>
      <c r="M12" s="174"/>
      <c r="N12" s="174"/>
      <c r="O12" s="181"/>
      <c r="P12" s="181"/>
      <c r="Q12" s="182"/>
    </row>
    <row r="13" customFormat="false" ht="12.75" hidden="false" customHeight="false" outlineLevel="0" collapsed="false">
      <c r="E13" s="84"/>
      <c r="F13" s="84"/>
      <c r="G13" s="84"/>
      <c r="H13" s="84"/>
      <c r="I13" s="84"/>
      <c r="J13" s="84"/>
      <c r="K13" s="84"/>
      <c r="L13" s="84"/>
      <c r="M13" s="174"/>
      <c r="N13" s="174"/>
      <c r="O13" s="5"/>
      <c r="P13" s="5"/>
      <c r="Q13" s="4"/>
    </row>
    <row r="14" customFormat="false" ht="12.75" hidden="false" customHeight="false" outlineLevel="0" collapsed="false">
      <c r="A14" s="21" t="s">
        <v>173</v>
      </c>
      <c r="B14" s="25" t="s">
        <v>189</v>
      </c>
      <c r="C14" s="28" t="s">
        <v>16</v>
      </c>
      <c r="D14" s="35" t="s">
        <v>32</v>
      </c>
      <c r="E14" s="183" t="n">
        <v>85099695.6321999</v>
      </c>
      <c r="F14" s="13"/>
      <c r="G14" s="171" t="n">
        <v>0.31524</v>
      </c>
      <c r="H14" s="172" t="n">
        <f aca="false">E14*G14</f>
        <v>26826828.0510947</v>
      </c>
      <c r="I14" s="13"/>
      <c r="J14" s="173" t="n">
        <f aca="false">G14+$J$2</f>
        <v>0.32524</v>
      </c>
      <c r="K14" s="172" t="n">
        <f aca="false">E14*J14</f>
        <v>27677825.0074167</v>
      </c>
      <c r="L14" s="13"/>
      <c r="M14" s="171" t="n">
        <v>0.20213</v>
      </c>
      <c r="N14" s="174" t="n">
        <f aca="false">$J$2+M14</f>
        <v>0.21213</v>
      </c>
      <c r="O14" s="111" t="n">
        <f aca="false">E14*N14</f>
        <v>18052198.4344586</v>
      </c>
      <c r="P14" s="111"/>
      <c r="Q14" s="4"/>
    </row>
    <row r="15" customFormat="false" ht="12.75" hidden="false" customHeight="false" outlineLevel="0" collapsed="false">
      <c r="A15" s="21"/>
      <c r="B15" s="25"/>
      <c r="C15" s="30"/>
      <c r="D15" s="35" t="s">
        <v>35</v>
      </c>
      <c r="E15" s="183" t="n">
        <v>481411228.543779</v>
      </c>
      <c r="F15" s="13"/>
      <c r="G15" s="171" t="n">
        <v>0.08515</v>
      </c>
      <c r="H15" s="172" t="n">
        <f aca="false">E15*G15</f>
        <v>40992166.1105028</v>
      </c>
      <c r="I15" s="13"/>
      <c r="J15" s="173" t="n">
        <f aca="false">G15+$J$2</f>
        <v>0.09515</v>
      </c>
      <c r="K15" s="172" t="n">
        <f aca="false">E15*J15</f>
        <v>45806278.3959406</v>
      </c>
      <c r="L15" s="13"/>
      <c r="M15" s="171" t="n">
        <v>0.03901</v>
      </c>
      <c r="N15" s="174" t="n">
        <f aca="false">$J$2+M15</f>
        <v>0.04901</v>
      </c>
      <c r="O15" s="111" t="n">
        <f aca="false">E15*N15</f>
        <v>23593964.3109306</v>
      </c>
      <c r="P15" s="111"/>
      <c r="Q15" s="4"/>
    </row>
    <row r="16" customFormat="false" ht="12.75" hidden="false" customHeight="false" outlineLevel="0" collapsed="false">
      <c r="A16" s="21"/>
      <c r="B16" s="25"/>
      <c r="C16" s="28" t="s">
        <v>19</v>
      </c>
      <c r="D16" s="35" t="s">
        <v>32</v>
      </c>
      <c r="E16" s="183" t="n">
        <v>94181096.7120222</v>
      </c>
      <c r="F16" s="13"/>
      <c r="G16" s="171" t="n">
        <v>0.11636</v>
      </c>
      <c r="H16" s="172" t="n">
        <f aca="false">E16*G16</f>
        <v>10958912.4134109</v>
      </c>
      <c r="I16" s="13"/>
      <c r="J16" s="173" t="n">
        <f aca="false">G16+$J$2</f>
        <v>0.12636</v>
      </c>
      <c r="K16" s="172" t="n">
        <f aca="false">E16*J16</f>
        <v>11900723.3805311</v>
      </c>
      <c r="L16" s="13"/>
      <c r="M16" s="171" t="n">
        <v>0.06114</v>
      </c>
      <c r="N16" s="174" t="n">
        <f aca="false">$J$2+M16</f>
        <v>0.07114</v>
      </c>
      <c r="O16" s="111" t="n">
        <f aca="false">E16*N16</f>
        <v>6700043.22009326</v>
      </c>
      <c r="P16" s="111"/>
      <c r="Q16" s="4"/>
    </row>
    <row r="17" customFormat="false" ht="12.75" hidden="false" customHeight="false" outlineLevel="0" collapsed="false">
      <c r="A17" s="21"/>
      <c r="B17" s="25"/>
      <c r="C17" s="30"/>
      <c r="D17" s="35" t="s">
        <v>35</v>
      </c>
      <c r="E17" s="183" t="n">
        <v>538319038.578625</v>
      </c>
      <c r="F17" s="13"/>
      <c r="G17" s="171" t="n">
        <v>0.08851</v>
      </c>
      <c r="H17" s="172" t="n">
        <f aca="false">E17*G17</f>
        <v>47646618.1045941</v>
      </c>
      <c r="I17" s="13"/>
      <c r="J17" s="173" t="n">
        <f aca="false">G17+$J$2</f>
        <v>0.09851</v>
      </c>
      <c r="K17" s="172" t="n">
        <f aca="false">E17*J17</f>
        <v>53029808.4903803</v>
      </c>
      <c r="L17" s="13"/>
      <c r="M17" s="171" t="n">
        <v>0.0414</v>
      </c>
      <c r="N17" s="174" t="n">
        <f aca="false">$J$2+M17</f>
        <v>0.0514</v>
      </c>
      <c r="O17" s="111" t="n">
        <f aca="false">E17*N17</f>
        <v>27669598.5829413</v>
      </c>
      <c r="P17" s="111"/>
      <c r="Q17" s="4"/>
    </row>
    <row r="18" customFormat="false" ht="12.75" hidden="false" customHeight="false" outlineLevel="0" collapsed="false">
      <c r="A18" s="21"/>
      <c r="B18" s="25"/>
      <c r="C18" s="30"/>
      <c r="D18" s="35"/>
      <c r="E18" s="170"/>
      <c r="F18" s="13"/>
      <c r="G18" s="171"/>
      <c r="H18" s="172"/>
      <c r="I18" s="13"/>
      <c r="J18" s="173"/>
      <c r="K18" s="172"/>
      <c r="L18" s="13"/>
      <c r="M18" s="171"/>
      <c r="N18" s="174"/>
      <c r="O18" s="111"/>
      <c r="P18" s="111"/>
      <c r="Q18" s="4"/>
    </row>
    <row r="19" customFormat="false" ht="12.75" hidden="false" customHeight="false" outlineLevel="0" collapsed="false">
      <c r="A19" s="21"/>
      <c r="B19" s="25"/>
      <c r="C19" s="28" t="s">
        <v>16</v>
      </c>
      <c r="D19" s="35" t="s">
        <v>190</v>
      </c>
      <c r="E19" s="183" t="n">
        <v>228479417.140224</v>
      </c>
      <c r="G19" s="171" t="n">
        <v>-0.01732</v>
      </c>
      <c r="H19" s="172" t="n">
        <f aca="false">E19*G19</f>
        <v>-3957263.50486868</v>
      </c>
      <c r="I19" s="13"/>
      <c r="J19" s="173" t="n">
        <f aca="false">G19</f>
        <v>-0.01732</v>
      </c>
      <c r="K19" s="172" t="n">
        <f aca="false">E19*J19</f>
        <v>-3957263.50486868</v>
      </c>
      <c r="L19" s="13"/>
      <c r="M19" s="171" t="n">
        <v>-0.01211</v>
      </c>
      <c r="N19" s="174" t="n">
        <f aca="false">M19</f>
        <v>-0.01211</v>
      </c>
      <c r="O19" s="111" t="n">
        <f aca="false">E19*N19</f>
        <v>-2766885.74156811</v>
      </c>
      <c r="P19" s="111"/>
      <c r="Q19" s="4"/>
    </row>
    <row r="20" customFormat="false" ht="12.75" hidden="false" customHeight="false" outlineLevel="0" collapsed="false">
      <c r="A20" s="21"/>
      <c r="B20" s="25"/>
      <c r="C20" s="28" t="s">
        <v>19</v>
      </c>
      <c r="D20" s="35" t="s">
        <v>190</v>
      </c>
      <c r="E20" s="183" t="n">
        <v>277608104.617902</v>
      </c>
      <c r="F20" s="13"/>
      <c r="G20" s="173" t="n">
        <f aca="false">G19</f>
        <v>-0.01732</v>
      </c>
      <c r="H20" s="172" t="n">
        <f aca="false">E20*G20</f>
        <v>-4808172.37198207</v>
      </c>
      <c r="I20" s="13"/>
      <c r="J20" s="173" t="n">
        <f aca="false">G20</f>
        <v>-0.01732</v>
      </c>
      <c r="K20" s="172" t="n">
        <f aca="false">E20*J20</f>
        <v>-4808172.37198207</v>
      </c>
      <c r="L20" s="13"/>
      <c r="M20" s="173" t="n">
        <f aca="false">M19</f>
        <v>-0.01211</v>
      </c>
      <c r="N20" s="174" t="n">
        <f aca="false">M20</f>
        <v>-0.01211</v>
      </c>
      <c r="O20" s="108" t="n">
        <f aca="false">E20*N20</f>
        <v>-3361834.1469228</v>
      </c>
      <c r="P20" s="108"/>
      <c r="Q20" s="4"/>
    </row>
    <row r="21" customFormat="false" ht="12.75" hidden="false" customHeight="false" outlineLevel="0" collapsed="false">
      <c r="A21" s="21"/>
      <c r="B21" s="25"/>
      <c r="D21" s="35"/>
      <c r="E21" s="13"/>
      <c r="F21" s="13"/>
      <c r="G21" s="13"/>
      <c r="H21" s="13"/>
      <c r="I21" s="13"/>
      <c r="J21" s="183"/>
      <c r="K21" s="13"/>
      <c r="L21" s="13"/>
      <c r="M21" s="171"/>
      <c r="N21" s="174"/>
      <c r="O21" s="108"/>
      <c r="P21" s="108"/>
      <c r="Q21" s="4"/>
    </row>
    <row r="22" customFormat="false" ht="12.75" hidden="false" customHeight="false" outlineLevel="0" collapsed="false">
      <c r="B22" s="21" t="s">
        <v>20</v>
      </c>
      <c r="D22" s="5"/>
      <c r="E22" s="175" t="n">
        <f aca="false">SUM(E14:E17)</f>
        <v>1199011059.46663</v>
      </c>
      <c r="F22" s="176" t="s">
        <v>188</v>
      </c>
      <c r="G22" s="175"/>
      <c r="H22" s="178" t="n">
        <f aca="false">SUM(H14:H21)</f>
        <v>117659088.802752</v>
      </c>
      <c r="I22" s="175"/>
      <c r="J22" s="175"/>
      <c r="K22" s="178" t="n">
        <f aca="false">SUM(K14:K21)</f>
        <v>129649199.397418</v>
      </c>
      <c r="L22" s="175"/>
      <c r="M22" s="174"/>
      <c r="N22" s="174"/>
      <c r="O22" s="178" t="n">
        <f aca="false">SUM(O14:O17)</f>
        <v>76015804.5484238</v>
      </c>
      <c r="P22" s="179" t="n">
        <f aca="false">O22/E22</f>
        <v>0.0633987517865256</v>
      </c>
      <c r="Q22" s="180" t="n">
        <f aca="false">E22*$Q$2</f>
        <v>35970331.7839988</v>
      </c>
    </row>
    <row r="23" customFormat="false" ht="12.75" hidden="false" customHeight="false" outlineLevel="0" collapsed="false">
      <c r="B23" s="21"/>
      <c r="D23" s="5"/>
      <c r="E23" s="175"/>
      <c r="F23" s="176"/>
      <c r="G23" s="175"/>
      <c r="H23" s="178"/>
      <c r="I23" s="175"/>
      <c r="J23" s="175"/>
      <c r="K23" s="178"/>
      <c r="L23" s="175"/>
      <c r="M23" s="174"/>
      <c r="N23" s="174"/>
      <c r="O23" s="178"/>
      <c r="P23" s="178"/>
      <c r="Q23" s="182"/>
    </row>
    <row r="24" customFormat="false" ht="12.75" hidden="false" customHeight="false" outlineLevel="0" collapsed="false">
      <c r="E24" s="84"/>
      <c r="F24" s="84"/>
      <c r="G24" s="84"/>
      <c r="H24" s="84"/>
      <c r="I24" s="84"/>
      <c r="J24" s="84"/>
      <c r="K24" s="84"/>
      <c r="L24" s="84"/>
      <c r="M24" s="174"/>
      <c r="N24" s="174"/>
      <c r="O24" s="5"/>
      <c r="P24" s="5"/>
      <c r="Q24" s="4"/>
    </row>
    <row r="25" customFormat="false" ht="12.75" hidden="false" customHeight="false" outlineLevel="0" collapsed="false">
      <c r="A25" s="21" t="s">
        <v>174</v>
      </c>
      <c r="B25" s="31" t="s">
        <v>15</v>
      </c>
      <c r="C25" s="32" t="s">
        <v>16</v>
      </c>
      <c r="D25" s="31"/>
      <c r="E25" s="170" t="n">
        <v>1108352630</v>
      </c>
      <c r="F25" s="13"/>
      <c r="G25" s="171" t="n">
        <v>0.12017</v>
      </c>
      <c r="H25" s="172" t="n">
        <f aca="false">E25*G25</f>
        <v>133190735.5471</v>
      </c>
      <c r="I25" s="13"/>
      <c r="J25" s="173" t="n">
        <f aca="false">G25+$J$2</f>
        <v>0.13017</v>
      </c>
      <c r="K25" s="172" t="n">
        <f aca="false">E25*J25</f>
        <v>144274261.8471</v>
      </c>
      <c r="L25" s="13"/>
      <c r="M25" s="171" t="n">
        <v>0.07145</v>
      </c>
      <c r="N25" s="174" t="n">
        <f aca="false">$J$2+M25</f>
        <v>0.08145</v>
      </c>
      <c r="O25" s="111" t="n">
        <f aca="false">E25*N25</f>
        <v>90275321.7135</v>
      </c>
      <c r="P25" s="111"/>
      <c r="Q25" s="4"/>
    </row>
    <row r="26" customFormat="false" ht="12.75" hidden="false" customHeight="false" outlineLevel="0" collapsed="false">
      <c r="A26" s="21"/>
      <c r="B26" s="31"/>
      <c r="C26" s="32" t="s">
        <v>19</v>
      </c>
      <c r="D26" s="31"/>
      <c r="E26" s="170" t="n">
        <v>1139758621.35793</v>
      </c>
      <c r="F26" s="13"/>
      <c r="G26" s="171" t="n">
        <v>0.07308</v>
      </c>
      <c r="H26" s="172" t="n">
        <f aca="false">E26*G26</f>
        <v>83293560.0488375</v>
      </c>
      <c r="I26" s="13"/>
      <c r="J26" s="173" t="n">
        <f aca="false">G26+$J$2</f>
        <v>0.08308</v>
      </c>
      <c r="K26" s="172" t="n">
        <f aca="false">E26*J26</f>
        <v>94691146.2624168</v>
      </c>
      <c r="L26" s="13"/>
      <c r="M26" s="171" t="n">
        <v>0.03537</v>
      </c>
      <c r="N26" s="174" t="n">
        <f aca="false">$J$2+M26</f>
        <v>0.04537</v>
      </c>
      <c r="O26" s="108" t="n">
        <f aca="false">E26*N26</f>
        <v>51710848.6510093</v>
      </c>
      <c r="P26" s="108"/>
      <c r="Q26" s="4"/>
    </row>
    <row r="27" customFormat="false" ht="12.75" hidden="false" customHeight="false" outlineLevel="0" collapsed="false">
      <c r="E27" s="84"/>
      <c r="F27" s="84"/>
      <c r="G27" s="84"/>
      <c r="H27" s="84"/>
      <c r="I27" s="84"/>
      <c r="J27" s="84"/>
      <c r="K27" s="84"/>
      <c r="L27" s="84"/>
      <c r="M27" s="174"/>
      <c r="N27" s="174"/>
      <c r="O27" s="5"/>
      <c r="P27" s="5"/>
      <c r="Q27" s="4"/>
    </row>
    <row r="28" customFormat="false" ht="12.75" hidden="false" customHeight="false" outlineLevel="0" collapsed="false">
      <c r="B28" s="116" t="s">
        <v>191</v>
      </c>
      <c r="C28" s="167" t="s">
        <v>16</v>
      </c>
      <c r="E28" s="170" t="n">
        <v>692937</v>
      </c>
      <c r="F28" s="13"/>
      <c r="G28" s="184" t="n">
        <v>13.92</v>
      </c>
      <c r="H28" s="172" t="n">
        <f aca="false">E28*G28</f>
        <v>9645683.04</v>
      </c>
      <c r="I28" s="84"/>
      <c r="J28" s="185" t="n">
        <f aca="false">G28</f>
        <v>13.92</v>
      </c>
      <c r="K28" s="172" t="n">
        <f aca="false">E28*J28</f>
        <v>9645683.04</v>
      </c>
      <c r="L28" s="84"/>
      <c r="M28" s="174"/>
      <c r="N28" s="174"/>
      <c r="O28" s="5"/>
      <c r="P28" s="5"/>
      <c r="Q28" s="4"/>
    </row>
    <row r="29" customFormat="false" ht="12.75" hidden="false" customHeight="false" outlineLevel="0" collapsed="false">
      <c r="C29" s="167" t="s">
        <v>19</v>
      </c>
      <c r="E29" s="170" t="n">
        <v>674334.095355996</v>
      </c>
      <c r="F29" s="13"/>
      <c r="G29" s="185" t="n">
        <f aca="false">G28</f>
        <v>13.92</v>
      </c>
      <c r="H29" s="186" t="n">
        <f aca="false">E29*G29</f>
        <v>9386730.60735547</v>
      </c>
      <c r="I29" s="84"/>
      <c r="J29" s="185" t="n">
        <f aca="false">G29</f>
        <v>13.92</v>
      </c>
      <c r="K29" s="186" t="n">
        <f aca="false">E29*J29</f>
        <v>9386730.60735547</v>
      </c>
      <c r="L29" s="84"/>
      <c r="M29" s="174"/>
      <c r="N29" s="174"/>
      <c r="O29" s="5"/>
      <c r="P29" s="5"/>
      <c r="Q29" s="4"/>
    </row>
    <row r="30" customFormat="false" ht="12.75" hidden="false" customHeight="false" outlineLevel="0" collapsed="false">
      <c r="E30" s="84"/>
      <c r="F30" s="84"/>
      <c r="G30" s="84"/>
      <c r="H30" s="84"/>
      <c r="I30" s="84"/>
      <c r="J30" s="84"/>
      <c r="K30" s="84"/>
      <c r="L30" s="84"/>
      <c r="M30" s="174"/>
      <c r="N30" s="174"/>
      <c r="O30" s="5"/>
      <c r="P30" s="5"/>
      <c r="Q30" s="4"/>
    </row>
    <row r="31" customFormat="false" ht="12.75" hidden="false" customHeight="false" outlineLevel="0" collapsed="false">
      <c r="B31" s="21" t="s">
        <v>20</v>
      </c>
      <c r="D31" s="5"/>
      <c r="E31" s="175" t="n">
        <f aca="false">SUM(E25:E26)</f>
        <v>2248111251.35793</v>
      </c>
      <c r="F31" s="176" t="s">
        <v>188</v>
      </c>
      <c r="G31" s="175"/>
      <c r="H31" s="178" t="n">
        <f aca="false">SUM(H25:H29)</f>
        <v>235516709.243293</v>
      </c>
      <c r="I31" s="175"/>
      <c r="J31" s="175"/>
      <c r="K31" s="178" t="n">
        <f aca="false">SUM(K25:K29)</f>
        <v>257997821.756872</v>
      </c>
      <c r="L31" s="175"/>
      <c r="M31" s="174"/>
      <c r="N31" s="174"/>
      <c r="O31" s="178" t="n">
        <f aca="false">SUM(O25:O27)</f>
        <v>141986170.364509</v>
      </c>
      <c r="P31" s="179" t="n">
        <f aca="false">O31/E31</f>
        <v>0.0631579821855992</v>
      </c>
      <c r="Q31" s="180" t="n">
        <f aca="false">E31*$Q$2</f>
        <v>67443337.5407379</v>
      </c>
    </row>
    <row r="32" customFormat="false" ht="12.75" hidden="false" customHeight="false" outlineLevel="0" collapsed="false">
      <c r="B32" s="21"/>
      <c r="D32" s="5"/>
      <c r="E32" s="175"/>
      <c r="F32" s="176"/>
      <c r="G32" s="175"/>
      <c r="H32" s="178"/>
      <c r="I32" s="175"/>
      <c r="J32" s="175"/>
      <c r="K32" s="178"/>
      <c r="L32" s="175"/>
      <c r="M32" s="174"/>
      <c r="N32" s="174"/>
      <c r="O32" s="178"/>
      <c r="P32" s="178"/>
      <c r="Q32" s="182"/>
    </row>
    <row r="33" customFormat="false" ht="12.75" hidden="false" customHeight="false" outlineLevel="0" collapsed="false">
      <c r="E33" s="84"/>
      <c r="F33" s="84"/>
      <c r="G33" s="84"/>
      <c r="H33" s="84"/>
      <c r="I33" s="84"/>
      <c r="J33" s="84"/>
      <c r="K33" s="84"/>
      <c r="L33" s="84"/>
      <c r="M33" s="174"/>
      <c r="N33" s="174"/>
      <c r="O33" s="5"/>
      <c r="P33" s="5"/>
      <c r="Q33" s="4"/>
    </row>
    <row r="34" customFormat="false" ht="12.75" hidden="false" customHeight="false" outlineLevel="0" collapsed="false">
      <c r="A34" s="21" t="s">
        <v>148</v>
      </c>
      <c r="B34" s="11" t="s">
        <v>15</v>
      </c>
      <c r="C34" s="17" t="s">
        <v>16</v>
      </c>
      <c r="D34" s="1" t="s">
        <v>17</v>
      </c>
      <c r="E34" s="187" t="n">
        <v>728352160</v>
      </c>
      <c r="F34" s="13"/>
      <c r="G34" s="171" t="n">
        <v>0.09812</v>
      </c>
      <c r="H34" s="172" t="n">
        <f aca="false">E34*G34</f>
        <v>71465913.9392</v>
      </c>
      <c r="I34" s="13"/>
      <c r="J34" s="173" t="n">
        <f aca="false">G34</f>
        <v>0.09812</v>
      </c>
      <c r="K34" s="172" t="n">
        <f aca="false">E34*J34</f>
        <v>71465913.9392</v>
      </c>
      <c r="L34" s="13"/>
      <c r="M34" s="173" t="n">
        <f aca="false">M6</f>
        <v>0.05735</v>
      </c>
      <c r="N34" s="174" t="n">
        <f aca="false">M34</f>
        <v>0.05735</v>
      </c>
      <c r="O34" s="111" t="n">
        <f aca="false">E34*N34</f>
        <v>41770996.376</v>
      </c>
      <c r="P34" s="111"/>
      <c r="Q34" s="4"/>
    </row>
    <row r="35" customFormat="false" ht="12.75" hidden="false" customHeight="false" outlineLevel="0" collapsed="false">
      <c r="A35" s="21"/>
      <c r="B35" s="25"/>
      <c r="C35" s="28"/>
      <c r="D35" s="1" t="s">
        <v>18</v>
      </c>
      <c r="E35" s="187" t="n">
        <v>260969916</v>
      </c>
      <c r="F35" s="13"/>
      <c r="G35" s="171" t="n">
        <v>0.11284</v>
      </c>
      <c r="H35" s="172" t="n">
        <f aca="false">E35*G35</f>
        <v>29447845.32144</v>
      </c>
      <c r="I35" s="13"/>
      <c r="J35" s="173" t="n">
        <f aca="false">G35</f>
        <v>0.11284</v>
      </c>
      <c r="K35" s="172" t="n">
        <f aca="false">E35*J35</f>
        <v>29447845.32144</v>
      </c>
      <c r="L35" s="13"/>
      <c r="M35" s="173" t="n">
        <f aca="false">M7</f>
        <v>0.06395</v>
      </c>
      <c r="N35" s="174" t="n">
        <f aca="false">M35</f>
        <v>0.06395</v>
      </c>
      <c r="O35" s="111" t="n">
        <f aca="false">E35*N35</f>
        <v>16689026.1282</v>
      </c>
      <c r="P35" s="111"/>
      <c r="Q35" s="4"/>
    </row>
    <row r="36" customFormat="false" ht="12.75" hidden="false" customHeight="false" outlineLevel="0" collapsed="false">
      <c r="A36" s="21"/>
      <c r="B36" s="25"/>
      <c r="C36" s="28" t="s">
        <v>19</v>
      </c>
      <c r="D36" s="1" t="s">
        <v>17</v>
      </c>
      <c r="E36" s="187" t="n">
        <v>693690540.515496</v>
      </c>
      <c r="F36" s="13"/>
      <c r="G36" s="173" t="n">
        <f aca="false">G34</f>
        <v>0.09812</v>
      </c>
      <c r="H36" s="172" t="n">
        <f aca="false">E36*G36</f>
        <v>68064915.8353805</v>
      </c>
      <c r="I36" s="13"/>
      <c r="J36" s="173" t="n">
        <f aca="false">G36</f>
        <v>0.09812</v>
      </c>
      <c r="K36" s="172" t="n">
        <f aca="false">E36*J36</f>
        <v>68064915.8353805</v>
      </c>
      <c r="L36" s="13"/>
      <c r="M36" s="173" t="n">
        <f aca="false">M8</f>
        <v>0.05735</v>
      </c>
      <c r="N36" s="174" t="n">
        <f aca="false">M36</f>
        <v>0.05735</v>
      </c>
      <c r="O36" s="111" t="n">
        <f aca="false">E36*N36</f>
        <v>39783152.4985637</v>
      </c>
      <c r="P36" s="111"/>
      <c r="Q36" s="4"/>
    </row>
    <row r="37" customFormat="false" ht="12.75" hidden="false" customHeight="false" outlineLevel="0" collapsed="false">
      <c r="A37" s="21"/>
      <c r="B37" s="25"/>
      <c r="C37" s="30"/>
      <c r="D37" s="1" t="s">
        <v>18</v>
      </c>
      <c r="E37" s="187" t="n">
        <v>239382783.966287</v>
      </c>
      <c r="F37" s="13"/>
      <c r="G37" s="173" t="n">
        <f aca="false">G35</f>
        <v>0.11284</v>
      </c>
      <c r="H37" s="172" t="n">
        <f aca="false">E37*G37</f>
        <v>27011953.3427559</v>
      </c>
      <c r="I37" s="13"/>
      <c r="J37" s="173" t="n">
        <f aca="false">G37</f>
        <v>0.11284</v>
      </c>
      <c r="K37" s="172" t="n">
        <f aca="false">E37*J37</f>
        <v>27011953.3427559</v>
      </c>
      <c r="L37" s="13"/>
      <c r="M37" s="173" t="n">
        <f aca="false">M9</f>
        <v>0.06395</v>
      </c>
      <c r="N37" s="174" t="n">
        <f aca="false">M37</f>
        <v>0.06395</v>
      </c>
      <c r="O37" s="111" t="n">
        <f aca="false">E37*N37</f>
        <v>15308529.0346441</v>
      </c>
      <c r="P37" s="111"/>
      <c r="Q37" s="4"/>
    </row>
    <row r="38" customFormat="false" ht="12.75" hidden="false" customHeight="false" outlineLevel="0" collapsed="false">
      <c r="E38" s="84"/>
      <c r="F38" s="84"/>
      <c r="G38" s="84"/>
      <c r="H38" s="84"/>
      <c r="I38" s="84"/>
      <c r="J38" s="84"/>
      <c r="K38" s="84"/>
      <c r="L38" s="84"/>
      <c r="M38" s="174"/>
      <c r="N38" s="174"/>
      <c r="O38" s="5"/>
      <c r="P38" s="5"/>
      <c r="Q38" s="4"/>
    </row>
    <row r="39" customFormat="false" ht="12.75" hidden="false" customHeight="false" outlineLevel="0" collapsed="false">
      <c r="B39" s="21" t="s">
        <v>20</v>
      </c>
      <c r="D39" s="5"/>
      <c r="E39" s="175" t="n">
        <f aca="false">SUM(E34:E37)</f>
        <v>1922395400.48178</v>
      </c>
      <c r="F39" s="176" t="s">
        <v>188</v>
      </c>
      <c r="G39" s="177"/>
      <c r="H39" s="178" t="n">
        <f aca="false">SUM(H34:H37)</f>
        <v>195990628.438776</v>
      </c>
      <c r="I39" s="175"/>
      <c r="J39" s="175"/>
      <c r="K39" s="178" t="n">
        <f aca="false">SUM(K34:K37)</f>
        <v>195990628.438776</v>
      </c>
      <c r="L39" s="175"/>
      <c r="M39" s="174"/>
      <c r="N39" s="174"/>
      <c r="O39" s="178" t="n">
        <f aca="false">SUM(O34:O37)</f>
        <v>113551704.037408</v>
      </c>
      <c r="P39" s="179" t="n">
        <f aca="false">O39/E39</f>
        <v>0.0590678192472526</v>
      </c>
      <c r="Q39" s="180" t="n">
        <f aca="false">E39*$Q$2</f>
        <v>57671862.0144535</v>
      </c>
    </row>
    <row r="40" customFormat="false" ht="12.75" hidden="false" customHeight="false" outlineLevel="0" collapsed="false">
      <c r="B40" s="1"/>
      <c r="D40" s="5"/>
      <c r="E40" s="175"/>
      <c r="F40" s="176"/>
      <c r="G40" s="177"/>
      <c r="H40" s="178"/>
      <c r="I40" s="175"/>
      <c r="J40" s="175"/>
      <c r="K40" s="178"/>
      <c r="L40" s="175"/>
      <c r="M40" s="174"/>
      <c r="N40" s="174"/>
      <c r="O40" s="181"/>
      <c r="P40" s="181"/>
      <c r="Q40" s="182"/>
    </row>
    <row r="41" customFormat="false" ht="12.75" hidden="false" customHeight="false" outlineLevel="0" collapsed="false">
      <c r="A41" s="116" t="s">
        <v>192</v>
      </c>
      <c r="B41" s="1"/>
      <c r="D41" s="5"/>
      <c r="E41" s="175"/>
      <c r="F41" s="176"/>
      <c r="G41" s="177"/>
      <c r="H41" s="178"/>
      <c r="I41" s="175"/>
      <c r="J41" s="175"/>
      <c r="K41" s="178"/>
      <c r="L41" s="175"/>
      <c r="M41" s="174"/>
      <c r="N41" s="174"/>
      <c r="O41" s="181"/>
      <c r="P41" s="181"/>
      <c r="Q41" s="182"/>
    </row>
    <row r="42" customFormat="false" ht="12.75" hidden="false" customHeight="false" outlineLevel="0" collapsed="false">
      <c r="A42" s="116" t="s">
        <v>193</v>
      </c>
      <c r="B42" s="1"/>
      <c r="D42" s="5"/>
      <c r="E42" s="175"/>
      <c r="F42" s="176"/>
      <c r="G42" s="177"/>
      <c r="H42" s="178"/>
      <c r="I42" s="175"/>
      <c r="J42" s="175"/>
      <c r="K42" s="178"/>
      <c r="L42" s="175"/>
      <c r="M42" s="174"/>
      <c r="N42" s="174"/>
      <c r="O42" s="181"/>
      <c r="P42" s="181"/>
      <c r="Q42" s="182"/>
    </row>
    <row r="43" customFormat="false" ht="12.75" hidden="false" customHeight="false" outlineLevel="0" collapsed="false">
      <c r="E43" s="84"/>
      <c r="F43" s="84"/>
      <c r="G43" s="84"/>
      <c r="H43" s="84"/>
      <c r="I43" s="84"/>
      <c r="J43" s="84"/>
      <c r="K43" s="84"/>
      <c r="L43" s="84"/>
      <c r="M43" s="174"/>
      <c r="N43" s="174"/>
      <c r="O43" s="5"/>
      <c r="P43" s="5"/>
      <c r="Q43" s="4"/>
    </row>
    <row r="44" customFormat="false" ht="12.75" hidden="false" customHeight="false" outlineLevel="0" collapsed="false">
      <c r="A44" s="21" t="s">
        <v>149</v>
      </c>
      <c r="B44" s="25" t="s">
        <v>189</v>
      </c>
      <c r="C44" s="28" t="s">
        <v>16</v>
      </c>
      <c r="D44" s="35" t="s">
        <v>32</v>
      </c>
      <c r="E44" s="183" t="n">
        <v>1140406.36780009</v>
      </c>
      <c r="F44" s="13"/>
      <c r="G44" s="173" t="n">
        <f aca="false">G14</f>
        <v>0.31524</v>
      </c>
      <c r="H44" s="172" t="n">
        <f aca="false">E44*G44</f>
        <v>359501.703385299</v>
      </c>
      <c r="I44" s="13"/>
      <c r="J44" s="173" t="n">
        <f aca="false">G44</f>
        <v>0.31524</v>
      </c>
      <c r="K44" s="172" t="n">
        <f aca="false">E44*J44</f>
        <v>359501.703385299</v>
      </c>
      <c r="L44" s="13"/>
      <c r="M44" s="173" t="n">
        <f aca="false">M14</f>
        <v>0.20213</v>
      </c>
      <c r="N44" s="174" t="n">
        <f aca="false">M44</f>
        <v>0.20213</v>
      </c>
      <c r="O44" s="111" t="n">
        <f aca="false">E44*N44</f>
        <v>230510.339123432</v>
      </c>
      <c r="P44" s="111"/>
      <c r="Q44" s="4"/>
    </row>
    <row r="45" customFormat="false" ht="12.75" hidden="false" customHeight="false" outlineLevel="0" collapsed="false">
      <c r="A45" s="21"/>
      <c r="B45" s="25"/>
      <c r="C45" s="30"/>
      <c r="D45" s="35" t="s">
        <v>35</v>
      </c>
      <c r="E45" s="183" t="n">
        <v>5395901.45622071</v>
      </c>
      <c r="F45" s="13"/>
      <c r="G45" s="173" t="n">
        <f aca="false">G15</f>
        <v>0.08515</v>
      </c>
      <c r="H45" s="172" t="n">
        <f aca="false">E45*G45</f>
        <v>459461.008997194</v>
      </c>
      <c r="I45" s="13"/>
      <c r="J45" s="173" t="n">
        <f aca="false">G45</f>
        <v>0.08515</v>
      </c>
      <c r="K45" s="172" t="n">
        <f aca="false">E45*J45</f>
        <v>459461.008997194</v>
      </c>
      <c r="L45" s="13"/>
      <c r="M45" s="173" t="n">
        <f aca="false">M15</f>
        <v>0.03901</v>
      </c>
      <c r="N45" s="174" t="n">
        <f aca="false">M45</f>
        <v>0.03901</v>
      </c>
      <c r="O45" s="111" t="n">
        <f aca="false">E45*N45</f>
        <v>210494.11580717</v>
      </c>
      <c r="P45" s="111"/>
      <c r="Q45" s="4"/>
    </row>
    <row r="46" customFormat="false" ht="12.75" hidden="false" customHeight="false" outlineLevel="0" collapsed="false">
      <c r="A46" s="21"/>
      <c r="B46" s="25"/>
      <c r="C46" s="28" t="s">
        <v>19</v>
      </c>
      <c r="D46" s="35" t="s">
        <v>32</v>
      </c>
      <c r="E46" s="183" t="n">
        <v>1141182.55386032</v>
      </c>
      <c r="F46" s="13"/>
      <c r="G46" s="173" t="n">
        <f aca="false">G16</f>
        <v>0.11636</v>
      </c>
      <c r="H46" s="172" t="n">
        <f aca="false">E46*G46</f>
        <v>132788.001967187</v>
      </c>
      <c r="I46" s="13"/>
      <c r="J46" s="173" t="n">
        <f aca="false">G46</f>
        <v>0.11636</v>
      </c>
      <c r="K46" s="172" t="n">
        <f aca="false">E46*J46</f>
        <v>132788.001967187</v>
      </c>
      <c r="L46" s="13"/>
      <c r="M46" s="173" t="n">
        <f aca="false">M16</f>
        <v>0.06114</v>
      </c>
      <c r="N46" s="174" t="n">
        <f aca="false">M46</f>
        <v>0.06114</v>
      </c>
      <c r="O46" s="111" t="n">
        <f aca="false">E46*N46</f>
        <v>69771.90134302</v>
      </c>
      <c r="P46" s="111"/>
      <c r="Q46" s="4"/>
    </row>
    <row r="47" customFormat="false" ht="12.75" hidden="false" customHeight="false" outlineLevel="0" collapsed="false">
      <c r="A47" s="21"/>
      <c r="B47" s="25"/>
      <c r="C47" s="30"/>
      <c r="D47" s="35" t="s">
        <v>35</v>
      </c>
      <c r="E47" s="183" t="n">
        <v>6168356.62211888</v>
      </c>
      <c r="F47" s="13"/>
      <c r="G47" s="173" t="n">
        <f aca="false">G17</f>
        <v>0.08851</v>
      </c>
      <c r="H47" s="172" t="n">
        <f aca="false">E47*G47</f>
        <v>545961.244623742</v>
      </c>
      <c r="I47" s="13"/>
      <c r="J47" s="173" t="n">
        <f aca="false">G47</f>
        <v>0.08851</v>
      </c>
      <c r="K47" s="172" t="n">
        <f aca="false">E47*J47</f>
        <v>545961.244623742</v>
      </c>
      <c r="L47" s="13"/>
      <c r="M47" s="173" t="n">
        <f aca="false">M17</f>
        <v>0.0414</v>
      </c>
      <c r="N47" s="174" t="n">
        <f aca="false">M47</f>
        <v>0.0414</v>
      </c>
      <c r="O47" s="108" t="n">
        <f aca="false">E47*N47</f>
        <v>255369.964155722</v>
      </c>
      <c r="P47" s="108"/>
      <c r="Q47" s="4"/>
    </row>
    <row r="48" customFormat="false" ht="12.75" hidden="false" customHeight="false" outlineLevel="0" collapsed="false">
      <c r="A48" s="21"/>
      <c r="B48" s="25"/>
      <c r="C48" s="30"/>
      <c r="D48" s="35"/>
      <c r="E48" s="170"/>
      <c r="F48" s="13"/>
      <c r="G48" s="171"/>
      <c r="H48" s="172"/>
      <c r="I48" s="13"/>
      <c r="J48" s="173"/>
      <c r="K48" s="172"/>
      <c r="L48" s="13"/>
      <c r="M48" s="171"/>
      <c r="N48" s="174"/>
      <c r="O48" s="111"/>
      <c r="P48" s="111"/>
      <c r="Q48" s="4"/>
    </row>
    <row r="49" customFormat="false" ht="12.75" hidden="false" customHeight="false" outlineLevel="0" collapsed="false">
      <c r="A49" s="21"/>
      <c r="B49" s="25"/>
      <c r="C49" s="28" t="s">
        <v>16</v>
      </c>
      <c r="D49" s="35" t="s">
        <v>190</v>
      </c>
      <c r="E49" s="183" t="n">
        <v>3649645.85977626</v>
      </c>
      <c r="G49" s="171" t="n">
        <v>-0.01732</v>
      </c>
      <c r="H49" s="172" t="n">
        <f aca="false">E49*G49</f>
        <v>-63211.8662913249</v>
      </c>
      <c r="I49" s="13"/>
      <c r="J49" s="173" t="n">
        <f aca="false">G49</f>
        <v>-0.01732</v>
      </c>
      <c r="K49" s="172" t="n">
        <f aca="false">E49*J49</f>
        <v>-63211.8662913249</v>
      </c>
      <c r="L49" s="13"/>
      <c r="M49" s="171" t="n">
        <v>-0.01211</v>
      </c>
      <c r="N49" s="174" t="n">
        <f aca="false">M49</f>
        <v>-0.01211</v>
      </c>
      <c r="O49" s="111" t="n">
        <f aca="false">E49*N49</f>
        <v>-44197.2113618906</v>
      </c>
      <c r="P49" s="111"/>
      <c r="Q49" s="4"/>
    </row>
    <row r="50" customFormat="false" ht="12.75" hidden="false" customHeight="false" outlineLevel="0" collapsed="false">
      <c r="A50" s="21"/>
      <c r="B50" s="25"/>
      <c r="C50" s="28" t="s">
        <v>19</v>
      </c>
      <c r="D50" s="35" t="s">
        <v>190</v>
      </c>
      <c r="E50" s="183" t="n">
        <v>4400880</v>
      </c>
      <c r="F50" s="13"/>
      <c r="G50" s="173" t="n">
        <f aca="false">G49</f>
        <v>-0.01732</v>
      </c>
      <c r="H50" s="172" t="n">
        <f aca="false">E50*G50</f>
        <v>-76223.2416</v>
      </c>
      <c r="I50" s="13"/>
      <c r="J50" s="173" t="n">
        <f aca="false">G50</f>
        <v>-0.01732</v>
      </c>
      <c r="K50" s="172" t="n">
        <f aca="false">E50*J50</f>
        <v>-76223.2416</v>
      </c>
      <c r="L50" s="13"/>
      <c r="M50" s="173" t="n">
        <f aca="false">M49</f>
        <v>-0.01211</v>
      </c>
      <c r="N50" s="174" t="n">
        <f aca="false">M50</f>
        <v>-0.01211</v>
      </c>
      <c r="O50" s="108" t="n">
        <f aca="false">E50*N50</f>
        <v>-53294.6568</v>
      </c>
      <c r="P50" s="108"/>
      <c r="Q50" s="4"/>
    </row>
    <row r="51" customFormat="false" ht="12.75" hidden="false" customHeight="false" outlineLevel="0" collapsed="false">
      <c r="A51" s="21"/>
      <c r="B51" s="25"/>
      <c r="C51" s="30"/>
      <c r="D51" s="35"/>
      <c r="E51" s="13"/>
      <c r="F51" s="13"/>
      <c r="G51" s="13"/>
      <c r="H51" s="13"/>
      <c r="I51" s="13"/>
      <c r="J51" s="183"/>
      <c r="K51" s="13"/>
      <c r="L51" s="13"/>
      <c r="M51" s="171"/>
      <c r="N51" s="174"/>
      <c r="O51" s="108"/>
      <c r="P51" s="108"/>
      <c r="Q51" s="4"/>
    </row>
    <row r="52" customFormat="false" ht="12.75" hidden="false" customHeight="false" outlineLevel="0" collapsed="false">
      <c r="B52" s="21" t="s">
        <v>20</v>
      </c>
      <c r="D52" s="5"/>
      <c r="E52" s="175" t="n">
        <f aca="false">SUM(E44:E47)</f>
        <v>13845847</v>
      </c>
      <c r="F52" s="176" t="s">
        <v>188</v>
      </c>
      <c r="G52" s="175"/>
      <c r="H52" s="178" t="n">
        <f aca="false">SUM(H44:H51)</f>
        <v>1358276.8510821</v>
      </c>
      <c r="I52" s="175"/>
      <c r="J52" s="175"/>
      <c r="K52" s="178" t="n">
        <f aca="false">SUM(K44:K51)</f>
        <v>1358276.8510821</v>
      </c>
      <c r="L52" s="175"/>
      <c r="M52" s="174"/>
      <c r="N52" s="174"/>
      <c r="O52" s="178" t="n">
        <f aca="false">SUM(O44:O47)</f>
        <v>766146.320429343</v>
      </c>
      <c r="P52" s="179" t="n">
        <f aca="false">O52/E52</f>
        <v>0.0553340160720643</v>
      </c>
      <c r="Q52" s="180" t="n">
        <f aca="false">E52*$Q$2</f>
        <v>415375.41</v>
      </c>
    </row>
    <row r="53" customFormat="false" ht="12.75" hidden="false" customHeight="false" outlineLevel="0" collapsed="false">
      <c r="B53" s="21"/>
      <c r="D53" s="5"/>
      <c r="E53" s="175"/>
      <c r="F53" s="176"/>
      <c r="G53" s="175"/>
      <c r="H53" s="178"/>
      <c r="I53" s="175"/>
      <c r="J53" s="175"/>
      <c r="K53" s="178"/>
      <c r="L53" s="175"/>
      <c r="M53" s="174"/>
      <c r="N53" s="174"/>
      <c r="O53" s="178"/>
      <c r="P53" s="178"/>
      <c r="Q53" s="182"/>
    </row>
    <row r="54" customFormat="false" ht="12.75" hidden="false" customHeight="false" outlineLevel="0" collapsed="false">
      <c r="E54" s="84"/>
      <c r="F54" s="84"/>
      <c r="G54" s="84"/>
      <c r="H54" s="84"/>
      <c r="I54" s="84"/>
      <c r="J54" s="84"/>
      <c r="K54" s="84"/>
      <c r="L54" s="84"/>
      <c r="M54" s="174"/>
      <c r="N54" s="174"/>
      <c r="O54" s="5"/>
      <c r="P54" s="5"/>
      <c r="Q54" s="4"/>
    </row>
    <row r="55" customFormat="false" ht="12.75" hidden="false" customHeight="false" outlineLevel="0" collapsed="false">
      <c r="A55" s="21" t="s">
        <v>150</v>
      </c>
      <c r="B55" s="31" t="s">
        <v>15</v>
      </c>
      <c r="C55" s="32" t="s">
        <v>16</v>
      </c>
      <c r="D55" s="31"/>
      <c r="E55" s="170" t="n">
        <v>48130908</v>
      </c>
      <c r="F55" s="13"/>
      <c r="G55" s="171" t="n">
        <v>0.10176</v>
      </c>
      <c r="H55" s="172" t="n">
        <f aca="false">E55*G55</f>
        <v>4897801.19808</v>
      </c>
      <c r="I55" s="13"/>
      <c r="J55" s="173" t="n">
        <f aca="false">G55</f>
        <v>0.10176</v>
      </c>
      <c r="K55" s="172" t="n">
        <f aca="false">E55*J55</f>
        <v>4897801.19808</v>
      </c>
      <c r="L55" s="13"/>
      <c r="M55" s="171" t="n">
        <v>0.07145</v>
      </c>
      <c r="N55" s="174" t="n">
        <f aca="false">M55</f>
        <v>0.07145</v>
      </c>
      <c r="O55" s="111" t="n">
        <f aca="false">E55*N55</f>
        <v>3438953.3766</v>
      </c>
      <c r="P55" s="111"/>
      <c r="Q55" s="4"/>
    </row>
    <row r="56" customFormat="false" ht="12.75" hidden="false" customHeight="false" outlineLevel="0" collapsed="false">
      <c r="A56" s="21"/>
      <c r="B56" s="31"/>
      <c r="C56" s="32" t="s">
        <v>19</v>
      </c>
      <c r="D56" s="31"/>
      <c r="E56" s="170" t="n">
        <v>48681464.189346</v>
      </c>
      <c r="F56" s="13"/>
      <c r="G56" s="171" t="n">
        <v>0.06173</v>
      </c>
      <c r="H56" s="172" t="n">
        <f aca="false">E56*G56</f>
        <v>3005106.78440833</v>
      </c>
      <c r="I56" s="13"/>
      <c r="J56" s="173" t="n">
        <f aca="false">G56</f>
        <v>0.06173</v>
      </c>
      <c r="K56" s="172" t="n">
        <f aca="false">E56*J56</f>
        <v>3005106.78440833</v>
      </c>
      <c r="L56" s="13"/>
      <c r="M56" s="171" t="n">
        <v>0.03536</v>
      </c>
      <c r="N56" s="174" t="n">
        <f aca="false">M56</f>
        <v>0.03536</v>
      </c>
      <c r="O56" s="108" t="n">
        <f aca="false">E56*N56</f>
        <v>1721376.57373527</v>
      </c>
      <c r="P56" s="108"/>
      <c r="Q56" s="4"/>
    </row>
    <row r="57" customFormat="false" ht="12.75" hidden="false" customHeight="false" outlineLevel="0" collapsed="false">
      <c r="E57" s="84"/>
      <c r="F57" s="84"/>
      <c r="G57" s="84"/>
      <c r="H57" s="84"/>
      <c r="I57" s="84"/>
      <c r="J57" s="84"/>
      <c r="K57" s="84"/>
      <c r="L57" s="84"/>
      <c r="M57" s="174"/>
      <c r="N57" s="174"/>
      <c r="O57" s="5"/>
      <c r="P57" s="5"/>
      <c r="Q57" s="4"/>
    </row>
    <row r="58" customFormat="false" ht="12.75" hidden="false" customHeight="false" outlineLevel="0" collapsed="false">
      <c r="B58" s="116" t="s">
        <v>191</v>
      </c>
      <c r="C58" s="167" t="s">
        <v>16</v>
      </c>
      <c r="E58" s="170" t="n">
        <v>35264</v>
      </c>
      <c r="F58" s="13"/>
      <c r="G58" s="184" t="n">
        <v>11.83</v>
      </c>
      <c r="H58" s="172" t="n">
        <f aca="false">E58*G58</f>
        <v>417173.12</v>
      </c>
      <c r="I58" s="84"/>
      <c r="J58" s="185" t="n">
        <f aca="false">G58</f>
        <v>11.83</v>
      </c>
      <c r="K58" s="172" t="n">
        <f aca="false">E58*J58</f>
        <v>417173.12</v>
      </c>
      <c r="L58" s="84"/>
      <c r="M58" s="174"/>
      <c r="N58" s="174"/>
      <c r="O58" s="5"/>
      <c r="P58" s="5"/>
      <c r="Q58" s="4"/>
    </row>
    <row r="59" customFormat="false" ht="12.75" hidden="false" customHeight="false" outlineLevel="0" collapsed="false">
      <c r="C59" s="167" t="s">
        <v>19</v>
      </c>
      <c r="E59" s="170" t="n">
        <v>33951.8873106705</v>
      </c>
      <c r="F59" s="13"/>
      <c r="G59" s="185" t="n">
        <f aca="false">G58</f>
        <v>11.83</v>
      </c>
      <c r="H59" s="186" t="n">
        <f aca="false">E59*G59</f>
        <v>401650.826885232</v>
      </c>
      <c r="I59" s="84"/>
      <c r="J59" s="185" t="n">
        <f aca="false">G59</f>
        <v>11.83</v>
      </c>
      <c r="K59" s="186" t="n">
        <f aca="false">E59*J59</f>
        <v>401650.826885232</v>
      </c>
      <c r="L59" s="84"/>
      <c r="M59" s="174"/>
      <c r="N59" s="174"/>
      <c r="O59" s="5"/>
      <c r="P59" s="5"/>
      <c r="Q59" s="4"/>
    </row>
    <row r="60" customFormat="false" ht="12.75" hidden="false" customHeight="false" outlineLevel="0" collapsed="false">
      <c r="E60" s="84"/>
      <c r="F60" s="84"/>
      <c r="G60" s="84"/>
      <c r="H60" s="84"/>
      <c r="I60" s="84"/>
      <c r="J60" s="84"/>
      <c r="K60" s="84"/>
      <c r="L60" s="84"/>
      <c r="M60" s="174"/>
      <c r="N60" s="174"/>
      <c r="O60" s="5"/>
      <c r="P60" s="5"/>
      <c r="Q60" s="4"/>
    </row>
    <row r="61" customFormat="false" ht="12.75" hidden="false" customHeight="false" outlineLevel="0" collapsed="false">
      <c r="B61" s="21" t="s">
        <v>20</v>
      </c>
      <c r="D61" s="5"/>
      <c r="E61" s="175" t="n">
        <f aca="false">SUM(E55:E56)</f>
        <v>96812372.189346</v>
      </c>
      <c r="F61" s="176" t="s">
        <v>188</v>
      </c>
      <c r="G61" s="175"/>
      <c r="H61" s="178" t="n">
        <f aca="false">SUM(H55:H59)</f>
        <v>8721731.92937356</v>
      </c>
      <c r="I61" s="175"/>
      <c r="J61" s="175"/>
      <c r="K61" s="178" t="n">
        <f aca="false">SUM(K55:K59)</f>
        <v>8721731.92937356</v>
      </c>
      <c r="L61" s="175"/>
      <c r="M61" s="174"/>
      <c r="N61" s="174"/>
      <c r="O61" s="178" t="n">
        <f aca="false">SUM(O55:O57)</f>
        <v>5160329.95033527</v>
      </c>
      <c r="P61" s="179" t="n">
        <f aca="false">O61/E61</f>
        <v>0.0533023810246348</v>
      </c>
      <c r="Q61" s="180" t="n">
        <f aca="false">E61*$Q$2</f>
        <v>2904371.16568038</v>
      </c>
    </row>
    <row r="62" customFormat="false" ht="12.75" hidden="false" customHeight="false" outlineLevel="0" collapsed="false">
      <c r="E62" s="34"/>
      <c r="F62" s="34"/>
      <c r="G62" s="34"/>
      <c r="H62" s="34"/>
      <c r="I62" s="34"/>
      <c r="J62" s="34"/>
      <c r="K62" s="34"/>
      <c r="L62" s="34"/>
      <c r="M62" s="188"/>
      <c r="N62" s="174"/>
      <c r="O62" s="5"/>
      <c r="P62" s="5"/>
      <c r="Q62" s="4"/>
    </row>
    <row r="64" customFormat="false" ht="12.75" hidden="false" customHeight="false" outlineLevel="0" collapsed="false">
      <c r="A64" s="166" t="s">
        <v>194</v>
      </c>
      <c r="E64" s="22" t="n">
        <f aca="false">E11+E22+E31+E39+E52+E61</f>
        <v>28847626316.4063</v>
      </c>
      <c r="H64" s="22" t="n">
        <f aca="false">H11+H22+H31+H39+H52+H61</f>
        <v>3432510434.03301</v>
      </c>
      <c r="K64" s="22" t="n">
        <f aca="false">K11+K22+K31+K39+K52+K61</f>
        <v>3700656161.00036</v>
      </c>
      <c r="O64" s="189" t="n">
        <f aca="false">O11+O22+O31+O39+O52+O61</f>
        <v>1974233316.62177</v>
      </c>
      <c r="P64" s="179" t="n">
        <f aca="false">O64/E64</f>
        <v>0.0684365949200812</v>
      </c>
      <c r="Q64" s="189" t="n">
        <f aca="false">Q11+Q22+Q31+Q39+Q52+Q61</f>
        <v>865428789.492188</v>
      </c>
    </row>
    <row r="66" customFormat="false" ht="12.75" hidden="false" customHeight="false" outlineLevel="0" collapsed="false">
      <c r="A66" s="166" t="s">
        <v>195</v>
      </c>
    </row>
    <row r="67" customFormat="false" ht="12.75" hidden="false" customHeight="false" outlineLevel="0" collapsed="false">
      <c r="A67" s="190" t="s">
        <v>196</v>
      </c>
      <c r="B67" s="191"/>
      <c r="D67" s="1" t="s">
        <v>17</v>
      </c>
      <c r="E67" s="192" t="n">
        <f aca="false">[12]BillDet!D$9</f>
        <v>14937113431.9421</v>
      </c>
      <c r="G67" s="193"/>
    </row>
    <row r="68" customFormat="false" ht="12.75" hidden="false" customHeight="false" outlineLevel="0" collapsed="false">
      <c r="A68" s="190" t="s">
        <v>197</v>
      </c>
      <c r="B68" s="191"/>
      <c r="D68" s="1" t="s">
        <v>18</v>
      </c>
      <c r="E68" s="192" t="n">
        <f aca="false">[12]BillDet!E$9</f>
        <v>2888057825.1993</v>
      </c>
    </row>
    <row r="69" customFormat="false" ht="12.75" hidden="false" customHeight="false" outlineLevel="0" collapsed="false">
      <c r="A69" s="190" t="s">
        <v>198</v>
      </c>
      <c r="B69" s="191"/>
      <c r="D69" s="1" t="s">
        <v>155</v>
      </c>
      <c r="E69" s="192" t="n">
        <f aca="false">[12]BillDet!F$9</f>
        <v>4288744118.26536</v>
      </c>
    </row>
    <row r="70" customFormat="false" ht="12.75" hidden="false" customHeight="false" outlineLevel="0" collapsed="false">
      <c r="A70" s="190" t="s">
        <v>199</v>
      </c>
      <c r="B70" s="194"/>
      <c r="D70" s="1" t="s">
        <v>156</v>
      </c>
      <c r="E70" s="192" t="n">
        <f aca="false">[12]BillDet!G$9</f>
        <v>2651385130.00159</v>
      </c>
    </row>
    <row r="71" customFormat="false" ht="12.75" hidden="false" customHeight="false" outlineLevel="0" collapsed="false">
      <c r="A71" s="195" t="s">
        <v>200</v>
      </c>
      <c r="B71" s="195"/>
      <c r="C71" s="48"/>
      <c r="D71" s="196" t="s">
        <v>157</v>
      </c>
      <c r="E71" s="197" t="n">
        <f aca="false">[12]BillDet!H$9</f>
        <v>2049272191.32675</v>
      </c>
    </row>
    <row r="72" customFormat="false" ht="12.75" hidden="false" customHeight="false" outlineLevel="0" collapsed="false">
      <c r="D72" s="1" t="s">
        <v>201</v>
      </c>
      <c r="E72" s="39" t="n">
        <f aca="false">SUM(E67:E71)</f>
        <v>26814572696.7351</v>
      </c>
    </row>
    <row r="73" customFormat="false" ht="12.75" hidden="false" customHeight="false" outlineLevel="0" collapsed="false">
      <c r="E73" s="198"/>
    </row>
    <row r="74" customFormat="false" ht="12.75" hidden="false" customHeight="false" outlineLevel="0" collapsed="false">
      <c r="A74" s="166" t="s">
        <v>202</v>
      </c>
      <c r="E74" s="198"/>
    </row>
    <row r="75" customFormat="false" ht="12.75" hidden="false" customHeight="false" outlineLevel="0" collapsed="false">
      <c r="A75" s="190" t="s">
        <v>196</v>
      </c>
      <c r="B75" s="191"/>
      <c r="D75" s="1" t="s">
        <v>17</v>
      </c>
      <c r="E75" s="192" t="n">
        <f aca="false">[12]BillDet!D$21</f>
        <v>1470371157.49985</v>
      </c>
    </row>
    <row r="76" customFormat="false" ht="12.75" hidden="false" customHeight="false" outlineLevel="0" collapsed="false">
      <c r="A76" s="190" t="s">
        <v>197</v>
      </c>
      <c r="B76" s="191"/>
      <c r="D76" s="1" t="s">
        <v>18</v>
      </c>
      <c r="E76" s="192" t="n">
        <f aca="false">[12]BillDet!E$21</f>
        <v>430740470.226653</v>
      </c>
    </row>
    <row r="77" customFormat="false" ht="12.75" hidden="false" customHeight="false" outlineLevel="0" collapsed="false">
      <c r="A77" s="190" t="s">
        <v>198</v>
      </c>
      <c r="B77" s="191"/>
      <c r="D77" s="1" t="s">
        <v>155</v>
      </c>
      <c r="E77" s="192" t="n">
        <f aca="false">[12]BillDet!F$21</f>
        <v>0</v>
      </c>
    </row>
    <row r="78" customFormat="false" ht="12.75" hidden="false" customHeight="false" outlineLevel="0" collapsed="false">
      <c r="A78" s="190" t="s">
        <v>199</v>
      </c>
      <c r="B78" s="194"/>
      <c r="D78" s="1" t="s">
        <v>156</v>
      </c>
      <c r="E78" s="192" t="n">
        <f aca="false">[12]BillDet!G$21</f>
        <v>92746093.2912215</v>
      </c>
    </row>
    <row r="79" customFormat="false" ht="12.75" hidden="false" customHeight="false" outlineLevel="0" collapsed="false">
      <c r="A79" s="195" t="s">
        <v>200</v>
      </c>
      <c r="B79" s="195"/>
      <c r="C79" s="48"/>
      <c r="D79" s="196" t="s">
        <v>157</v>
      </c>
      <c r="E79" s="192" t="n">
        <f aca="false">[12]BillDet!H$21</f>
        <v>39195898.653403</v>
      </c>
    </row>
    <row r="80" customFormat="false" ht="12.75" hidden="false" customHeight="false" outlineLevel="0" collapsed="false">
      <c r="D80" s="1" t="s">
        <v>201</v>
      </c>
      <c r="E80" s="39" t="n">
        <f aca="false">SUM(E75:E79)</f>
        <v>2033053619.67113</v>
      </c>
    </row>
    <row r="81" customFormat="false" ht="12.75" hidden="false" customHeight="false" outlineLevel="0" collapsed="false">
      <c r="E81" s="39"/>
    </row>
    <row r="82" customFormat="false" ht="12.75" hidden="false" customHeight="false" outlineLevel="0" collapsed="false">
      <c r="A82" s="166" t="s">
        <v>194</v>
      </c>
      <c r="E82" s="39" t="n">
        <f aca="false">E72+E80</f>
        <v>28847626316.4063</v>
      </c>
    </row>
    <row r="85" customFormat="false" ht="12.75" hidden="false" customHeight="false" outlineLevel="0" collapsed="false">
      <c r="A85" s="116" t="s">
        <v>203</v>
      </c>
      <c r="B85" s="1"/>
      <c r="D85" s="5"/>
      <c r="E85" s="175"/>
      <c r="F85" s="176"/>
      <c r="G85" s="177"/>
      <c r="H85" s="178"/>
      <c r="I85" s="175"/>
      <c r="J85" s="175"/>
      <c r="K85" s="178"/>
      <c r="L85" s="175"/>
      <c r="M85" s="174"/>
      <c r="N85" s="174"/>
      <c r="O85" s="181"/>
      <c r="P85" s="181"/>
      <c r="Q85" s="182"/>
    </row>
    <row r="86" customFormat="false" ht="12.75" hidden="false" customHeight="false" outlineLevel="0" collapsed="false">
      <c r="A86" s="116" t="s">
        <v>193</v>
      </c>
      <c r="B86" s="1"/>
      <c r="D86" s="5"/>
      <c r="E86" s="175"/>
      <c r="F86" s="176"/>
      <c r="G86" s="177"/>
      <c r="H86" s="178"/>
      <c r="I86" s="175"/>
      <c r="J86" s="175"/>
      <c r="K86" s="178"/>
      <c r="L86" s="175"/>
      <c r="M86" s="174"/>
      <c r="N86" s="174"/>
      <c r="O86" s="181"/>
      <c r="P86" s="181"/>
      <c r="Q86" s="182"/>
    </row>
    <row r="88" customFormat="false" ht="12.75" hidden="false" customHeight="false" outlineLevel="0" collapsed="false">
      <c r="E88" s="22"/>
    </row>
  </sheetData>
  <printOptions headings="true" gridLines="false" gridLinesSet="true" horizontalCentered="true" verticalCentered="false"/>
  <pageMargins left="0.25" right="0.25" top="0.75" bottom="0.984027777777778" header="0.5" footer="0.511811023622047"/>
  <pageSetup paperSize="1" scale="65" fitToWidth="1" fitToHeight="1" pageOrder="downThenOver" orientation="landscape" blackAndWhite="false" draft="false" cellComments="none" horizontalDpi="300" verticalDpi="300" copies="1"/>
  <headerFooter differentFirst="false" differentOddEven="false">
    <oddHeader>&amp;L&amp;D
&amp;T&amp;R&amp;F
&amp;A</oddHeader>
    <oddFooter/>
  </headerFooter>
  <rowBreaks count="1" manualBreakCount="1">
    <brk id="43" man="true" max="16383" min="0"/>
  </rowBreak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82"/>
  <sheetViews>
    <sheetView showFormulas="false" showGridLines="true" showRowColHeaders="true" showZeros="true" rightToLeft="false" tabSelected="false" showOutlineSymbols="true" defaultGridColor="true" view="normal" topLeftCell="A49" colorId="64" zoomScale="100" zoomScaleNormal="100" zoomScalePageLayoutView="100" workbookViewId="0">
      <selection pane="topLeft" activeCell="B54" activeCellId="0" sqref="B5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53" width="15.85"/>
    <col collapsed="false" customWidth="true" hidden="false" outlineLevel="0" max="3" min="2" style="53" width="13.7"/>
    <col collapsed="false" customWidth="true" hidden="false" outlineLevel="0" max="4" min="4" style="120" width="13.7"/>
    <col collapsed="false" customWidth="true" hidden="false" outlineLevel="0" max="5" min="5" style="53" width="16.99"/>
    <col collapsed="false" customWidth="true" hidden="false" outlineLevel="0" max="6" min="6" style="53" width="10.41"/>
    <col collapsed="false" customWidth="true" hidden="false" outlineLevel="0" max="7" min="7" style="53" width="7.99"/>
    <col collapsed="false" customWidth="true" hidden="false" outlineLevel="0" max="8" min="8" style="53" width="6.99"/>
  </cols>
  <sheetData>
    <row r="1" customFormat="false" ht="12" hidden="false" customHeight="true" outlineLevel="0" collapsed="false">
      <c r="A1" s="199" t="s">
        <v>172</v>
      </c>
      <c r="B1" s="200" t="s">
        <v>204</v>
      </c>
      <c r="C1" s="200"/>
    </row>
    <row r="2" customFormat="false" ht="12" hidden="false" customHeight="true" outlineLevel="0" collapsed="false"/>
    <row r="3" customFormat="false" ht="12" hidden="false" customHeight="true" outlineLevel="0" collapsed="false">
      <c r="B3" s="52" t="s">
        <v>205</v>
      </c>
      <c r="C3" s="52" t="s">
        <v>206</v>
      </c>
    </row>
    <row r="4" customFormat="false" ht="12" hidden="false" customHeight="true" outlineLevel="0" collapsed="false">
      <c r="A4" s="53" t="s">
        <v>207</v>
      </c>
      <c r="B4" s="201" t="n">
        <v>7815810</v>
      </c>
      <c r="C4" s="201" t="n">
        <v>8717352.88909932</v>
      </c>
    </row>
    <row r="5" customFormat="false" ht="12" hidden="false" customHeight="true" outlineLevel="0" collapsed="false">
      <c r="A5" s="53" t="s">
        <v>208</v>
      </c>
      <c r="B5" s="201" t="n">
        <f aca="false">[13]e1!$BO$89</f>
        <v>6735845562</v>
      </c>
      <c r="C5" s="201" t="n">
        <f aca="false">[13]e1!$BO$90</f>
        <v>7076378038.35672</v>
      </c>
    </row>
    <row r="6" customFormat="false" ht="12" hidden="false" customHeight="true" outlineLevel="0" collapsed="false">
      <c r="A6" s="53" t="s">
        <v>209</v>
      </c>
      <c r="B6" s="202" t="n">
        <f aca="false">[13]e1!$BO$94</f>
        <v>4786100707</v>
      </c>
      <c r="C6" s="202" t="n">
        <f aca="false">[13]e1!$BO$95</f>
        <v>4752592915.66475</v>
      </c>
    </row>
    <row r="7" customFormat="false" ht="12" hidden="false" customHeight="true" outlineLevel="0" collapsed="false">
      <c r="B7" s="203" t="n">
        <f aca="false">B5+B6</f>
        <v>11521946269</v>
      </c>
      <c r="C7" s="203" t="n">
        <f aca="false">C5+C6</f>
        <v>11828970954.0215</v>
      </c>
    </row>
    <row r="8" customFormat="false" ht="12" hidden="false" customHeight="true" outlineLevel="0" collapsed="false"/>
    <row r="9" customFormat="false" ht="12" hidden="false" customHeight="true" outlineLevel="0" collapsed="false">
      <c r="A9" s="53" t="s">
        <v>210</v>
      </c>
      <c r="B9" s="203" t="n">
        <f aca="false">B5+B4</f>
        <v>6743661372</v>
      </c>
      <c r="C9" s="203" t="n">
        <f aca="false">C5+C4</f>
        <v>7085095391.24582</v>
      </c>
      <c r="D9" s="120" t="n">
        <v>6743661372</v>
      </c>
    </row>
    <row r="10" customFormat="false" ht="12" hidden="false" customHeight="true" outlineLevel="0" collapsed="false">
      <c r="A10" s="53" t="s">
        <v>211</v>
      </c>
      <c r="B10" s="204" t="n">
        <f aca="false">B6</f>
        <v>4786100707</v>
      </c>
      <c r="C10" s="204" t="n">
        <f aca="false">C6</f>
        <v>4752592915.66475</v>
      </c>
      <c r="D10" s="120" t="n">
        <v>4786100707</v>
      </c>
    </row>
    <row r="11" customFormat="false" ht="12" hidden="false" customHeight="true" outlineLevel="0" collapsed="false">
      <c r="A11" s="53" t="s">
        <v>212</v>
      </c>
      <c r="B11" s="203" t="n">
        <f aca="false">B9+B10</f>
        <v>11529762079</v>
      </c>
      <c r="C11" s="203" t="n">
        <f aca="false">C9+C10</f>
        <v>11837688306.9106</v>
      </c>
      <c r="D11" s="120" t="n">
        <v>7085095391.24582</v>
      </c>
    </row>
    <row r="12" customFormat="false" ht="12" hidden="false" customHeight="true" outlineLevel="0" collapsed="false">
      <c r="C12" s="203"/>
      <c r="D12" s="120" t="n">
        <v>4752592915.66475</v>
      </c>
    </row>
    <row r="13" customFormat="false" ht="12" hidden="false" customHeight="true" outlineLevel="0" collapsed="false">
      <c r="A13" s="199" t="s">
        <v>213</v>
      </c>
      <c r="B13" s="205" t="n">
        <f aca="false">B11+C11</f>
        <v>23367450385.9106</v>
      </c>
    </row>
    <row r="14" customFormat="false" ht="12" hidden="false" customHeight="true" outlineLevel="0" collapsed="false"/>
    <row r="15" customFormat="false" ht="12" hidden="false" customHeight="true" outlineLevel="0" collapsed="false">
      <c r="B15" s="203"/>
      <c r="C15" s="203"/>
    </row>
    <row r="16" customFormat="false" ht="12" hidden="false" customHeight="true" outlineLevel="0" collapsed="false">
      <c r="A16" s="199" t="s">
        <v>148</v>
      </c>
      <c r="B16" s="203"/>
      <c r="C16" s="203"/>
    </row>
    <row r="17" customFormat="false" ht="12" hidden="false" customHeight="true" outlineLevel="0" collapsed="false">
      <c r="B17" s="52" t="s">
        <v>205</v>
      </c>
      <c r="C17" s="52" t="s">
        <v>206</v>
      </c>
    </row>
    <row r="18" customFormat="false" ht="12" hidden="false" customHeight="true" outlineLevel="0" collapsed="false">
      <c r="A18" s="53" t="s">
        <v>214</v>
      </c>
      <c r="B18" s="202" t="n">
        <f aca="false">[14]el1!$BO$57</f>
        <v>210083</v>
      </c>
      <c r="C18" s="202" t="n">
        <f aca="false">[14]el1!$BO$58</f>
        <v>240909.795736274</v>
      </c>
    </row>
    <row r="19" customFormat="false" ht="12" hidden="false" customHeight="true" outlineLevel="0" collapsed="false">
      <c r="A19" s="53" t="s">
        <v>215</v>
      </c>
      <c r="B19" s="201" t="n">
        <f aca="false">[14]el1!$BO$67</f>
        <v>728142077</v>
      </c>
      <c r="C19" s="201" t="n">
        <f aca="false">[14]el1!$BO$68</f>
        <v>693449630.71976</v>
      </c>
      <c r="D19" s="203" t="n">
        <f aca="false">B23</f>
        <v>728352160</v>
      </c>
    </row>
    <row r="20" customFormat="false" ht="12" hidden="false" customHeight="true" outlineLevel="0" collapsed="false">
      <c r="A20" s="53" t="s">
        <v>216</v>
      </c>
      <c r="B20" s="202" t="n">
        <f aca="false">[14]el1!$BO$72</f>
        <v>260969916</v>
      </c>
      <c r="C20" s="202" t="n">
        <f aca="false">[14]el1!$BO$73</f>
        <v>239382783.966287</v>
      </c>
      <c r="D20" s="203" t="n">
        <f aca="false">B24</f>
        <v>260969916</v>
      </c>
    </row>
    <row r="21" customFormat="false" ht="12" hidden="false" customHeight="true" outlineLevel="0" collapsed="false">
      <c r="A21" s="53" t="s">
        <v>217</v>
      </c>
      <c r="B21" s="203" t="n">
        <f aca="false">B19+B20</f>
        <v>989111993</v>
      </c>
      <c r="C21" s="203" t="n">
        <f aca="false">C19+C20</f>
        <v>932832414.686047</v>
      </c>
      <c r="D21" s="203" t="n">
        <f aca="false">C23</f>
        <v>693690540.515496</v>
      </c>
    </row>
    <row r="22" customFormat="false" ht="12" hidden="false" customHeight="true" outlineLevel="0" collapsed="false">
      <c r="D22" s="203" t="n">
        <f aca="false">C24</f>
        <v>239382783.966287</v>
      </c>
    </row>
    <row r="23" customFormat="false" ht="12" hidden="false" customHeight="true" outlineLevel="0" collapsed="false">
      <c r="A23" s="53" t="s">
        <v>210</v>
      </c>
      <c r="B23" s="203" t="n">
        <f aca="false">B19+B18</f>
        <v>728352160</v>
      </c>
      <c r="C23" s="203" t="n">
        <f aca="false">C19+C18</f>
        <v>693690540.515496</v>
      </c>
      <c r="D23" s="203" t="n">
        <f aca="false">SUM(D19:D22)</f>
        <v>1922395400.48178</v>
      </c>
    </row>
    <row r="24" customFormat="false" ht="12" hidden="false" customHeight="true" outlineLevel="0" collapsed="false">
      <c r="A24" s="53" t="s">
        <v>211</v>
      </c>
      <c r="B24" s="204" t="n">
        <f aca="false">B20</f>
        <v>260969916</v>
      </c>
      <c r="C24" s="204" t="n">
        <f aca="false">C20</f>
        <v>239382783.966287</v>
      </c>
    </row>
    <row r="25" customFormat="false" ht="12" hidden="false" customHeight="true" outlineLevel="0" collapsed="false">
      <c r="A25" s="53" t="s">
        <v>212</v>
      </c>
      <c r="B25" s="203" t="n">
        <f aca="false">B23+B24</f>
        <v>989322076</v>
      </c>
      <c r="C25" s="203" t="n">
        <f aca="false">C23+C24</f>
        <v>933073324.481783</v>
      </c>
    </row>
    <row r="26" customFormat="false" ht="12" hidden="false" customHeight="true" outlineLevel="0" collapsed="false"/>
    <row r="27" customFormat="false" ht="12" hidden="false" customHeight="true" outlineLevel="0" collapsed="false">
      <c r="A27" s="199" t="s">
        <v>218</v>
      </c>
      <c r="B27" s="206" t="n">
        <f aca="false">B25+C25</f>
        <v>1922395400.48178</v>
      </c>
    </row>
    <row r="28" customFormat="false" ht="12" hidden="false" customHeight="true" outlineLevel="0" collapsed="false">
      <c r="A28" s="199"/>
      <c r="B28" s="206"/>
    </row>
    <row r="29" customFormat="false" ht="12" hidden="false" customHeight="true" outlineLevel="0" collapsed="false">
      <c r="B29" s="203" t="n">
        <f aca="false">B13+B27</f>
        <v>25289845786.3924</v>
      </c>
    </row>
    <row r="30" customFormat="false" ht="12" hidden="false" customHeight="true" outlineLevel="0" collapsed="false">
      <c r="A30" s="199" t="s">
        <v>174</v>
      </c>
    </row>
    <row r="31" customFormat="false" ht="12" hidden="false" customHeight="true" outlineLevel="0" collapsed="false">
      <c r="B31" s="52" t="s">
        <v>205</v>
      </c>
      <c r="C31" s="52" t="s">
        <v>206</v>
      </c>
    </row>
    <row r="32" customFormat="false" ht="12" hidden="false" customHeight="true" outlineLevel="0" collapsed="false">
      <c r="A32" s="53" t="s">
        <v>219</v>
      </c>
      <c r="B32" s="201" t="n">
        <f aca="false">[15]e8!$BO$54</f>
        <v>1108352630</v>
      </c>
      <c r="C32" s="201" t="n">
        <f aca="false">[15]e8!$BO$55</f>
        <v>1139758621.35793</v>
      </c>
      <c r="D32" s="120" t="n">
        <v>1108352630</v>
      </c>
    </row>
    <row r="33" customFormat="false" ht="12" hidden="false" customHeight="true" outlineLevel="0" collapsed="false">
      <c r="A33" s="199" t="s">
        <v>213</v>
      </c>
      <c r="B33" s="206" t="n">
        <f aca="false">B32+C32</f>
        <v>2248111251.35793</v>
      </c>
      <c r="D33" s="120" t="n">
        <v>1139758621.35793</v>
      </c>
    </row>
    <row r="34" customFormat="false" ht="12" hidden="false" customHeight="true" outlineLevel="0" collapsed="false"/>
    <row r="35" customFormat="false" ht="12" hidden="false" customHeight="true" outlineLevel="0" collapsed="false">
      <c r="A35" s="53" t="s">
        <v>220</v>
      </c>
      <c r="B35" s="201" t="n">
        <f aca="false">[15]e8!$BO$48</f>
        <v>692937</v>
      </c>
      <c r="C35" s="201" t="n">
        <f aca="false">[15]e8!$BO$49</f>
        <v>674334.095355996</v>
      </c>
      <c r="D35" s="120" t="n">
        <v>692937</v>
      </c>
    </row>
    <row r="36" customFormat="false" ht="12" hidden="false" customHeight="true" outlineLevel="0" collapsed="false">
      <c r="A36" s="199" t="s">
        <v>221</v>
      </c>
      <c r="B36" s="206" t="n">
        <f aca="false">B35+C35</f>
        <v>1367271.095356</v>
      </c>
      <c r="D36" s="120" t="n">
        <v>674334.095355996</v>
      </c>
    </row>
    <row r="37" customFormat="false" ht="12" hidden="false" customHeight="true" outlineLevel="0" collapsed="false">
      <c r="A37" s="199"/>
      <c r="B37" s="206"/>
    </row>
    <row r="38" customFormat="false" ht="12" hidden="false" customHeight="true" outlineLevel="0" collapsed="false">
      <c r="A38" s="199"/>
      <c r="B38" s="206"/>
    </row>
    <row r="39" customFormat="false" ht="12" hidden="false" customHeight="true" outlineLevel="0" collapsed="false">
      <c r="A39" s="199" t="s">
        <v>150</v>
      </c>
      <c r="B39" s="206"/>
    </row>
    <row r="40" customFormat="false" ht="12" hidden="false" customHeight="true" outlineLevel="0" collapsed="false">
      <c r="A40" s="199"/>
      <c r="B40" s="52" t="s">
        <v>205</v>
      </c>
      <c r="C40" s="52" t="s">
        <v>206</v>
      </c>
    </row>
    <row r="41" customFormat="false" ht="12" hidden="false" customHeight="true" outlineLevel="0" collapsed="false">
      <c r="A41" s="53" t="s">
        <v>222</v>
      </c>
      <c r="B41" s="201" t="n">
        <f aca="false">[16]el8!$BO$54</f>
        <v>48130908</v>
      </c>
      <c r="C41" s="201" t="n">
        <f aca="false">[16]el8!$BO$55</f>
        <v>48681464.189346</v>
      </c>
      <c r="D41" s="120" t="n">
        <v>48130908</v>
      </c>
    </row>
    <row r="42" customFormat="false" ht="12" hidden="false" customHeight="true" outlineLevel="0" collapsed="false">
      <c r="A42" s="199" t="s">
        <v>223</v>
      </c>
      <c r="B42" s="206" t="n">
        <f aca="false">B41+C41</f>
        <v>96812372.189346</v>
      </c>
      <c r="D42" s="120" t="n">
        <v>48681464.189346</v>
      </c>
    </row>
    <row r="43" customFormat="false" ht="12" hidden="false" customHeight="true" outlineLevel="0" collapsed="false">
      <c r="A43" s="199"/>
      <c r="B43" s="206"/>
    </row>
    <row r="44" customFormat="false" ht="12" hidden="false" customHeight="true" outlineLevel="0" collapsed="false">
      <c r="A44" s="53" t="s">
        <v>224</v>
      </c>
      <c r="B44" s="201" t="n">
        <f aca="false">[16]el8!$BO$48</f>
        <v>35264</v>
      </c>
      <c r="C44" s="201" t="n">
        <f aca="false">[16]el8!$BO$49</f>
        <v>33951.8873106705</v>
      </c>
      <c r="D44" s="120" t="n">
        <v>35264</v>
      </c>
    </row>
    <row r="45" customFormat="false" ht="12" hidden="false" customHeight="true" outlineLevel="0" collapsed="false">
      <c r="A45" s="199" t="s">
        <v>225</v>
      </c>
      <c r="B45" s="206" t="n">
        <f aca="false">B44+C44</f>
        <v>69215.8873106705</v>
      </c>
      <c r="D45" s="120" t="n">
        <v>33951.8873106705</v>
      </c>
    </row>
    <row r="46" customFormat="false" ht="12" hidden="false" customHeight="true" outlineLevel="0" collapsed="false">
      <c r="A46" s="199"/>
      <c r="B46" s="206"/>
    </row>
    <row r="47" customFormat="false" ht="12" hidden="false" customHeight="true" outlineLevel="0" collapsed="false">
      <c r="A47" s="199"/>
      <c r="B47" s="206"/>
    </row>
    <row r="48" customFormat="false" ht="12" hidden="false" customHeight="true" outlineLevel="0" collapsed="false"/>
    <row r="49" customFormat="false" ht="12" hidden="false" customHeight="true" outlineLevel="0" collapsed="false">
      <c r="A49" s="199" t="s">
        <v>149</v>
      </c>
      <c r="B49" s="200" t="s">
        <v>204</v>
      </c>
      <c r="C49" s="200"/>
      <c r="E49" s="158" t="s">
        <v>226</v>
      </c>
      <c r="F49" s="207"/>
      <c r="G49" s="208" t="n">
        <v>36966</v>
      </c>
      <c r="H49" s="209"/>
    </row>
    <row r="50" customFormat="false" ht="12" hidden="false" customHeight="true" outlineLevel="0" collapsed="false">
      <c r="B50" s="52" t="s">
        <v>205</v>
      </c>
      <c r="C50" s="52" t="s">
        <v>206</v>
      </c>
      <c r="E50" s="161" t="s">
        <v>227</v>
      </c>
      <c r="F50" s="161" t="s">
        <v>228</v>
      </c>
      <c r="G50" s="210"/>
      <c r="H50" s="211"/>
    </row>
    <row r="51" customFormat="false" ht="12" hidden="false" customHeight="true" outlineLevel="0" collapsed="false">
      <c r="A51" s="53" t="s">
        <v>229</v>
      </c>
      <c r="B51" s="203" t="n">
        <f aca="false">G51*$B$54</f>
        <v>1140406.36780009</v>
      </c>
      <c r="C51" s="203" t="n">
        <f aca="false">H51*$B$54</f>
        <v>1141182.55386032</v>
      </c>
      <c r="D51" s="120" t="n">
        <f aca="false">B51</f>
        <v>1140406.36780009</v>
      </c>
      <c r="E51" s="126" t="n">
        <v>1140133</v>
      </c>
      <c r="F51" s="120" t="n">
        <v>1140909</v>
      </c>
      <c r="G51" s="135" t="n">
        <f aca="false">E51/$E$54</f>
        <v>0.0823645074078954</v>
      </c>
      <c r="H51" s="212" t="n">
        <f aca="false">F51/$E$54</f>
        <v>0.0824205665323559</v>
      </c>
    </row>
    <row r="52" customFormat="false" ht="12" hidden="false" customHeight="true" outlineLevel="0" collapsed="false">
      <c r="A52" s="53" t="s">
        <v>230</v>
      </c>
      <c r="B52" s="204" t="n">
        <f aca="false">G52*$B$54</f>
        <v>5395901.45622071</v>
      </c>
      <c r="C52" s="204" t="n">
        <f aca="false">H52*$B$54</f>
        <v>6168356.62211888</v>
      </c>
      <c r="D52" s="120" t="n">
        <f aca="false">B52</f>
        <v>5395901.45622071</v>
      </c>
      <c r="E52" s="128" t="n">
        <v>5394608</v>
      </c>
      <c r="F52" s="129" t="n">
        <v>6166878</v>
      </c>
      <c r="G52" s="135" t="n">
        <f aca="false">E52/$E$54</f>
        <v>0.389712630525291</v>
      </c>
      <c r="H52" s="212" t="n">
        <f aca="false">F52/$E$54</f>
        <v>0.445502295534457</v>
      </c>
    </row>
    <row r="53" customFormat="false" ht="12" hidden="false" customHeight="true" outlineLevel="0" collapsed="false">
      <c r="A53" s="53" t="s">
        <v>20</v>
      </c>
      <c r="B53" s="203" t="n">
        <f aca="false">B51+B52</f>
        <v>6536307.8240208</v>
      </c>
      <c r="C53" s="203" t="n">
        <f aca="false">C51+C52</f>
        <v>7309539.1759792</v>
      </c>
      <c r="D53" s="120" t="n">
        <f aca="false">C51</f>
        <v>1141182.55386032</v>
      </c>
      <c r="E53" s="126" t="n">
        <f aca="false">SUM(E51:E52)</f>
        <v>6534741</v>
      </c>
      <c r="F53" s="120" t="n">
        <f aca="false">SUM(F51:F52)</f>
        <v>7307787</v>
      </c>
      <c r="G53" s="210"/>
      <c r="H53" s="211"/>
    </row>
    <row r="54" customFormat="false" ht="12" hidden="false" customHeight="true" outlineLevel="0" collapsed="false">
      <c r="A54" s="199" t="s">
        <v>213</v>
      </c>
      <c r="B54" s="201" t="n">
        <f aca="false">[17]BillDet!$F$65</f>
        <v>13845847</v>
      </c>
      <c r="C54" s="53" t="s">
        <v>231</v>
      </c>
      <c r="D54" s="120" t="n">
        <f aca="false">C52</f>
        <v>6168356.62211888</v>
      </c>
      <c r="E54" s="126" t="n">
        <f aca="false">E53+F53</f>
        <v>13842528</v>
      </c>
      <c r="F54" s="120"/>
      <c r="G54" s="135" t="n">
        <f aca="false">SUM(G51:H52)</f>
        <v>1</v>
      </c>
      <c r="H54" s="211"/>
    </row>
    <row r="55" customFormat="false" ht="12" hidden="false" customHeight="true" outlineLevel="0" collapsed="false">
      <c r="A55" s="53" t="s">
        <v>232</v>
      </c>
      <c r="B55" s="203" t="n">
        <f aca="false">G55*$B$54</f>
        <v>3649645.85977626</v>
      </c>
      <c r="C55" s="203" t="n">
        <f aca="false">H55*$B$54</f>
        <v>4401935.19170487</v>
      </c>
      <c r="E55" s="126" t="n">
        <v>3648771</v>
      </c>
      <c r="F55" s="120" t="n">
        <v>4400880</v>
      </c>
      <c r="G55" s="135" t="n">
        <f aca="false">E55/E54</f>
        <v>0.263591375794942</v>
      </c>
      <c r="H55" s="212" t="n">
        <f aca="false">F55/E54</f>
        <v>0.317924587185231</v>
      </c>
    </row>
    <row r="56" customFormat="false" ht="12" hidden="false" customHeight="true" outlineLevel="0" collapsed="false">
      <c r="E56" s="161"/>
      <c r="F56" s="210"/>
      <c r="G56" s="210"/>
      <c r="H56" s="211"/>
    </row>
    <row r="57" customFormat="false" ht="12" hidden="false" customHeight="true" outlineLevel="0" collapsed="false">
      <c r="A57" s="53" t="s">
        <v>191</v>
      </c>
      <c r="B57" s="120" t="n">
        <f aca="false">G57*$B$58</f>
        <v>7203.39272064444</v>
      </c>
      <c r="C57" s="120" t="n">
        <f aca="false">H57*$B$58</f>
        <v>7096.60727935556</v>
      </c>
      <c r="D57" s="120" t="n">
        <f aca="false">B56:B57</f>
        <v>7203.39272064444</v>
      </c>
      <c r="E57" s="126" t="n">
        <v>8567</v>
      </c>
      <c r="F57" s="120" t="n">
        <v>8440</v>
      </c>
      <c r="G57" s="135" t="n">
        <f aca="false">E57/$E$58</f>
        <v>0.503733756688423</v>
      </c>
      <c r="H57" s="212" t="n">
        <f aca="false">F57/$E$58</f>
        <v>0.496266243311578</v>
      </c>
    </row>
    <row r="58" customFormat="false" ht="12" hidden="false" customHeight="true" outlineLevel="0" collapsed="false">
      <c r="A58" s="199" t="s">
        <v>221</v>
      </c>
      <c r="B58" s="201" t="n">
        <f aca="false">[17]BillDet!$E$65</f>
        <v>14300</v>
      </c>
      <c r="C58" s="53" t="s">
        <v>231</v>
      </c>
      <c r="D58" s="120" t="n">
        <f aca="false">C57</f>
        <v>7096.60727935556</v>
      </c>
      <c r="E58" s="131" t="n">
        <f aca="false">SUM(E57:F57)</f>
        <v>17007</v>
      </c>
      <c r="F58" s="132"/>
      <c r="G58" s="213"/>
      <c r="H58" s="214"/>
    </row>
    <row r="59" customFormat="false" ht="12" hidden="false" customHeight="true" outlineLevel="0" collapsed="false"/>
    <row r="60" customFormat="false" ht="12" hidden="false" customHeight="true" outlineLevel="0" collapsed="false"/>
    <row r="61" customFormat="false" ht="12" hidden="false" customHeight="true" outlineLevel="0" collapsed="false">
      <c r="A61" s="199" t="s">
        <v>173</v>
      </c>
      <c r="B61" s="200" t="s">
        <v>204</v>
      </c>
      <c r="C61" s="200"/>
    </row>
    <row r="62" customFormat="false" ht="12" hidden="false" customHeight="true" outlineLevel="0" collapsed="false">
      <c r="B62" s="52" t="s">
        <v>205</v>
      </c>
      <c r="C62" s="52" t="s">
        <v>206</v>
      </c>
    </row>
    <row r="63" customFormat="false" ht="12" hidden="false" customHeight="true" outlineLevel="0" collapsed="false">
      <c r="A63" s="53" t="s">
        <v>229</v>
      </c>
      <c r="B63" s="203" t="n">
        <f aca="false">B75-B51</f>
        <v>85099695.6321999</v>
      </c>
      <c r="C63" s="203" t="n">
        <f aca="false">C75-C51</f>
        <v>94181096.7120222</v>
      </c>
      <c r="D63" s="120" t="n">
        <f aca="false">B63</f>
        <v>85099695.6321999</v>
      </c>
    </row>
    <row r="64" customFormat="false" ht="12" hidden="false" customHeight="true" outlineLevel="0" collapsed="false">
      <c r="A64" s="53" t="s">
        <v>230</v>
      </c>
      <c r="B64" s="203" t="n">
        <f aca="false">B76-B52</f>
        <v>481411228.543779</v>
      </c>
      <c r="C64" s="203" t="n">
        <f aca="false">C76-C52</f>
        <v>538319038.578625</v>
      </c>
      <c r="D64" s="120" t="n">
        <f aca="false">B64</f>
        <v>481411228.543779</v>
      </c>
    </row>
    <row r="65" customFormat="false" ht="12" hidden="false" customHeight="true" outlineLevel="0" collapsed="false">
      <c r="A65" s="53" t="s">
        <v>20</v>
      </c>
      <c r="B65" s="203" t="n">
        <f aca="false">B63+B64</f>
        <v>566510924.175979</v>
      </c>
      <c r="C65" s="203" t="n">
        <f aca="false">C63+C64</f>
        <v>632500135.290647</v>
      </c>
      <c r="D65" s="120" t="n">
        <f aca="false">C63</f>
        <v>94181096.7120222</v>
      </c>
    </row>
    <row r="66" customFormat="false" ht="12" hidden="false" customHeight="true" outlineLevel="0" collapsed="false">
      <c r="A66" s="199" t="s">
        <v>213</v>
      </c>
      <c r="B66" s="206" t="n">
        <f aca="false">B65+C65</f>
        <v>1199011059.46663</v>
      </c>
      <c r="C66" s="53" t="s">
        <v>231</v>
      </c>
      <c r="D66" s="120" t="n">
        <f aca="false">C64</f>
        <v>538319038.578625</v>
      </c>
    </row>
    <row r="67" customFormat="false" ht="12" hidden="false" customHeight="true" outlineLevel="0" collapsed="false">
      <c r="A67" s="53" t="s">
        <v>232</v>
      </c>
      <c r="B67" s="203" t="n">
        <f aca="false">B79-B55</f>
        <v>228479417.140224</v>
      </c>
      <c r="C67" s="203" t="n">
        <f aca="false">C79-C55</f>
        <v>276093070.447747</v>
      </c>
    </row>
    <row r="68" customFormat="false" ht="12" hidden="false" customHeight="true" outlineLevel="0" collapsed="false"/>
    <row r="69" customFormat="false" ht="12" hidden="false" customHeight="true" outlineLevel="0" collapsed="false">
      <c r="A69" s="53" t="s">
        <v>191</v>
      </c>
      <c r="B69" s="203" t="n">
        <f aca="false">B81-B57</f>
        <v>565219.607279356</v>
      </c>
      <c r="C69" s="203" t="n">
        <f aca="false">C81-C57</f>
        <v>573820.232720644</v>
      </c>
      <c r="D69" s="120" t="n">
        <f aca="false">B68:B69</f>
        <v>565219.607279356</v>
      </c>
    </row>
    <row r="70" customFormat="false" ht="12" hidden="false" customHeight="true" outlineLevel="0" collapsed="false">
      <c r="A70" s="199" t="s">
        <v>221</v>
      </c>
      <c r="B70" s="206" t="n">
        <f aca="false">B69+C69</f>
        <v>1139039.84</v>
      </c>
      <c r="C70" s="53" t="s">
        <v>231</v>
      </c>
      <c r="D70" s="120" t="n">
        <f aca="false">C69</f>
        <v>573820.232720644</v>
      </c>
    </row>
    <row r="71" customFormat="false" ht="12" hidden="false" customHeight="true" outlineLevel="0" collapsed="false"/>
    <row r="72" customFormat="false" ht="12" hidden="false" customHeight="true" outlineLevel="0" collapsed="false"/>
    <row r="73" customFormat="false" ht="12" hidden="false" customHeight="true" outlineLevel="0" collapsed="false">
      <c r="A73" s="199" t="s">
        <v>233</v>
      </c>
      <c r="B73" s="200" t="s">
        <v>204</v>
      </c>
      <c r="C73" s="200"/>
    </row>
    <row r="74" customFormat="false" ht="12" hidden="false" customHeight="true" outlineLevel="0" collapsed="false">
      <c r="B74" s="52" t="s">
        <v>205</v>
      </c>
      <c r="C74" s="52" t="s">
        <v>206</v>
      </c>
    </row>
    <row r="75" customFormat="false" ht="12" hidden="false" customHeight="true" outlineLevel="0" collapsed="false">
      <c r="A75" s="53" t="s">
        <v>229</v>
      </c>
      <c r="B75" s="201" t="n">
        <f aca="false">[18]e7!$BO$67</f>
        <v>86240102</v>
      </c>
      <c r="C75" s="201" t="n">
        <f aca="false">[18]e7!$BO$68</f>
        <v>95322279.2658825</v>
      </c>
      <c r="D75" s="120" t="n">
        <v>86240102</v>
      </c>
    </row>
    <row r="76" customFormat="false" ht="12" hidden="false" customHeight="true" outlineLevel="0" collapsed="false">
      <c r="A76" s="53" t="s">
        <v>230</v>
      </c>
      <c r="B76" s="202" t="n">
        <f aca="false">[18]e7!$BO$72</f>
        <v>486807130</v>
      </c>
      <c r="C76" s="202" t="n">
        <f aca="false">[18]e7!$BO$73</f>
        <v>544487395.200743</v>
      </c>
      <c r="D76" s="120" t="n">
        <v>486807130</v>
      </c>
    </row>
    <row r="77" customFormat="false" ht="12" hidden="false" customHeight="true" outlineLevel="0" collapsed="false">
      <c r="A77" s="53" t="s">
        <v>20</v>
      </c>
      <c r="B77" s="203" t="n">
        <f aca="false">B75+B76</f>
        <v>573047232</v>
      </c>
      <c r="C77" s="203" t="n">
        <f aca="false">C75+C76</f>
        <v>639809674.466626</v>
      </c>
      <c r="D77" s="120" t="n">
        <v>95322279.2658825</v>
      </c>
    </row>
    <row r="78" customFormat="false" ht="12" hidden="false" customHeight="true" outlineLevel="0" collapsed="false">
      <c r="A78" s="199" t="s">
        <v>213</v>
      </c>
      <c r="B78" s="206" t="n">
        <f aca="false">B77+C77</f>
        <v>1212856906.46663</v>
      </c>
      <c r="C78" s="53" t="s">
        <v>231</v>
      </c>
      <c r="D78" s="120" t="n">
        <v>544487395.200743</v>
      </c>
    </row>
    <row r="79" customFormat="false" ht="12" hidden="false" customHeight="true" outlineLevel="0" collapsed="false">
      <c r="A79" s="53" t="s">
        <v>232</v>
      </c>
      <c r="B79" s="201" t="n">
        <f aca="false">[18]e7!$BO$77</f>
        <v>232129063</v>
      </c>
      <c r="C79" s="201" t="n">
        <f aca="false">[18]e7!$BO$78</f>
        <v>280495005.639452</v>
      </c>
    </row>
    <row r="80" customFormat="false" ht="12" hidden="false" customHeight="true" outlineLevel="0" collapsed="false"/>
    <row r="81" customFormat="false" ht="12" hidden="false" customHeight="true" outlineLevel="0" collapsed="false">
      <c r="A81" s="53" t="s">
        <v>191</v>
      </c>
      <c r="B81" s="201" t="n">
        <f aca="false">[18]e7!$BO$61</f>
        <v>572423</v>
      </c>
      <c r="C81" s="201" t="n">
        <f aca="false">[18]e7!$BO$62</f>
        <v>580916.84</v>
      </c>
      <c r="D81" s="120" t="n">
        <v>572423</v>
      </c>
    </row>
    <row r="82" customFormat="false" ht="12" hidden="false" customHeight="true" outlineLevel="0" collapsed="false">
      <c r="A82" s="199" t="s">
        <v>221</v>
      </c>
      <c r="B82" s="206" t="n">
        <f aca="false">B81+C81</f>
        <v>1153339.84</v>
      </c>
      <c r="C82" s="53" t="s">
        <v>231</v>
      </c>
      <c r="D82" s="120" t="n">
        <v>580916.84</v>
      </c>
    </row>
  </sheetData>
  <mergeCells count="4">
    <mergeCell ref="B1:C1"/>
    <mergeCell ref="B49:C49"/>
    <mergeCell ref="B61:C61"/>
    <mergeCell ref="B73:C73"/>
  </mergeCells>
  <printOptions headings="true" gridLines="false" gridLinesSet="true" horizontalCentered="false" verticalCentered="false"/>
  <pageMargins left="0.747916666666667" right="0.747916666666667" top="0.984027777777778" bottom="0.984027777777778" header="0.5" footer="0.5"/>
  <pageSetup paperSize="1" scale="87" fitToWidth="1" fitToHeight="1" pageOrder="downThenOver" orientation="landscape" blackAndWhite="false" draft="false" cellComments="none" horizontalDpi="300" verticalDpi="300" copies="1"/>
  <headerFooter differentFirst="false" differentOddEven="false">
    <oddHeader>&amp;CPacific Gas and Electric Company
Rate Design Workpapers
3 Cent Surcharge</oddHeader>
    <oddFooter>&amp;L&amp;D  &amp;T&amp;R&amp;F  &amp;A</oddFooter>
  </headerFooter>
  <rowBreaks count="1" manualBreakCount="1">
    <brk id="37" man="true" max="16383" min="0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2001-03-28T17:40:38Z</dcterms:created>
  <dc:creator>Nancy Breckenridge</dc:creator>
  <dc:description/>
  <dc:language>en-US</dc:language>
  <cp:lastModifiedBy>RTP1</cp:lastModifiedBy>
  <cp:lastPrinted>2001-04-13T19:10:43Z</cp:lastPrinted>
  <dcterms:modified xsi:type="dcterms:W3CDTF">2001-04-13T21:36:50Z</dcterms:modified>
  <cp:revision>0</cp:revision>
  <dc:subject/>
  <dc:title/>
</cp:coreProperties>
</file>