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cumentation" sheetId="1" state="visible" r:id="rId3"/>
    <sheet name="Inputs and Assumptions" sheetId="2" state="visible" r:id="rId4"/>
    <sheet name="Average Rate Summary" sheetId="3" state="hidden" r:id="rId5"/>
    <sheet name="RSP Surcharge Summary" sheetId="4" state="hidden" r:id="rId6"/>
    <sheet name="Development of RRQ" sheetId="5" state="visible" r:id="rId7"/>
    <sheet name="Revenue Allocation" sheetId="6" state="visible" r:id="rId8"/>
    <sheet name="RSP Surch Allocations" sheetId="7" state="visible" r:id="rId9"/>
    <sheet name="Generation Calculations" sheetId="8" state="hidden" r:id="rId10"/>
    <sheet name="Test Year 2001 Sales and Revs." sheetId="9" state="visible" r:id="rId11"/>
  </sheets>
  <externalReferences>
    <externalReference r:id="rId12"/>
  </externalReferences>
  <definedNames>
    <definedName function="false" hidden="false" localSheetId="2" name="_xlnm.Print_Area" vbProcedure="false">'Average Rate Summary'!$C$8:$V$133</definedName>
    <definedName function="false" hidden="false" localSheetId="2" name="_xlnm.Print_Titles" vbProcedure="false">'Average Rate Summary'!$A:$B,'Average Rate Summary'!$1:$8</definedName>
    <definedName function="false" hidden="false" localSheetId="4" name="_xlnm.Print_Area" vbProcedure="false">'Development of RRQ'!$A$1:$D$42</definedName>
    <definedName function="false" hidden="false" localSheetId="0" name="_xlnm.Print_Area" vbProcedure="false">Documentation!$A$1:$N$240</definedName>
    <definedName function="false" hidden="false" localSheetId="7" name="_xlnm.Print_Area" vbProcedure="false">'Generation Calculations'!$C$6:$P$130</definedName>
    <definedName function="false" hidden="false" localSheetId="7" name="_xlnm.Print_Titles" vbProcedure="false">'Generation Calculations'!$A:$B,'Generation Calculations'!$1:$5</definedName>
    <definedName function="false" hidden="false" localSheetId="1" name="_xlnm.Print_Area" vbProcedure="false">'Inputs and Assumptions'!$A$1:$K$27</definedName>
    <definedName function="false" hidden="false" localSheetId="5" name="_xlnm.Print_Area" vbProcedure="false">'Revenue Allocation'!$B$5:$AF$131</definedName>
    <definedName function="false" hidden="false" localSheetId="5" name="_xlnm.Print_Titles" vbProcedure="false">'Revenue Allocation'!$B:$C,'Revenue Allocation'!$1:$4</definedName>
    <definedName function="false" hidden="false" localSheetId="6" name="_xlnm.Print_Area" vbProcedure="false">'RSP Surch Allocations'!$D$6:$E$127</definedName>
    <definedName function="false" hidden="false" localSheetId="6" name="_xlnm.Print_Titles" vbProcedure="false">'RSP Surch Allocations'!$A:$B,'RSP Surch Allocations'!$1:$5</definedName>
    <definedName function="false" hidden="false" localSheetId="3" name="_xlnm.Print_Area" vbProcedure="false">'RSP Surcharge Summary'!$C$10:$N$133</definedName>
    <definedName function="false" hidden="false" localSheetId="3" name="_xlnm.Print_Titles" vbProcedure="false">'RSP Surcharge Summary'!$A:$B,'RSP Surcharge Summary'!$1:$8</definedName>
    <definedName function="false" hidden="false" localSheetId="8" name="_xlnm.Print_Area" vbProcedure="false">'Test Year 2001 Sales and Revs.'!$C$5:$N$133</definedName>
    <definedName function="false" hidden="false" localSheetId="8" name="_xlnm.Print_Titles" vbProcedure="false">'Test Year 2001 Sales and Revs.'!$A:$B,'Test Year 2001 Sales and Revs.'!$1:$4</definedName>
    <definedName function="false" hidden="false" name="allocation_method" vbProcedure="false">'Inputs and Assumptions'!$AA$18</definedName>
    <definedName function="false" hidden="false" name="EPS" vbProcedure="false">0.01</definedName>
    <definedName function="false" hidden="false" name="gen_choice" vbProcedure="false">'Inputs and Assumptions'!$W$9</definedName>
    <definedName function="false" hidden="false" name="gen_equal" vbProcedure="false">'Inputs and Assumptions'!$C$16</definedName>
    <definedName function="false" hidden="false" name="P_Equal" vbProcedure="false">'Inputs and Assumptions'!$J$4</definedName>
    <definedName function="false" hidden="false" name="P_equal_gen" vbProcedure="false">'Inputs and Assumptions'!$J$12</definedName>
    <definedName function="false" hidden="false" name="P_LF" vbProcedure="false">'Inputs and Assumptions'!$C$25</definedName>
    <definedName function="false" hidden="false" name="surcharge" vbProcedure="false">'Inputs and Assumptions'!$C$1</definedName>
    <definedName function="false" hidden="false" name="surcharge_1" vbProcedure="false">'Inputs and Assumptions'!$C$8</definedName>
    <definedName function="false" hidden="false" name="S_Equal" vbProcedure="false">'Inputs and Assumptions'!$J$3</definedName>
    <definedName function="false" hidden="false" name="s_equal_gen" vbProcedure="false">'Inputs and Assumptions'!$J$11</definedName>
    <definedName function="false" hidden="false" name="S_LF" vbProcedure="false">'Inputs and Assumptions'!$C$26</definedName>
    <definedName function="false" hidden="false" name="T_Equal" vbProcedure="false">'Inputs and Assumptions'!$J$5</definedName>
    <definedName function="false" hidden="false" name="T_equal_gen" vbProcedure="false">'Inputs and Assumptions'!$J$13</definedName>
    <definedName function="false" hidden="false" name="T_LF" vbProcedure="false">'Inputs and Assumptions'!$C$24</definedName>
    <definedName function="false" hidden="false" name="wrn_workpapers_" vbProcedure="false">{#N/A,#N/A,FALSE,"Inputs And Assumptions";#N/A,#N/A,FALSE,"Revenue Allocation";#N/A,#N/A,FALSE,"RSP Surch Allocations";#N/A,#N/A,FALSE,"Generation Calculations";#N/A,#N/A,FALSE,"Test Year 2001 Sales and Revs."}</definedName>
    <definedName function="false" hidden="false" name="ž_x0015_?alloc_a" vbProcedure="false">'[1]TRAlloc 98 sales, 96 MC''s'!CI$21846</definedName>
    <definedName function="false" hidden="false" name="ž_x0015_?net_a" vbProcedure="false">'[1]TRAlloc 98 sales, 96 MC''s'!CI$21846</definedName>
    <definedName function="false" hidden="false" localSheetId="3" name="wrn_workpapers_" vbProcedure="false">{#N/A,#N/A,FALSE,"Inputs And Assumptions";#N/A,#N/A,FALSE,"6-1-01 Proposed";#N/A,#N/A,FALSE,"RSP Surch Allocations";#N/A,#N/A,FALSE,"Generation Calculations";#N/A,#N/A,FALSE,"Test Year 2001 Sales and Revs."}</definedName>
    <definedName function="false" hidden="false" localSheetId="4" name="surcharge" vbProcedure="false">'Inputs and Assumptions'!$C$1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28" authorId="0">
      <text>
        <r>
          <rPr>
            <sz val="8"/>
            <color rgb="FF000000"/>
            <rFont val="Tahoma"/>
            <family val="0"/>
          </rPr>
          <t xml:space="preserve">
FFP Sales are charged only D, PPP&lt; and ND --no FERC jurisdictional sales or G/CTC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17</xdr:colOff>
                <xdr:row>146</xdr:row>
                <xdr:rowOff>7</xdr:rowOff>
              </xdr:from>
              <xdr:to>
                <xdr:col>5</xdr:col>
                <xdr:colOff>35</xdr:colOff>
                <xdr:row>148</xdr:row>
                <xdr:rowOff>14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28" authorId="0">
      <text>
        <r>
          <rPr>
            <sz val="8"/>
            <color rgb="FF000000"/>
            <rFont val="Tahoma"/>
            <family val="0"/>
          </rPr>
          <t xml:space="preserve">
FFP Sales are charged only D, PPP&lt; and ND --no FERC jurisdictional sales or G/CTC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17</xdr:colOff>
                <xdr:row>146</xdr:row>
                <xdr:rowOff>7</xdr:rowOff>
              </xdr:from>
              <xdr:to>
                <xdr:col>4</xdr:col>
                <xdr:colOff>22</xdr:colOff>
                <xdr:row>148</xdr:row>
                <xdr:rowOff>14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sz val="8"/>
            <color rgb="FF000000"/>
            <rFont val="Tahoma"/>
            <family val="0"/>
          </rPr>
          <t xml:space="preserve">From File 2001-Monthly Sales in Data Request Folder.
This file summarizes the calculation of the additional money needed to collect the accrued RSP surcharge revenue.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79</xdr:colOff>
                <xdr:row>0</xdr:row>
                <xdr:rowOff>2</xdr:rowOff>
              </xdr:from>
              <xdr:to>
                <xdr:col>2</xdr:col>
                <xdr:colOff>99</xdr:colOff>
                <xdr:row>4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0" authorId="0">
      <text>
        <r>
          <rPr>
            <sz val="8"/>
            <color rgb="FF000000"/>
            <rFont val="Tahoma"/>
            <family val="0"/>
          </rPr>
          <t xml:space="preserve">E-7 Now includes CARE sales, which previously were not identified.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9</xdr:row>
                <xdr:rowOff>7</xdr:rowOff>
              </xdr:from>
              <xdr:to>
                <xdr:col>4</xdr:col>
                <xdr:colOff>53</xdr:colOff>
                <xdr:row>14</xdr:row>
                <xdr:rowOff>1</xdr:rowOff>
              </xdr:to>
            </anchor>
          </commentPr>
        </mc:Choice>
        <mc:Fallback/>
      </mc:AlternateContent>
    </comment>
    <comment ref="B126" authorId="0">
      <text>
        <r>
          <rPr>
            <sz val="8"/>
            <color rgb="FF000000"/>
            <rFont val="Tahoma"/>
            <family val="0"/>
          </rPr>
          <t xml:space="preserve">
FFP Sales are charged only D, PPP&lt; and ND --no FERC jurisdictional sales or G/CTC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110</xdr:colOff>
                <xdr:row>132</xdr:row>
                <xdr:rowOff>1</xdr:rowOff>
              </xdr:from>
              <xdr:to>
                <xdr:col>5</xdr:col>
                <xdr:colOff>69</xdr:colOff>
                <xdr:row>134</xdr:row>
                <xdr:rowOff>8</xdr:rowOff>
              </xdr:to>
            </anchor>
          </commentPr>
        </mc:Choice>
        <mc:Fallback/>
      </mc:AlternateContent>
    </comment>
    <comment ref="E2" authorId="0">
      <text>
        <r>
          <rPr>
            <sz val="8"/>
            <color rgb="FF000000"/>
            <rFont val="Tahoma"/>
            <family val="0"/>
          </rPr>
          <t xml:space="preserve">From the TO5 Rate Filing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0</xdr:row>
                <xdr:rowOff>7</xdr:rowOff>
              </xdr:from>
              <xdr:to>
                <xdr:col>6</xdr:col>
                <xdr:colOff>82</xdr:colOff>
                <xdr:row>4</xdr:row>
                <xdr:rowOff>13</xdr:rowOff>
              </xdr:to>
            </anchor>
          </commentPr>
        </mc:Choice>
        <mc:Fallback/>
      </mc:AlternateContent>
    </comment>
    <comment ref="F4" authorId="0">
      <text>
        <r>
          <rPr>
            <sz val="8"/>
            <color rgb="FF000000"/>
            <rFont val="Tahoma"/>
            <family val="0"/>
          </rPr>
          <t xml:space="preserve">
Revised RS at 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2</xdr:row>
                <xdr:rowOff>8</xdr:rowOff>
              </xdr:from>
              <xdr:to>
                <xdr:col>7</xdr:col>
                <xdr:colOff>78</xdr:colOff>
                <xdr:row>4</xdr:row>
                <xdr:rowOff>8</xdr:rowOff>
              </xdr:to>
            </anchor>
          </commentPr>
        </mc:Choice>
        <mc:Fallback/>
      </mc:AlternateContent>
    </comment>
    <comment ref="L3" authorId="0">
      <text>
        <r>
          <rPr>
            <sz val="8"/>
            <color rgb="FF000000"/>
            <rFont val="Tahoma"/>
            <family val="0"/>
          </rPr>
          <t xml:space="preserve">10 % rate reduction (if total gen using 1996 rates chosen, ESR discount, nonfirm discount, and power factor adjustments.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7</xdr:colOff>
                <xdr:row>1</xdr:row>
                <xdr:rowOff>7</xdr:rowOff>
              </xdr:from>
              <xdr:to>
                <xdr:col>14</xdr:col>
                <xdr:colOff>55</xdr:colOff>
                <xdr:row>7</xdr:row>
                <xdr:rowOff>13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9" authorId="0">
      <text>
        <r>
          <rPr>
            <sz val="8"/>
            <color rgb="FF000000"/>
            <rFont val="Tahoma"/>
            <family val="2"/>
          </rPr>
          <t xml:space="preserve">Scaling Factors for E-19 are based on three different PX Templates:
E-19P (used for E-19 t &amp; P over 500 kW), E-19V used for all three voltages of E-19V and E-19S (used for E-19 S &gt;500kW and A-RTP 19)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79</xdr:colOff>
                <xdr:row>27</xdr:row>
                <xdr:rowOff>3</xdr:rowOff>
              </xdr:from>
              <xdr:to>
                <xdr:col>3</xdr:col>
                <xdr:colOff>70</xdr:colOff>
                <xdr:row>35</xdr:row>
                <xdr:rowOff>1</xdr:rowOff>
              </xdr:to>
            </anchor>
          </commentPr>
        </mc:Choice>
        <mc:Fallback/>
      </mc:AlternateContent>
    </comment>
    <comment ref="A56" authorId="0">
      <text>
        <r>
          <rPr>
            <sz val="8"/>
            <color rgb="FF000000"/>
            <rFont val="Tahoma"/>
            <family val="0"/>
          </rPr>
          <t xml:space="preserve">In this allocation spread sheet, standyby is not separated into large and small customers.  As a result Standby scaled loads are assigned to schedule as they were in the Original RSP Filing.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79</xdr:colOff>
                <xdr:row>54</xdr:row>
                <xdr:rowOff>7</xdr:rowOff>
              </xdr:from>
              <xdr:to>
                <xdr:col>3</xdr:col>
                <xdr:colOff>70</xdr:colOff>
                <xdr:row>71</xdr:row>
                <xdr:rowOff>11</xdr:rowOff>
              </xdr:to>
            </anchor>
          </commentPr>
        </mc:Choice>
        <mc:Fallback/>
      </mc:AlternateContent>
    </comment>
    <comment ref="G5" authorId="0">
      <text>
        <r>
          <rPr>
            <sz val="8"/>
            <color rgb="FF000000"/>
            <rFont val="Tahoma"/>
            <family val="0"/>
          </rPr>
          <t xml:space="preserve">
PX average prices for 1999 from RDA Report DABLJAA3 (PX 12 mo av)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97</xdr:colOff>
                <xdr:row>3</xdr:row>
                <xdr:rowOff>7</xdr:rowOff>
              </xdr:from>
              <xdr:to>
                <xdr:col>8</xdr:col>
                <xdr:colOff>35</xdr:colOff>
                <xdr:row>7</xdr:row>
                <xdr:rowOff>9</xdr:rowOff>
              </xdr:to>
            </anchor>
          </commentPr>
        </mc:Choice>
        <mc:Fallback/>
      </mc:AlternateContent>
    </comment>
    <comment ref="L5" authorId="0">
      <text>
        <r>
          <rPr>
            <sz val="8"/>
            <color rgb="FF000000"/>
            <rFont val="Tahoma"/>
            <family val="2"/>
          </rPr>
          <t xml:space="preserve">From the RSP Application No. 00-11-056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34</xdr:colOff>
                <xdr:row>3</xdr:row>
                <xdr:rowOff>7</xdr:rowOff>
              </xdr:from>
              <xdr:to>
                <xdr:col>12</xdr:col>
                <xdr:colOff>75</xdr:colOff>
                <xdr:row>7</xdr:row>
                <xdr:rowOff>9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84" authorId="0">
      <text>
        <r>
          <rPr>
            <sz val="8"/>
            <color rgb="FF000000"/>
            <rFont val="Tahoma"/>
            <family val="0"/>
          </rPr>
          <t xml:space="preserve">RDA provided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58</xdr:colOff>
                <xdr:row>76</xdr:row>
                <xdr:rowOff>3</xdr:rowOff>
              </xdr:from>
              <xdr:to>
                <xdr:col>7</xdr:col>
                <xdr:colOff>59</xdr:colOff>
                <xdr:row>80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<sst xmlns="http://schemas.openxmlformats.org/spreadsheetml/2006/main" count="1693" uniqueCount="518">
  <si>
    <t xml:space="preserve">Contents</t>
  </si>
  <si>
    <t xml:space="preserve">Topic begins on </t>
  </si>
  <si>
    <t xml:space="preserve">I Sheet Titles &amp; Description</t>
  </si>
  <si>
    <t xml:space="preserve">Line 15</t>
  </si>
  <si>
    <t xml:space="preserve">II Model Description</t>
  </si>
  <si>
    <t xml:space="preserve">Line 43</t>
  </si>
  <si>
    <t xml:space="preserve">A. Allocation Methodologies</t>
  </si>
  <si>
    <t xml:space="preserve">Line 53</t>
  </si>
  <si>
    <t xml:space="preserve">1. Equal Cents per kWh</t>
  </si>
  <si>
    <t xml:space="preserve">Line 55</t>
  </si>
  <si>
    <t xml:space="preserve">2. Load weighted -- 99 PX</t>
  </si>
  <si>
    <t xml:space="preserve">Line 61</t>
  </si>
  <si>
    <t xml:space="preserve">3. Load weighted -- 00 PX</t>
  </si>
  <si>
    <t xml:space="preserve">Line 70</t>
  </si>
  <si>
    <t xml:space="preserve">4. Equal Cents by Voltage</t>
  </si>
  <si>
    <t xml:space="preserve">Line 76</t>
  </si>
  <si>
    <t xml:space="preserve">5. Top 100 Hours</t>
  </si>
  <si>
    <t xml:space="preserve">Line 88</t>
  </si>
  <si>
    <t xml:space="preserve">B Choice of Allocators</t>
  </si>
  <si>
    <t xml:space="preserve">Line 93</t>
  </si>
  <si>
    <t xml:space="preserve">Line148</t>
  </si>
  <si>
    <t xml:space="preserve">Line 211</t>
  </si>
  <si>
    <t xml:space="preserve">V. Changes to this version of the Model</t>
  </si>
  <si>
    <t xml:space="preserve">Line 231</t>
  </si>
  <si>
    <t xml:space="preserve">I Sheet Title</t>
  </si>
  <si>
    <t xml:space="preserve">Description</t>
  </si>
  <si>
    <t xml:space="preserve">Inputs and Assumptions</t>
  </si>
  <si>
    <t xml:space="preserve">Contains the calculation of the revenue requirement.</t>
  </si>
  <si>
    <t xml:space="preserve">Allows user to choose allocation methodology for RSP surcharge </t>
  </si>
  <si>
    <t xml:space="preserve">and the basis for calculating the total generation revenues.</t>
  </si>
  <si>
    <t xml:space="preserve">Average Rate Summary</t>
  </si>
  <si>
    <r>
      <rPr>
        <sz val="11"/>
        <rFont val="Times New Roman"/>
        <family val="1"/>
      </rPr>
      <t xml:space="preserve">Provides a table which summarizes </t>
    </r>
    <r>
      <rPr>
        <b val="true"/>
        <sz val="11"/>
        <rFont val="Times New Roman"/>
        <family val="1"/>
      </rPr>
      <t xml:space="preserve">Total</t>
    </r>
    <r>
      <rPr>
        <sz val="11"/>
        <rFont val="Times New Roman"/>
        <family val="1"/>
      </rPr>
      <t xml:space="preserve"> average rates for each schedule and methodology.</t>
    </r>
  </si>
  <si>
    <t xml:space="preserve">Tables default values assume total generation scenarios run with 1996 Generation revenues</t>
  </si>
  <si>
    <t xml:space="preserve">(Col. AB provides linked rates which need to be</t>
  </si>
  <si>
    <r>
      <rPr>
        <sz val="11"/>
        <rFont val="Times New Roman"/>
        <family val="1"/>
      </rPr>
      <t xml:space="preserve">copied as </t>
    </r>
    <r>
      <rPr>
        <b val="true"/>
        <sz val="11"/>
        <rFont val="Times New Roman"/>
        <family val="1"/>
      </rPr>
      <t xml:space="preserve">VALUES </t>
    </r>
    <r>
      <rPr>
        <sz val="11"/>
        <rFont val="Times New Roman"/>
        <family val="1"/>
      </rPr>
      <t xml:space="preserve"> to the appropriate scenario column.)</t>
    </r>
  </si>
  <si>
    <t xml:space="preserve">RSP Surcharge Summary</t>
  </si>
  <si>
    <r>
      <rPr>
        <sz val="11"/>
        <rFont val="Times New Roman"/>
        <family val="1"/>
      </rPr>
      <t xml:space="preserve">Provides a table which summarizes </t>
    </r>
    <r>
      <rPr>
        <b val="true"/>
        <sz val="11"/>
        <rFont val="Times New Roman"/>
        <family val="1"/>
      </rPr>
      <t xml:space="preserve">RSP Surcharge</t>
    </r>
    <r>
      <rPr>
        <sz val="11"/>
        <rFont val="Times New Roman"/>
        <family val="1"/>
      </rPr>
      <t xml:space="preserve"> rates for each schedule and allocation methodology.</t>
    </r>
  </si>
  <si>
    <t xml:space="preserve">Revenue Allocation</t>
  </si>
  <si>
    <t xml:space="preserve">Provides functional revenue and average rates by rate schedule, based</t>
  </si>
  <si>
    <t xml:space="preserve">on the selected allocation of the RSP Surcharge.</t>
  </si>
  <si>
    <t xml:space="preserve">RSP Surch Allocations</t>
  </si>
  <si>
    <t xml:space="preserve">Calculates all eight alternative allocations of the RSP</t>
  </si>
  <si>
    <t xml:space="preserve">Generation Calculations</t>
  </si>
  <si>
    <t xml:space="preserve">Calculates the residual generation revenues based on 6/10/96 Revenues</t>
  </si>
  <si>
    <t xml:space="preserve">at Present Rates or 1/1/01 Revenues at Present Rates, as Described in Section II B.</t>
  </si>
  <si>
    <t xml:space="preserve">Test Year 2001 Sales and Revs.</t>
  </si>
  <si>
    <t xml:space="preserve">Provides the sales and revenues for test year 2001, as filed in the RSP</t>
  </si>
  <si>
    <t xml:space="preserve">Application 00-11-056.</t>
  </si>
  <si>
    <t xml:space="preserve">II. Model Description</t>
  </si>
  <si>
    <t xml:space="preserve">This model allows the user to choose:</t>
  </si>
  <si>
    <t xml:space="preserve">1) the allocation methodology for the RSP (described in Section A below); and</t>
  </si>
  <si>
    <t xml:space="preserve">2) whether the RSP surcharge is allocated as a new functional revenue or total generation revenues</t>
  </si>
  <si>
    <t xml:space="preserve">are allocated (Total generation = residual Gen. + Emergency Procurement Surcharge (EPS) Rev. + RSP Surcharge Rev),</t>
  </si>
  <si>
    <t xml:space="preserve">as described in Section B below.</t>
  </si>
  <si>
    <t xml:space="preserve">The RSP surcharge revenue requirement is divided by the applicable sales: total sales - CARE sales (referred to as surcharge_1).</t>
  </si>
  <si>
    <t xml:space="preserve">Each schedule's allocation of the RSP surcharge = schedule applicable sales x surcharge_1</t>
  </si>
  <si>
    <t xml:space="preserve">2. Load Weighted Allocation -- 1999 Calendar year PX Prices</t>
  </si>
  <si>
    <t xml:space="preserve">This allocation methodology is identical to that PG&amp;E proposed in its RSP application  for the Unrecovered </t>
  </si>
  <si>
    <t xml:space="preserve">Costs of Service.  An allocation factor for each schedule is developed based on PX weighted sales.</t>
  </si>
  <si>
    <t xml:space="preserve">A schedule's PX weighted sales = applicable load x recorded schedule average PX prices for calendar year 1999.</t>
  </si>
  <si>
    <t xml:space="preserve">The schedules allocation factor = PX weighted sales / system total PX weighted sales.</t>
  </si>
  <si>
    <t xml:space="preserve">Allocated RSP surcharge revenues for a schedule = the schedule's allocation factor times the RSP surcharge revenue</t>
  </si>
  <si>
    <t xml:space="preserve">requirement</t>
  </si>
  <si>
    <t xml:space="preserve">3. Load Weighted Allocation -- 2000 Calendar year PX Prices</t>
  </si>
  <si>
    <t xml:space="preserve">The methodology is identical to that describe in Methodology 2 above, but average PX prices for </t>
  </si>
  <si>
    <t xml:space="preserve">Oct 99 - Sept. 00 are used to calculate the allocation factors.</t>
  </si>
  <si>
    <t xml:space="preserve">Similar to Methodology 1, but all sales at a given voltage level are assigned the same price.</t>
  </si>
  <si>
    <t xml:space="preserve">System Average RSP Surcharge = </t>
  </si>
  <si>
    <t xml:space="preserve">(T sales x T Loss Factor x T price + P sales x P Loss Factor x P price + S sales x S Loss Factor x S price)</t>
  </si>
  <si>
    <t xml:space="preserve">Total Applicable Sales</t>
  </si>
  <si>
    <t xml:space="preserve">T Price  = T Loss Factor x System Average RSP Surcharge</t>
  </si>
  <si>
    <t xml:space="preserve">P Price  = P Loss Factor x System Average RSP Surcharge</t>
  </si>
  <si>
    <t xml:space="preserve">S Price  = S Loss Factor x System Average RSP Surcharge</t>
  </si>
  <si>
    <t xml:space="preserve">This methodology uses the top 100 hours from 1998 and 1999, scaled to the test year to derive test year 100 hour loads</t>
  </si>
  <si>
    <t xml:space="preserve">each schedule's allocation factor = Schedule 100 hour loads / system 100 hour loads.</t>
  </si>
  <si>
    <t xml:space="preserve">Allocated revenue for each schedule = 100 hour allocation factor *RSP Surcharge revenue requirement.</t>
  </si>
  <si>
    <t xml:space="preserve">B. Allocation Choices</t>
  </si>
  <si>
    <t xml:space="preserve">The model allows the user to determine whether the allocation methodologies described in</t>
  </si>
  <si>
    <t xml:space="preserve">Section II above apply only to the RSP surcharge, or apply to total generation revenues.</t>
  </si>
  <si>
    <t xml:space="preserve">Total Generation equals the sum of the residual generation revenues, EPS revenues, and RSP surcharge revenues.</t>
  </si>
  <si>
    <t xml:space="preserve">If one of the total generation options is chosen, the selected methodology calculates the schedule's total generation </t>
  </si>
  <si>
    <t xml:space="preserve">revenues.  The RSP surcharge revenue for a schedule = Schedule total generation revenue less schedule</t>
  </si>
  <si>
    <t xml:space="preserve">EPS revenue and residual generation revenue.</t>
  </si>
  <si>
    <t xml:space="preserve">The allocation choices are listed below, as they appear in the drop down menu located on Line 19 of the "Inputs and</t>
  </si>
  <si>
    <t xml:space="preserve">Assumptions tab.  In addition, a short hand version of the allocation methodology chosen appears above the </t>
  </si>
  <si>
    <t xml:space="preserve">RSP surcharge revenues and average rates on the "Revenue Allocation" tab.</t>
  </si>
  <si>
    <t xml:space="preserve">Allocation Method</t>
  </si>
  <si>
    <t xml:space="preserve">Shorthand </t>
  </si>
  <si>
    <t xml:space="preserve">Equal ¢ </t>
  </si>
  <si>
    <t xml:space="preserve">2. Load Weighted Allocation -1999 PX Prices</t>
  </si>
  <si>
    <t xml:space="preserve">99 Loads</t>
  </si>
  <si>
    <t xml:space="preserve">3. Load Weighted Allocation -2000 PX Prices</t>
  </si>
  <si>
    <t xml:space="preserve">00 Loads</t>
  </si>
  <si>
    <t xml:space="preserve">4. Equal Cents per kWh by Voltage</t>
  </si>
  <si>
    <t xml:space="preserve">¢ by Volt.</t>
  </si>
  <si>
    <t xml:space="preserve">100 Hours</t>
  </si>
  <si>
    <t xml:space="preserve">6. Total Generation -- Equal Cents per kWh</t>
  </si>
  <si>
    <t xml:space="preserve">G Equal ¢ </t>
  </si>
  <si>
    <t xml:space="preserve">7. Total Generation -- Load Weighted Allocation -1999 PX Prices</t>
  </si>
  <si>
    <t xml:space="preserve">G 99 Loads</t>
  </si>
  <si>
    <t xml:space="preserve">8. Total Generation -- Load Weighted Allocation -2000 PX Prices</t>
  </si>
  <si>
    <t xml:space="preserve">G 00 Loads</t>
  </si>
  <si>
    <t xml:space="preserve">9. Total Generation -- Equal Cents per kWh by Voltage</t>
  </si>
  <si>
    <t xml:space="preserve">G ¢ by Volt.</t>
  </si>
  <si>
    <t xml:space="preserve">10. Total Generation -- Top 100 Hours</t>
  </si>
  <si>
    <t xml:space="preserve">G 100 Hours</t>
  </si>
  <si>
    <t xml:space="preserve">Finally, if the user chooses to use the total generation methodology, </t>
  </si>
  <si>
    <t xml:space="preserve">Total generation revenues can be calculated based on either 6/10/96 or 1/1/01 rates.</t>
  </si>
  <si>
    <t xml:space="preserve">Total Generation 1996 equals</t>
  </si>
  <si>
    <t xml:space="preserve">Total revenues at 1996 rates</t>
  </si>
  <si>
    <t xml:space="preserve">Less</t>
  </si>
  <si>
    <t xml:space="preserve">Transmission Revenues</t>
  </si>
  <si>
    <t xml:space="preserve">Reliability Service Revenues</t>
  </si>
  <si>
    <t xml:space="preserve">Distribution  Revenues</t>
  </si>
  <si>
    <t xml:space="preserve">Public Purpose Program Revenues</t>
  </si>
  <si>
    <t xml:space="preserve">Nuclear Decommissioning Revenues</t>
  </si>
  <si>
    <t xml:space="preserve">Power Factor Adjustments</t>
  </si>
  <si>
    <t xml:space="preserve">Plus</t>
  </si>
  <si>
    <t xml:space="preserve">ESR Discounts</t>
  </si>
  <si>
    <t xml:space="preserve">NonFirm Discounts</t>
  </si>
  <si>
    <t xml:space="preserve">Total Generation 2001 equals</t>
  </si>
  <si>
    <t xml:space="preserve">Total revenues at 2001 rates</t>
  </si>
  <si>
    <t xml:space="preserve">FTA Revenues</t>
  </si>
  <si>
    <t xml:space="preserve">10% Rate Reduction.</t>
  </si>
  <si>
    <t xml:space="preserve">III How to Run the Model</t>
  </si>
  <si>
    <t xml:space="preserve">A. Go to the Inputs and Assumptions tab</t>
  </si>
  <si>
    <t xml:space="preserve">Note -- Do not change any data in Col V through AA or the model will not run correctly.</t>
  </si>
  <si>
    <t xml:space="preserve">B. Make sure that cell C1 equals 0.03 </t>
  </si>
  <si>
    <t xml:space="preserve">C. Enter RSP Mar - June Balance in Cell C5.</t>
  </si>
  <si>
    <t xml:space="preserve">D. Using the drop down menu located on Line 19</t>
  </si>
  <si>
    <t xml:space="preserve">select the allocation methodology desired.</t>
  </si>
  <si>
    <t xml:space="preserve">E. If a total generation allocation methodology is chosen, </t>
  </si>
  <si>
    <t xml:space="preserve">choose the basis for calculating total generation using the</t>
  </si>
  <si>
    <t xml:space="preserve">drop down menu on line 21.</t>
  </si>
  <si>
    <t xml:space="preserve">F. Enter Loss Factors for each voltage level in cells</t>
  </si>
  <si>
    <t xml:space="preserve">C24 - C26</t>
  </si>
  <si>
    <t xml:space="preserve">G. The User can now either :</t>
  </si>
  <si>
    <t xml:space="preserve">1. Print out the revenue and rate summary -- Select the tab "Revenue Allocation" and print it out;</t>
  </si>
  <si>
    <t xml:space="preserve">2. Print all Workpapers;</t>
  </si>
  <si>
    <t xml:space="preserve">Note: this documentation, the Average Rate Summary and the RSP Surcharge Summary</t>
  </si>
  <si>
    <t xml:space="preserve">tabs will not print out as workpapers.</t>
  </si>
  <si>
    <t xml:space="preserve">Under the View Menu Select Report Manager</t>
  </si>
  <si>
    <t xml:space="preserve">Highlight the "Print Out" report</t>
  </si>
  <si>
    <t xml:space="preserve">Select Print</t>
  </si>
  <si>
    <t xml:space="preserve">3. Add the Scenario to the Average Rate Summary  and RSP Surcharge Summary tables</t>
  </si>
  <si>
    <t xml:space="preserve">a. Average Rate Summary:</t>
  </si>
  <si>
    <t xml:space="preserve">select the "Average Rate Summary" tab and highlight cells AB10 - AB 133.  Copy (with paste values option)</t>
  </si>
  <si>
    <t xml:space="preserve">the values in the selected cells to the appropriate proposed average rate cells (all begin on line 10):</t>
  </si>
  <si>
    <t xml:space="preserve">Col D</t>
  </si>
  <si>
    <t xml:space="preserve">Col F</t>
  </si>
  <si>
    <t xml:space="preserve">Col H</t>
  </si>
  <si>
    <t xml:space="preserve">Col J</t>
  </si>
  <si>
    <t xml:space="preserve">Col. L</t>
  </si>
  <si>
    <t xml:space="preserve">Col O</t>
  </si>
  <si>
    <t xml:space="preserve">Col Q</t>
  </si>
  <si>
    <t xml:space="preserve">Col S</t>
  </si>
  <si>
    <t xml:space="preserve">Col U</t>
  </si>
  <si>
    <t xml:space="preserve">10. Total Generation -- Top 100 hours</t>
  </si>
  <si>
    <t xml:space="preserve">Col. W</t>
  </si>
  <si>
    <t xml:space="preserve">b. RSP Surcharge Summary</t>
  </si>
  <si>
    <t xml:space="preserve">Col C</t>
  </si>
  <si>
    <t xml:space="preserve">Col E</t>
  </si>
  <si>
    <t xml:space="preserve">Col. G</t>
  </si>
  <si>
    <t xml:space="preserve">Col K</t>
  </si>
  <si>
    <t xml:space="preserve">Col L</t>
  </si>
  <si>
    <t xml:space="preserve">Col M</t>
  </si>
  <si>
    <t xml:space="preserve">Col. N</t>
  </si>
  <si>
    <t xml:space="preserve">IV Description of Named Variables Created by the Model</t>
  </si>
  <si>
    <t xml:space="preserve">Variable Name</t>
  </si>
  <si>
    <t xml:space="preserve">Cell Location </t>
  </si>
  <si>
    <t xml:space="preserve">allocation_method</t>
  </si>
  <si>
    <t xml:space="preserve">='Inputs And Assumptions'!$AA$18</t>
  </si>
  <si>
    <t xml:space="preserve">Numeric id for selected allocation methodology.</t>
  </si>
  <si>
    <t xml:space="preserve">EPS</t>
  </si>
  <si>
    <t xml:space="preserve">='RSP Surch Allocations'!$T$8</t>
  </si>
  <si>
    <t xml:space="preserve">Equals 1 ¢ per kWh EPS surcharge</t>
  </si>
  <si>
    <t xml:space="preserve">gen_choice</t>
  </si>
  <si>
    <t xml:space="preserve">='Inputs And Assumptions'!$W$9</t>
  </si>
  <si>
    <t xml:space="preserve">Numeric id for selected total gen. Calculation</t>
  </si>
  <si>
    <t xml:space="preserve">gen_equal</t>
  </si>
  <si>
    <t xml:space="preserve">='Inputs And Assumptions'!$C$16</t>
  </si>
  <si>
    <t xml:space="preserve">equal cent allocation for RSP Surcharge</t>
  </si>
  <si>
    <t xml:space="preserve">P_Equal</t>
  </si>
  <si>
    <t xml:space="preserve">='Inputs And Assumptions'!$J$4</t>
  </si>
  <si>
    <t xml:space="preserve">Primary equal cent allocator for RSP Surcharge</t>
  </si>
  <si>
    <t xml:space="preserve">P_equal_gen</t>
  </si>
  <si>
    <t xml:space="preserve">='Inputs And Assumptions'!$P$4</t>
  </si>
  <si>
    <t xml:space="preserve">Primary equal cent allocation for total generation</t>
  </si>
  <si>
    <t xml:space="preserve">P_LF</t>
  </si>
  <si>
    <t xml:space="preserve">='Inputs And Assumptions'!$C$25</t>
  </si>
  <si>
    <t xml:space="preserve">Primary load factor</t>
  </si>
  <si>
    <t xml:space="preserve">S_Equal</t>
  </si>
  <si>
    <t xml:space="preserve">='Inputs And Assumptions'!$J$3</t>
  </si>
  <si>
    <t xml:space="preserve">Secondary equal cent allocator for RSP Surcharge</t>
  </si>
  <si>
    <t xml:space="preserve">s_equal_gen</t>
  </si>
  <si>
    <t xml:space="preserve">='Inputs And Assumptions'!$P$3</t>
  </si>
  <si>
    <t xml:space="preserve">Secondary equal cent allocation for total generation</t>
  </si>
  <si>
    <t xml:space="preserve">S_LF</t>
  </si>
  <si>
    <t xml:space="preserve">='Inputs And Assumptions'!$C$26</t>
  </si>
  <si>
    <t xml:space="preserve">Secondary load factor</t>
  </si>
  <si>
    <t xml:space="preserve">surcharge</t>
  </si>
  <si>
    <t xml:space="preserve">='Inputs And Assumptions'!$C$1</t>
  </si>
  <si>
    <t xml:space="preserve">RSP surcharge (equals 3 ¢ per kWh)</t>
  </si>
  <si>
    <t xml:space="preserve">surcharge_1</t>
  </si>
  <si>
    <t xml:space="preserve">='Inputs And Assumptions'!$C$8</t>
  </si>
  <si>
    <t xml:space="preserve">RSP revenue requirement divided by applicable sales</t>
  </si>
  <si>
    <t xml:space="preserve">T_Equal</t>
  </si>
  <si>
    <t xml:space="preserve">='Inputs And Assumptions'!$J$5</t>
  </si>
  <si>
    <t xml:space="preserve">Transmission equal cent allocator for RSP Surcharge</t>
  </si>
  <si>
    <t xml:space="preserve">T_equal_gen</t>
  </si>
  <si>
    <t xml:space="preserve">='Inputs And Assumptions'!$P$5</t>
  </si>
  <si>
    <t xml:space="preserve">Transmission equal cent allocation for total generation</t>
  </si>
  <si>
    <t xml:space="preserve">T_LF</t>
  </si>
  <si>
    <t xml:space="preserve">='Inputs And Assumptions'!$C$24</t>
  </si>
  <si>
    <t xml:space="preserve">Transmission  load factor</t>
  </si>
  <si>
    <t xml:space="preserve">1. Identified sales associated with Schedule EL-7</t>
  </si>
  <si>
    <t xml:space="preserve">2. On allocations of total generation modified the calculation</t>
  </si>
  <si>
    <t xml:space="preserve">of RSP surcharge Revenues to equal Total Generation plus generation adjustments less ESP and generation revenues</t>
  </si>
  <si>
    <t xml:space="preserve">generation adjustments (1996) = Nonfirm discounts, ESR discounts, and Power Factor Adjustments</t>
  </si>
  <si>
    <t xml:space="preserve">generation adjustments (2001) = 10% rate reduction, FTA revenues, Nonfirm discounts, ESR discounts, and Power Factor Adjustments</t>
  </si>
  <si>
    <t xml:space="preserve">3. Added generation adjustment revenues to the Revenue Allocation tab in cases where total generation is allocated.</t>
  </si>
  <si>
    <t xml:space="preserve">4. Added a tab entitled "Development of RRQ" which calculates a cent per kWh adder to the 3 ¢ surcharge to amortize</t>
  </si>
  <si>
    <t xml:space="preserve">the accrued balance from March 27 -May 31 over 12 months.</t>
  </si>
  <si>
    <t xml:space="preserve">RSP Surcharge Effective 6/1/01</t>
  </si>
  <si>
    <t xml:space="preserve">Calculation for Allocation of RSP Surcharge (equal ¢ by voltage)</t>
  </si>
  <si>
    <t xml:space="preserve">Control Area</t>
  </si>
  <si>
    <t xml:space="preserve">(dollars  per kWh)</t>
  </si>
  <si>
    <t xml:space="preserve">Load Factor</t>
  </si>
  <si>
    <t xml:space="preserve">Sales</t>
  </si>
  <si>
    <t xml:space="preserve">Adjusted Sales</t>
  </si>
  <si>
    <t xml:space="preserve">DO NOT ERASE DATA IN THIS SECTION!</t>
  </si>
  <si>
    <t xml:space="preserve">S</t>
  </si>
  <si>
    <t xml:space="preserve">Revenue Requirement </t>
  </si>
  <si>
    <t xml:space="preserve">RSP Surchg</t>
  </si>
  <si>
    <t xml:space="preserve">P</t>
  </si>
  <si>
    <t xml:space="preserve">Balance from March Through June</t>
  </si>
  <si>
    <t xml:space="preserve">T</t>
  </si>
  <si>
    <t xml:space="preserve">Total to be collected through RSP</t>
  </si>
  <si>
    <t xml:space="preserve">Basis for Allocation of Total Generation</t>
  </si>
  <si>
    <t xml:space="preserve">Eligible Sales</t>
  </si>
  <si>
    <t xml:space="preserve">Based on 6/10/96 Rates</t>
  </si>
  <si>
    <t xml:space="preserve">Surcharge Allocator</t>
  </si>
  <si>
    <t xml:space="preserve">Based on 1/1/01 Rates</t>
  </si>
  <si>
    <t xml:space="preserve">Calculation for Allocation of Total Generation (equal ¢ by Voltage)</t>
  </si>
  <si>
    <t xml:space="preserve">gen_choice=</t>
  </si>
  <si>
    <t xml:space="preserve">Total Gen Rev. Req.</t>
  </si>
  <si>
    <t xml:space="preserve">Generation</t>
  </si>
  <si>
    <t xml:space="preserve">Emergency Procurement Surcharge</t>
  </si>
  <si>
    <t xml:space="preserve">RSP Surcharge</t>
  </si>
  <si>
    <t xml:space="preserve">Nonallocated Revenue</t>
  </si>
  <si>
    <t xml:space="preserve">Allocator for Total Gen</t>
  </si>
  <si>
    <t xml:space="preserve">Allocation Methodologies:</t>
  </si>
  <si>
    <t xml:space="preserve">Average Gen. Rate</t>
  </si>
  <si>
    <t xml:space="preserve">Equal Cents per kWh</t>
  </si>
  <si>
    <t xml:space="preserve">allocation_method=</t>
  </si>
  <si>
    <t xml:space="preserve">Allocation Methodology</t>
  </si>
  <si>
    <t xml:space="preserve">Load Weighted Allocation -1999 PX Prices</t>
  </si>
  <si>
    <t xml:space="preserve">Load Weighted Allocation -2000 PX Prices</t>
  </si>
  <si>
    <t xml:space="preserve">Basis for allocating total generation costs</t>
  </si>
  <si>
    <t xml:space="preserve">Equal Cents per kWh by Voltage</t>
  </si>
  <si>
    <t xml:space="preserve">Top 100 Hours </t>
  </si>
  <si>
    <t xml:space="preserve">Loss Factors:</t>
  </si>
  <si>
    <t xml:space="preserve">Total Generation -- Equal Cents per kWh</t>
  </si>
  <si>
    <t xml:space="preserve">Transmission</t>
  </si>
  <si>
    <t xml:space="preserve">Total Generation -- Load Weighted Allocation -1999 PX Prices</t>
  </si>
  <si>
    <t xml:space="preserve">Primary</t>
  </si>
  <si>
    <t xml:space="preserve">Total Generation -- Load Weighted Allocation -2000 PX Prices</t>
  </si>
  <si>
    <t xml:space="preserve">Secondary</t>
  </si>
  <si>
    <t xml:space="preserve">Total Generation -- Equal Cents per kWh by Voltage</t>
  </si>
  <si>
    <t xml:space="preserve">Total Generation -- Top 100 Hours</t>
  </si>
  <si>
    <t xml:space="preserve">Color Codes:</t>
  </si>
  <si>
    <r>
      <rPr>
        <sz val="10"/>
        <color rgb="FF0000FF"/>
        <rFont val="Times New Roman"/>
        <family val="1"/>
      </rPr>
      <t xml:space="preserve">Blue</t>
    </r>
    <r>
      <rPr>
        <sz val="10"/>
        <rFont val="Times New Roman"/>
        <family val="0"/>
      </rPr>
      <t xml:space="preserve"> = Linked to another workbut</t>
    </r>
  </si>
  <si>
    <r>
      <rPr>
        <sz val="10"/>
        <color rgb="FF339966"/>
        <rFont val="Times New Roman"/>
        <family val="1"/>
      </rPr>
      <t xml:space="preserve">Green</t>
    </r>
    <r>
      <rPr>
        <sz val="10"/>
        <rFont val="Times New Roman"/>
        <family val="0"/>
      </rPr>
      <t xml:space="preserve">= Entered Number</t>
    </r>
  </si>
  <si>
    <r>
      <rPr>
        <sz val="10"/>
        <color rgb="FF800000"/>
        <rFont val="Times New Roman"/>
        <family val="1"/>
      </rPr>
      <t xml:space="preserve">Rust</t>
    </r>
    <r>
      <rPr>
        <sz val="10"/>
        <rFont val="Times New Roman"/>
        <family val="0"/>
      </rPr>
      <t xml:space="preserve"> = linked to another sheet</t>
    </r>
  </si>
  <si>
    <r>
      <rPr>
        <sz val="10"/>
        <color rgb="FFFF9900"/>
        <rFont val="Times New Roman"/>
        <family val="1"/>
      </rPr>
      <t xml:space="preserve">gold</t>
    </r>
    <r>
      <rPr>
        <sz val="10"/>
        <rFont val="Times New Roman"/>
        <family val="0"/>
      </rPr>
      <t xml:space="preserve"> = named entry </t>
    </r>
  </si>
  <si>
    <t xml:space="preserve">Allocation of RSP Surcharge</t>
  </si>
  <si>
    <t xml:space="preserve">Allocation of Total Generation</t>
  </si>
  <si>
    <t xml:space="preserve">V</t>
  </si>
  <si>
    <t xml:space="preserve">Equal Cent Allocation</t>
  </si>
  <si>
    <t xml:space="preserve">Load Weighted Allocation</t>
  </si>
  <si>
    <t xml:space="preserve">Equal Cents by Volt.</t>
  </si>
  <si>
    <t xml:space="preserve">Top 100 Hours</t>
  </si>
  <si>
    <t xml:space="preserve">O</t>
  </si>
  <si>
    <t xml:space="preserve">1/4/01 Ave</t>
  </si>
  <si>
    <t xml:space="preserve">Proposed </t>
  </si>
  <si>
    <t xml:space="preserve">Percent</t>
  </si>
  <si>
    <t xml:space="preserve">Linked</t>
  </si>
  <si>
    <t xml:space="preserve">Class/Schedule</t>
  </si>
  <si>
    <t xml:space="preserve">L</t>
  </si>
  <si>
    <t xml:space="preserve">Rate</t>
  </si>
  <si>
    <t xml:space="preserve">Ave. Rate</t>
  </si>
  <si>
    <t xml:space="preserve">Change</t>
  </si>
  <si>
    <t xml:space="preserve">(use to copy values to appropriate col.)</t>
  </si>
  <si>
    <t xml:space="preserve">RESIDENTIAL:</t>
  </si>
  <si>
    <t xml:space="preserve">E-1</t>
  </si>
  <si>
    <t xml:space="preserve">EL-1</t>
  </si>
  <si>
    <t xml:space="preserve">E-7</t>
  </si>
  <si>
    <t xml:space="preserve">E-8</t>
  </si>
  <si>
    <t xml:space="preserve">EL-8</t>
  </si>
  <si>
    <t xml:space="preserve">TOTAL RES</t>
  </si>
  <si>
    <t xml:space="preserve">SMALL L&amp;P</t>
  </si>
  <si>
    <t xml:space="preserve">A-1</t>
  </si>
  <si>
    <t xml:space="preserve">A-6</t>
  </si>
  <si>
    <t xml:space="preserve">A-15</t>
  </si>
  <si>
    <t xml:space="preserve">TC-1</t>
  </si>
  <si>
    <t xml:space="preserve">TOTAL SMALL L&amp;P</t>
  </si>
  <si>
    <t xml:space="preserve">MEDIUM L&amp;P</t>
  </si>
  <si>
    <t xml:space="preserve">Total A-10</t>
  </si>
  <si>
    <t xml:space="preserve">TOTAL MEDIUM</t>
  </si>
  <si>
    <t xml:space="preserve">E-19 CLASS</t>
  </si>
  <si>
    <t xml:space="preserve">E-19 FIRM</t>
  </si>
  <si>
    <t xml:space="preserve">E-19 V</t>
  </si>
  <si>
    <t xml:space="preserve">Nonfirm</t>
  </si>
  <si>
    <t xml:space="preserve">Total E-19</t>
  </si>
  <si>
    <t xml:space="preserve">A-RTP-19</t>
  </si>
  <si>
    <t xml:space="preserve">TTL A-RTP-19</t>
  </si>
  <si>
    <t xml:space="preserve">Subtotal E-19</t>
  </si>
  <si>
    <t xml:space="preserve">STREETLIGHTS</t>
  </si>
  <si>
    <t xml:space="preserve">STANDBY</t>
  </si>
  <si>
    <t xml:space="preserve">Small</t>
  </si>
  <si>
    <t xml:space="preserve">Total &lt;500 kW</t>
  </si>
  <si>
    <t xml:space="preserve">Large</t>
  </si>
  <si>
    <t xml:space="preserve">Total &gt; 500kW</t>
  </si>
  <si>
    <t xml:space="preserve">TOTAL STANDBY</t>
  </si>
  <si>
    <t xml:space="preserve">AGR     AG-1 A</t>
  </si>
  <si>
    <t xml:space="preserve">AG-RA</t>
  </si>
  <si>
    <t xml:space="preserve">AG-VA</t>
  </si>
  <si>
    <t xml:space="preserve">AG-4A</t>
  </si>
  <si>
    <t xml:space="preserve">AG-5A</t>
  </si>
  <si>
    <t xml:space="preserve">Total AG-1B</t>
  </si>
  <si>
    <t xml:space="preserve">AG-RB</t>
  </si>
  <si>
    <t xml:space="preserve">AG-VB</t>
  </si>
  <si>
    <t xml:space="preserve">AG-4B</t>
  </si>
  <si>
    <t xml:space="preserve">Total AG-4B</t>
  </si>
  <si>
    <t xml:space="preserve">AG-4C</t>
  </si>
  <si>
    <t xml:space="preserve">AG-5B</t>
  </si>
  <si>
    <t xml:space="preserve">Total AG-5B</t>
  </si>
  <si>
    <t xml:space="preserve">AG-5C</t>
  </si>
  <si>
    <t xml:space="preserve">Total AGRA</t>
  </si>
  <si>
    <t xml:space="preserve">Total AGRB</t>
  </si>
  <si>
    <t xml:space="preserve">TOTAL AGR</t>
  </si>
  <si>
    <t xml:space="preserve">E-20 CLASS</t>
  </si>
  <si>
    <t xml:space="preserve">E-20  FIRM</t>
  </si>
  <si>
    <t xml:space="preserve">E-20 Nonfirm</t>
  </si>
  <si>
    <t xml:space="preserve">TOTAL</t>
  </si>
  <si>
    <t xml:space="preserve">E-20 w/o RTP</t>
  </si>
  <si>
    <t xml:space="preserve">A-RTP-20</t>
  </si>
  <si>
    <t xml:space="preserve">Total A-RTP-20</t>
  </si>
  <si>
    <t xml:space="preserve">Class w/o CONS</t>
  </si>
  <si>
    <t xml:space="preserve">Contracts:</t>
  </si>
  <si>
    <t xml:space="preserve">Total Contracts</t>
  </si>
  <si>
    <t xml:space="preserve">E-20 w/ CONS</t>
  </si>
  <si>
    <t xml:space="preserve"> Federal Pref Power</t>
  </si>
  <si>
    <t xml:space="preserve">Total FPP </t>
  </si>
  <si>
    <t xml:space="preserve">System- FPP</t>
  </si>
  <si>
    <t xml:space="preserve">SYSTEM</t>
  </si>
  <si>
    <t xml:space="preserve">Equal Cent </t>
  </si>
  <si>
    <t xml:space="preserve">1999 Load Weighted </t>
  </si>
  <si>
    <t xml:space="preserve">2000 Load Weighted </t>
  </si>
  <si>
    <t xml:space="preserve">Development of Revenue Requirement  Associated with Accrued RSP Surcharge</t>
  </si>
  <si>
    <t xml:space="preserve">1. Assumptions:</t>
  </si>
  <si>
    <t xml:space="preserve">CARE Sales  As a percent of Total Sales</t>
  </si>
  <si>
    <t xml:space="preserve">Accrued Surcharge Rev</t>
  </si>
  <si>
    <t xml:space="preserve">Months to Amortize</t>
  </si>
  <si>
    <t xml:space="preserve">Interest Rate</t>
  </si>
  <si>
    <t xml:space="preserve">Months in 2001 Surcharge Applies</t>
  </si>
  <si>
    <t xml:space="preserve">2. Eligible Sales</t>
  </si>
  <si>
    <t xml:space="preserve">Sales (Excludes FPP Sales)</t>
  </si>
  <si>
    <t xml:space="preserve">Total Sales</t>
  </si>
  <si>
    <t xml:space="preserve">March</t>
  </si>
  <si>
    <t xml:space="preserve">April</t>
  </si>
  <si>
    <t xml:space="preserve">May</t>
  </si>
  <si>
    <t xml:space="preserve">Total  for Accrued Surcharge Rev.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</si>
  <si>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</si>
  <si>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</si>
  <si>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</si>
  <si>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</si>
  <si>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</si>
  <si>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</si>
  <si>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</si>
  <si>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</si>
  <si>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Annual 2001 Eligible Sales</t>
  </si>
  <si>
    <t xml:space="preserve">Total Sales for Amortization</t>
  </si>
  <si>
    <t xml:space="preserve">3. Calculation of Surcharge Adder</t>
  </si>
  <si>
    <t xml:space="preserve">Surcharge Rev Req. Mar -June</t>
  </si>
  <si>
    <t xml:space="preserve">Surcharge Adder</t>
  </si>
  <si>
    <t xml:space="preserve">Surcharge</t>
  </si>
  <si>
    <t xml:space="preserve">Total Surcharge</t>
  </si>
  <si>
    <t xml:space="preserve">Revenue</t>
  </si>
  <si>
    <t xml:space="preserve">Reliability</t>
  </si>
  <si>
    <t xml:space="preserve">Revenue at 2/17/00 Rates</t>
  </si>
  <si>
    <t xml:space="preserve">Residual</t>
  </si>
  <si>
    <t xml:space="preserve">Emergency</t>
  </si>
  <si>
    <t xml:space="preserve">Proposed</t>
  </si>
  <si>
    <t xml:space="preserve">Public</t>
  </si>
  <si>
    <t xml:space="preserve"> Generation </t>
  </si>
  <si>
    <t xml:space="preserve">Annual</t>
  </si>
  <si>
    <t xml:space="preserve">at</t>
  </si>
  <si>
    <t xml:space="preserve">Service </t>
  </si>
  <si>
    <t xml:space="preserve">Public Purpose</t>
  </si>
  <si>
    <t xml:space="preserve">Distribution</t>
  </si>
  <si>
    <t xml:space="preserve">ND</t>
  </si>
  <si>
    <t xml:space="preserve">FTA </t>
  </si>
  <si>
    <t xml:space="preserve">Procurement</t>
  </si>
  <si>
    <t xml:space="preserve">RSP</t>
  </si>
  <si>
    <t xml:space="preserve">Annual Sales</t>
  </si>
  <si>
    <t xml:space="preserve">Current</t>
  </si>
  <si>
    <t xml:space="preserve">Service</t>
  </si>
  <si>
    <t xml:space="preserve">Purpose</t>
  </si>
  <si>
    <t xml:space="preserve">and CTC</t>
  </si>
  <si>
    <t xml:space="preserve">FTA</t>
  </si>
  <si>
    <t xml:space="preserve">1/1/2001 Rates</t>
  </si>
  <si>
    <t xml:space="preserve">Revenues</t>
  </si>
  <si>
    <t xml:space="preserve">Adjustment Rev.</t>
  </si>
  <si>
    <t xml:space="preserve">Surcharge Rev</t>
  </si>
  <si>
    <t xml:space="preserve">Check</t>
  </si>
  <si>
    <t xml:space="preserve">(MWH)</t>
  </si>
  <si>
    <t xml:space="preserve">Rates</t>
  </si>
  <si>
    <t xml:space="preserve">Adjust Rate</t>
  </si>
  <si>
    <t xml:space="preserve">(From 1/04)</t>
  </si>
  <si>
    <t xml:space="preserve">By Voltage</t>
  </si>
  <si>
    <t xml:space="preserve">Equal Cents</t>
  </si>
  <si>
    <t xml:space="preserve">1999 PX Weighted Loads</t>
  </si>
  <si>
    <t xml:space="preserve">2000 PX Weighted Loads</t>
  </si>
  <si>
    <t xml:space="preserve">Equal ¢ by Voltage</t>
  </si>
  <si>
    <t xml:space="preserve">Top 100 Hour Allocation</t>
  </si>
  <si>
    <t xml:space="preserve">Equal Cents by Voltage</t>
  </si>
  <si>
    <t xml:space="preserve">Eligible</t>
  </si>
  <si>
    <t xml:space="preserve">Equal ¢</t>
  </si>
  <si>
    <t xml:space="preserve">Sales Wtd</t>
  </si>
  <si>
    <t xml:space="preserve">Sch. Lvl 1998</t>
  </si>
  <si>
    <t xml:space="preserve">Sch. Lvl 1999</t>
  </si>
  <si>
    <t xml:space="preserve">volt </t>
  </si>
  <si>
    <t xml:space="preserve">Equal </t>
  </si>
  <si>
    <t xml:space="preserve">Load Weighted</t>
  </si>
  <si>
    <t xml:space="preserve">NPS  Rate</t>
  </si>
  <si>
    <t xml:space="preserve">NPS  Rate (VOLT)</t>
  </si>
  <si>
    <t xml:space="preserve">Scaling</t>
  </si>
  <si>
    <t xml:space="preserve">Scaled Top</t>
  </si>
  <si>
    <t xml:space="preserve">Average</t>
  </si>
  <si>
    <t xml:space="preserve">100 Hour</t>
  </si>
  <si>
    <t xml:space="preserve">Adjustment</t>
  </si>
  <si>
    <t xml:space="preserve">Gen Adjust.</t>
  </si>
  <si>
    <t xml:space="preserve">Revised</t>
  </si>
  <si>
    <t xml:space="preserve">Gen Rev</t>
  </si>
  <si>
    <t xml:space="preserve">numeric</t>
  </si>
  <si>
    <t xml:space="preserve">Cents</t>
  </si>
  <si>
    <t xml:space="preserve">PX Price</t>
  </si>
  <si>
    <t xml:space="preserve">Allocator</t>
  </si>
  <si>
    <t xml:space="preserve">Allocation</t>
  </si>
  <si>
    <t xml:space="preserve">PX Revenues</t>
  </si>
  <si>
    <t xml:space="preserve">Factor</t>
  </si>
  <si>
    <r>
      <rPr>
        <u val="single"/>
        <sz val="10"/>
        <color rgb="FF000000"/>
        <rFont val="Times New Roman"/>
        <family val="1"/>
      </rPr>
      <t xml:space="preserve">100 Hours </t>
    </r>
    <r>
      <rPr>
        <u val="single"/>
        <vertAlign val="superscript"/>
        <sz val="10"/>
        <color rgb="FF000000"/>
        <rFont val="Times New Roman"/>
        <family val="1"/>
      </rPr>
      <t xml:space="preserve"> 1</t>
    </r>
  </si>
  <si>
    <r>
      <rPr>
        <u val="single"/>
        <sz val="10"/>
        <rFont val="Times New Roman"/>
        <family val="1"/>
      </rPr>
      <t xml:space="preserve">100 Hours </t>
    </r>
    <r>
      <rPr>
        <u val="single"/>
        <vertAlign val="superscript"/>
        <sz val="10"/>
        <rFont val="Times New Roman"/>
        <family val="1"/>
      </rPr>
      <t xml:space="preserve"> 1</t>
    </r>
  </si>
  <si>
    <t xml:space="preserve">Alloc Factor</t>
  </si>
  <si>
    <t xml:space="preserve">Rate </t>
  </si>
  <si>
    <t xml:space="preserve">Gen Rate</t>
  </si>
  <si>
    <t xml:space="preserve">Rev</t>
  </si>
  <si>
    <t xml:space="preserve">Adjustments</t>
  </si>
  <si>
    <r>
      <rPr>
        <vertAlign val="superscript"/>
        <sz val="10"/>
        <rFont val="Times New Roman"/>
        <family val="1"/>
      </rPr>
      <t xml:space="preserve">1</t>
    </r>
    <r>
      <rPr>
        <sz val="10"/>
        <rFont val="Times New Roman"/>
        <family val="1"/>
      </rPr>
      <t xml:space="preserve"> 1998 and 1999 scaled loads are allocated to all schedules based on test year usage.</t>
    </r>
  </si>
  <si>
    <t xml:space="preserve">System Average </t>
  </si>
  <si>
    <t xml:space="preserve">by Voltage</t>
  </si>
  <si>
    <t xml:space="preserve">p</t>
  </si>
  <si>
    <t xml:space="preserve">Total  Revenues at</t>
  </si>
  <si>
    <t xml:space="preserve">Functional</t>
  </si>
  <si>
    <t xml:space="preserve">ESR</t>
  </si>
  <si>
    <t xml:space="preserve">Power Factor</t>
  </si>
  <si>
    <t xml:space="preserve">Generation Adjustments for</t>
  </si>
  <si>
    <t xml:space="preserve">Average Rates</t>
  </si>
  <si>
    <t xml:space="preserve">1/1/01 Rates</t>
  </si>
  <si>
    <t xml:space="preserve">6/10/96 Rates</t>
  </si>
  <si>
    <t xml:space="preserve">10 Pct Disct</t>
  </si>
  <si>
    <t xml:space="preserve">NonFirm </t>
  </si>
  <si>
    <t xml:space="preserve">1996 Rev</t>
  </si>
  <si>
    <t xml:space="preserve">2001 Rev</t>
  </si>
  <si>
    <t xml:space="preserve">1996 Generation</t>
  </si>
  <si>
    <t xml:space="preserve">2001 Generation</t>
  </si>
  <si>
    <t xml:space="preserve">RESIDENTIAL</t>
  </si>
  <si>
    <t xml:space="preserve">Total A-1 /A-6</t>
  </si>
  <si>
    <t xml:space="preserve">E-19 Class</t>
  </si>
  <si>
    <t xml:space="preserve">AGR            AG-1 A</t>
  </si>
  <si>
    <t xml:space="preserve"> Total AG-5C</t>
  </si>
  <si>
    <t xml:space="preserve">Large L&amp;P</t>
  </si>
  <si>
    <t xml:space="preserve">E-20 Firm</t>
  </si>
  <si>
    <t xml:space="preserve">Total E-20 T</t>
  </si>
  <si>
    <t xml:space="preserve">E-20 FIRM</t>
  </si>
  <si>
    <t xml:space="preserve">Total E-20 P</t>
  </si>
  <si>
    <t xml:space="preserve">Total E-20 S</t>
  </si>
  <si>
    <t xml:space="preserve">RTP</t>
  </si>
  <si>
    <t xml:space="preserve">A-RTP</t>
  </si>
  <si>
    <t xml:space="preserve">LL&amp;P w/o CONS</t>
  </si>
  <si>
    <t xml:space="preserve">Contracts</t>
  </si>
  <si>
    <t xml:space="preserve">LL&amp;P w/ CONS</t>
  </si>
  <si>
    <t xml:space="preserve">System w/out FPP</t>
  </si>
  <si>
    <t xml:space="preserve">Green Items are from A. 00-11-056</t>
  </si>
  <si>
    <t xml:space="preserve">SUMMER</t>
  </si>
  <si>
    <t xml:space="preserve">WINTER</t>
  </si>
  <si>
    <t xml:space="preserve">FTA Charge- Res.</t>
  </si>
  <si>
    <t xml:space="preserve">SALES</t>
  </si>
  <si>
    <t xml:space="preserve">Revenue </t>
  </si>
  <si>
    <t xml:space="preserve">CARE-</t>
  </si>
  <si>
    <t xml:space="preserve">FTA Charge- Com.</t>
  </si>
  <si>
    <t xml:space="preserve">CUSTOMER</t>
  </si>
  <si>
    <t xml:space="preserve">FORECAST</t>
  </si>
  <si>
    <t xml:space="preserve">at 1/1/2001</t>
  </si>
  <si>
    <t xml:space="preserve">at 6/10/1996</t>
  </si>
  <si>
    <t xml:space="preserve">Exempt</t>
  </si>
  <si>
    <t xml:space="preserve">Net of</t>
  </si>
  <si>
    <t xml:space="preserve">Energy Surcharge </t>
  </si>
  <si>
    <t xml:space="preserve">MONTHS</t>
  </si>
  <si>
    <t xml:space="preserve">(KWH)</t>
  </si>
  <si>
    <t xml:space="preserve">CARE Exempt</t>
  </si>
  <si>
    <t xml:space="preserve">Federal Preference Power</t>
  </si>
  <si>
    <t xml:space="preserve">System By Voltage</t>
  </si>
  <si>
    <t xml:space="preserve">Sales w/out FPP</t>
  </si>
  <si>
    <t xml:space="preserve">T sales</t>
  </si>
  <si>
    <t xml:space="preserve">P sales</t>
  </si>
  <si>
    <t xml:space="preserve">S sales</t>
  </si>
</sst>
</file>

<file path=xl/styles.xml><?xml version="1.0" encoding="utf-8"?>
<styleSheet xmlns="http://schemas.openxmlformats.org/spreadsheetml/2006/main">
  <numFmts count="36">
    <numFmt numFmtId="164" formatCode="General"/>
    <numFmt numFmtId="165" formatCode="#,##0"/>
    <numFmt numFmtId="166" formatCode="#,##0.00"/>
    <numFmt numFmtId="167" formatCode="\$#,##0"/>
    <numFmt numFmtId="168" formatCode="0.00"/>
    <numFmt numFmtId="169" formatCode="0.00000"/>
    <numFmt numFmtId="170" formatCode="_(* #,##0.00_);_(* \(#,##0.00\);_(* \-??_);_(@_)"/>
    <numFmt numFmtId="171" formatCode="_(* #,##0_);_(* \(#,##0\);_(* \-??_);_(@_)"/>
    <numFmt numFmtId="172" formatCode="\$#,##0.00000"/>
    <numFmt numFmtId="173" formatCode="_(* #,##0.0000_);_(* \(#,##0.0000\);_(* \-??_);_(@_)"/>
    <numFmt numFmtId="174" formatCode="_(* #,##0.00000_);_(* \(#,##0.00000\);_(* \-??_);_(@_)"/>
    <numFmt numFmtId="175" formatCode="\$#,##0.000000"/>
    <numFmt numFmtId="176" formatCode="\$#,##0.0000"/>
    <numFmt numFmtId="177" formatCode="0.000000"/>
    <numFmt numFmtId="178" formatCode="\$#,###,"/>
    <numFmt numFmtId="179" formatCode="[$-409]m/d/yyyy\ h:mm"/>
    <numFmt numFmtId="180" formatCode="0%"/>
    <numFmt numFmtId="181" formatCode="0.00%"/>
    <numFmt numFmtId="182" formatCode="0.0%"/>
    <numFmt numFmtId="183" formatCode="#,###,"/>
    <numFmt numFmtId="184" formatCode="mm/dd/yy"/>
    <numFmt numFmtId="185" formatCode="[$-409]m/d/yyyy"/>
    <numFmt numFmtId="186" formatCode=".0000\ ;\(.0000\)"/>
    <numFmt numFmtId="187" formatCode="0.0000"/>
    <numFmt numFmtId="188" formatCode="_(* #,##0.0_);_(* \(#,##0.0\);_(* \-??_);_(@_)"/>
    <numFmt numFmtId="189" formatCode="#,##0.00000"/>
    <numFmt numFmtId="190" formatCode="_(* #,##0.0000000_);_(* \(#,##0.0000000\);_(* \-??_);_(@_)"/>
    <numFmt numFmtId="191" formatCode="0.000"/>
    <numFmt numFmtId="192" formatCode="\$#,###.000000,"/>
    <numFmt numFmtId="193" formatCode="\$#,##0.00000_);&quot;($&quot;#,##0.00000\)"/>
    <numFmt numFmtId="194" formatCode="\$#,##0_);&quot;($&quot;#,##0\)"/>
    <numFmt numFmtId="195" formatCode="0.00000000"/>
    <numFmt numFmtId="196" formatCode="\$#,##0.000000;[RED]\$#,##0.000000"/>
    <numFmt numFmtId="197" formatCode="\$#,##0.000000_);&quot;($&quot;#,##0.000000\)"/>
    <numFmt numFmtId="198" formatCode="\$#,##0.00_);&quot;($&quot;#,##0.00\)"/>
    <numFmt numFmtId="199" formatCode="\$#,##0.000_);&quot;($&quot;#,##0.000\)"/>
  </numFmts>
  <fonts count="5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9"/>
      <name val="times new roman"/>
      <family val="0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b val="true"/>
      <sz val="10"/>
      <color rgb="FF339966"/>
      <name val="Times New Roman"/>
      <family val="1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800000"/>
      <name val="Times New Roman"/>
      <family val="1"/>
    </font>
    <font>
      <u val="single"/>
      <sz val="10"/>
      <name val="Times New Roman"/>
      <family val="1"/>
    </font>
    <font>
      <u val="single"/>
      <sz val="10"/>
      <color rgb="FF800000"/>
      <name val="Times New Roman"/>
      <family val="1"/>
    </font>
    <font>
      <sz val="10"/>
      <color rgb="FF993300"/>
      <name val="Times New Roman"/>
      <family val="1"/>
    </font>
    <font>
      <b val="true"/>
      <i val="true"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10"/>
      <color rgb="FFFF9900"/>
      <name val="Times New Roman"/>
      <family val="1"/>
    </font>
    <font>
      <sz val="9"/>
      <color rgb="FF000000"/>
      <name val="Times New Roman"/>
      <family val="1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sz val="8"/>
      <color rgb="FF000000"/>
      <name val="Tahoma"/>
      <family val="0"/>
    </font>
    <font>
      <sz val="10"/>
      <color rgb="FF008000"/>
      <name val="Times New Roman"/>
      <family val="1"/>
    </font>
    <font>
      <u val="single"/>
      <sz val="10"/>
      <color rgb="FF008000"/>
      <name val="Times New Roman"/>
      <family val="1"/>
    </font>
    <font>
      <sz val="8"/>
      <name val="Times New Roman"/>
      <family val="1"/>
    </font>
    <font>
      <u val="single"/>
      <sz val="9"/>
      <name val="Times New Roman"/>
      <family val="1"/>
    </font>
    <font>
      <sz val="9"/>
      <color rgb="FF993300"/>
      <name val="Times New Roman"/>
      <family val="1"/>
    </font>
    <font>
      <sz val="9"/>
      <color rgb="FF008000"/>
      <name val="Times New Roman"/>
      <family val="1"/>
    </font>
    <font>
      <sz val="9"/>
      <color rgb="FF800000"/>
      <name val="Times New Roman"/>
      <family val="1"/>
    </font>
    <font>
      <u val="single"/>
      <sz val="9"/>
      <color rgb="FF993300"/>
      <name val="Times New Roman"/>
      <family val="1"/>
    </font>
    <font>
      <u val="single"/>
      <sz val="9"/>
      <color rgb="FF008000"/>
      <name val="Times New Roman"/>
      <family val="1"/>
    </font>
    <font>
      <u val="single"/>
      <sz val="9"/>
      <color rgb="FF800000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u val="single"/>
      <vertAlign val="superscript"/>
      <sz val="10"/>
      <color rgb="FF000000"/>
      <name val="Times New Roman"/>
      <family val="1"/>
    </font>
    <font>
      <u val="single"/>
      <vertAlign val="superscript"/>
      <sz val="10"/>
      <name val="Times New Roman"/>
      <family val="1"/>
    </font>
    <font>
      <sz val="10"/>
      <color rgb="FFFF6600"/>
      <name val="Times New Roman"/>
      <family val="1"/>
    </font>
    <font>
      <u val="single"/>
      <sz val="10"/>
      <color rgb="FFFF6600"/>
      <name val="Times New Roman"/>
      <family val="1"/>
    </font>
    <font>
      <u val="single"/>
      <sz val="10"/>
      <color rgb="FF993300"/>
      <name val="Times New Roman"/>
      <family val="1"/>
    </font>
    <font>
      <vertAlign val="superscript"/>
      <sz val="10"/>
      <name val="Times New Roman"/>
      <family val="1"/>
    </font>
    <font>
      <sz val="8"/>
      <color rgb="FF000000"/>
      <name val="Tahoma"/>
      <family val="2"/>
    </font>
    <font>
      <i val="true"/>
      <sz val="7"/>
      <color rgb="FF0000FF"/>
      <name val="Times New Roman"/>
      <family val="1"/>
    </font>
    <font>
      <u val="single"/>
      <sz val="10"/>
      <color rgb="FF0000FF"/>
      <name val="Times New Roman"/>
      <family val="1"/>
    </font>
    <font>
      <u val="single"/>
      <sz val="9"/>
      <color rgb="FF000000"/>
      <name val="Times New Roman"/>
      <family val="1"/>
    </font>
    <font>
      <b val="true"/>
      <i val="true"/>
      <sz val="7"/>
      <color rgb="FF008000"/>
      <name val="Times New Roman"/>
      <family val="1"/>
    </font>
    <font>
      <b val="true"/>
      <sz val="9"/>
      <color rgb="FF000000"/>
      <name val="Times New Roman"/>
      <family val="1"/>
    </font>
    <font>
      <b val="true"/>
      <sz val="9"/>
      <name val="Times New Roman"/>
      <family val="1"/>
    </font>
    <font>
      <sz val="10"/>
      <color rgb="FFFFCC00"/>
      <name val="Times New Roman"/>
      <family val="1"/>
    </font>
    <font>
      <sz val="11"/>
      <color rgb="FF008000"/>
      <name val="Times New Roman"/>
      <family val="1"/>
    </font>
    <font>
      <b val="true"/>
      <u val="single"/>
      <sz val="9"/>
      <color rgb="FF000000"/>
      <name val="Times New Roman"/>
      <family val="1"/>
    </font>
    <font>
      <b val="true"/>
      <u val="single"/>
      <sz val="9"/>
      <name val="Times New Roman"/>
      <family val="1"/>
    </font>
    <font>
      <sz val="9"/>
      <color rgb="FF0000FF"/>
      <name val="Times New Roman"/>
      <family val="1"/>
    </font>
    <font>
      <b val="true"/>
      <sz val="9"/>
      <color rgb="FF008000"/>
      <name val="Times New Roman"/>
      <family val="1"/>
    </font>
    <font>
      <b val="true"/>
      <sz val="10"/>
      <color rgb="FF008000"/>
      <name val="Times New Roman"/>
      <family val="1"/>
    </font>
    <font>
      <b val="true"/>
      <sz val="10"/>
      <color rgb="FF8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CC99"/>
        <bgColor rgb="FFC0C0C0"/>
      </patternFill>
    </fill>
    <fill>
      <patternFill patternType="solid">
        <fgColor rgb="FFFF00FF"/>
        <bgColor rgb="FFFF00FF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right" vertical="bottom" textRotation="0" wrapText="false" indent="0" shrinkToFit="false"/>
    </xf>
    <xf numFmtId="166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true" applyProtection="false">
      <alignment horizontal="right" vertical="bottom" textRotation="0" wrapText="false" indent="0" shrinkToFit="false"/>
    </xf>
  </cellStyleXfs>
  <cellXfs count="4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0" xfId="24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4" fillId="0" borderId="0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3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4" fillId="0" borderId="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24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24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4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2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4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4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35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5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1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1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4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7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4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7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24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0" xfId="2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2" fillId="0" borderId="0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22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26" fillId="0" borderId="1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9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4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0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3" fontId="5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3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3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3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4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22" fillId="0" borderId="0" xfId="24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22" fillId="0" borderId="0" xfId="24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31" fillId="0" borderId="15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31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1" fillId="0" borderId="0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15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31" fillId="0" borderId="15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5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5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4" fillId="0" borderId="0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4" fillId="0" borderId="15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0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2" fillId="0" borderId="0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1" fillId="0" borderId="15" xfId="2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31" fillId="0" borderId="15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22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2" fillId="0" borderId="0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22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2" fillId="0" borderId="0" xfId="24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asic" xfId="20"/>
    <cellStyle name="Comma_TRAlloc 98 sales, 96 MC's" xfId="21"/>
    <cellStyle name="Normal_CTC-EOF_alloc" xfId="22"/>
    <cellStyle name="Normal_Total RRQ including ICIP" xfId="23"/>
    <cellStyle name="Normal_TRAlloc 98 sales, 96 MC's" xfId="24"/>
    <cellStyle name="Normal_Workpapers" xfId="25"/>
    <cellStyle name="Revenue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179640</xdr:colOff>
          <xdr:row>18</xdr:row>
          <xdr:rowOff>18720</xdr:rowOff>
        </xdr:from>
        <xdr:to>
          <xdr:col>4</xdr:col>
          <xdr:colOff>1292760</xdr:colOff>
          <xdr:row>19</xdr:row>
          <xdr:rowOff>57240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92520</xdr:colOff>
          <xdr:row>20</xdr:row>
          <xdr:rowOff>19080</xdr:rowOff>
        </xdr:from>
        <xdr:to>
          <xdr:col>4</xdr:col>
          <xdr:colOff>1460880</xdr:colOff>
          <xdr:row>21</xdr:row>
          <xdr:rowOff>66600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98un-fd/unbunrev/98FER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RQ inputs and toggles"/>
      <sheetName val="Summary Table"/>
      <sheetName val="Total RRQ including ICIP"/>
      <sheetName val="Percentages"/>
      <sheetName val="Nuclear Decommissioning Rates"/>
      <sheetName val="Transmission Allocation - CPUC"/>
      <sheetName val="Public Purpose Program Allocate"/>
      <sheetName val="Distribution Cost Allocation"/>
      <sheetName val="Nuclear Decommissioning"/>
      <sheetName val="Transmission AG and A-10"/>
      <sheetName val="Nonallocated Revenues"/>
      <sheetName val="TRAlloc 98 sales, 96 MC's"/>
      <sheetName val="1996 marginal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5" customHeight="true" zeroHeight="false" outlineLevelRow="0" outlineLevelCol="0"/>
  <cols>
    <col collapsed="false" customWidth="true" hidden="false" outlineLevel="0" max="1" min="1" style="1" width="29.32"/>
    <col collapsed="false" customWidth="true" hidden="false" outlineLevel="0" max="2" min="2" style="1" width="4.15"/>
    <col collapsed="false" customWidth="false" hidden="false" outlineLevel="0" max="5" min="3" style="1" width="9.32"/>
    <col collapsed="false" customWidth="true" hidden="false" outlineLevel="0" max="6" min="6" style="1" width="10.15"/>
    <col collapsed="false" customWidth="false" hidden="false" outlineLevel="0" max="7" min="7" style="1" width="9.32"/>
    <col collapsed="false" customWidth="true" hidden="false" outlineLevel="0" max="8" min="8" style="1" width="14.82"/>
    <col collapsed="false" customWidth="true" hidden="false" outlineLevel="0" max="9" min="9" style="1" width="15.99"/>
    <col collapsed="false" customWidth="false" hidden="false" outlineLevel="0" max="257" min="10" style="1" width="9.32"/>
  </cols>
  <sheetData>
    <row r="1" customFormat="false" ht="15" hidden="false" customHeight="false" outlineLevel="0" collapsed="false">
      <c r="A1" s="2" t="s">
        <v>0</v>
      </c>
      <c r="F1" s="1" t="s">
        <v>1</v>
      </c>
    </row>
    <row r="2" customFormat="false" ht="15" hidden="false" customHeight="false" outlineLevel="0" collapsed="false">
      <c r="A2" s="1" t="s">
        <v>2</v>
      </c>
      <c r="F2" s="1" t="s">
        <v>3</v>
      </c>
    </row>
    <row r="3" customFormat="false" ht="15" hidden="false" customHeight="false" outlineLevel="0" collapsed="false">
      <c r="A3" s="1" t="s">
        <v>4</v>
      </c>
      <c r="F3" s="1" t="s">
        <v>5</v>
      </c>
    </row>
    <row r="4" customFormat="false" ht="15" hidden="false" customHeight="false" outlineLevel="0" collapsed="false">
      <c r="B4" s="1" t="s">
        <v>6</v>
      </c>
      <c r="F4" s="1" t="s">
        <v>7</v>
      </c>
    </row>
    <row r="5" customFormat="false" ht="15" hidden="false" customHeight="false" outlineLevel="0" collapsed="false">
      <c r="C5" s="1" t="s">
        <v>8</v>
      </c>
      <c r="F5" s="1" t="s">
        <v>9</v>
      </c>
    </row>
    <row r="6" customFormat="false" ht="15" hidden="false" customHeight="false" outlineLevel="0" collapsed="false">
      <c r="C6" s="1" t="s">
        <v>10</v>
      </c>
      <c r="F6" s="1" t="s">
        <v>11</v>
      </c>
    </row>
    <row r="7" customFormat="false" ht="15" hidden="false" customHeight="false" outlineLevel="0" collapsed="false">
      <c r="C7" s="1" t="s">
        <v>12</v>
      </c>
      <c r="F7" s="1" t="s">
        <v>13</v>
      </c>
    </row>
    <row r="8" customFormat="false" ht="15" hidden="false" customHeight="false" outlineLevel="0" collapsed="false">
      <c r="C8" s="1" t="s">
        <v>14</v>
      </c>
      <c r="F8" s="1" t="s">
        <v>15</v>
      </c>
    </row>
    <row r="9" customFormat="false" ht="15" hidden="false" customHeight="false" outlineLevel="0" collapsed="false">
      <c r="C9" s="1" t="s">
        <v>16</v>
      </c>
      <c r="F9" s="1" t="s">
        <v>17</v>
      </c>
    </row>
    <row r="10" customFormat="false" ht="15" hidden="false" customHeight="false" outlineLevel="0" collapsed="false">
      <c r="B10" s="1" t="s">
        <v>18</v>
      </c>
      <c r="F10" s="1" t="s">
        <v>19</v>
      </c>
    </row>
    <row r="11" customFormat="false" ht="15" hidden="false" customHeight="false" outlineLevel="0" collapsed="false">
      <c r="A11" s="1" t="str">
        <f aca="false">A148</f>
        <v>III How to Run the Model</v>
      </c>
      <c r="F11" s="1" t="s">
        <v>20</v>
      </c>
    </row>
    <row r="12" customFormat="false" ht="15" hidden="false" customHeight="false" outlineLevel="0" collapsed="false">
      <c r="A12" s="1" t="str">
        <f aca="false">A211</f>
        <v>IV Description of Named Variables Created by the Model</v>
      </c>
      <c r="F12" s="1" t="s">
        <v>21</v>
      </c>
    </row>
    <row r="13" customFormat="false" ht="15" hidden="false" customHeight="false" outlineLevel="0" collapsed="false">
      <c r="A13" s="1" t="s">
        <v>22</v>
      </c>
      <c r="F13" s="1" t="s">
        <v>23</v>
      </c>
    </row>
    <row r="15" customFormat="false" ht="15" hidden="false" customHeight="false" outlineLevel="0" collapsed="false">
      <c r="A15" s="2" t="s">
        <v>24</v>
      </c>
      <c r="B15" s="3"/>
      <c r="C15" s="4" t="s">
        <v>25</v>
      </c>
      <c r="D15" s="4"/>
      <c r="E15" s="4"/>
      <c r="F15" s="4"/>
      <c r="G15" s="4"/>
      <c r="H15" s="4"/>
      <c r="I15" s="4"/>
    </row>
    <row r="18" customFormat="false" ht="15" hidden="false" customHeight="false" outlineLevel="0" collapsed="false">
      <c r="A18" s="1" t="s">
        <v>26</v>
      </c>
      <c r="C18" s="1" t="s">
        <v>27</v>
      </c>
    </row>
    <row r="19" customFormat="false" ht="15" hidden="false" customHeight="false" outlineLevel="0" collapsed="false">
      <c r="C19" s="1" t="s">
        <v>28</v>
      </c>
    </row>
    <row r="20" customFormat="false" ht="15" hidden="false" customHeight="false" outlineLevel="0" collapsed="false">
      <c r="C20" s="1" t="s">
        <v>29</v>
      </c>
    </row>
    <row r="22" customFormat="false" ht="15" hidden="false" customHeight="false" outlineLevel="0" collapsed="false">
      <c r="A22" s="1" t="s">
        <v>30</v>
      </c>
      <c r="C22" s="1" t="s">
        <v>31</v>
      </c>
    </row>
    <row r="23" customFormat="false" ht="15" hidden="false" customHeight="false" outlineLevel="0" collapsed="false">
      <c r="C23" s="1" t="s">
        <v>32</v>
      </c>
    </row>
    <row r="24" customFormat="false" ht="15" hidden="false" customHeight="false" outlineLevel="0" collapsed="false">
      <c r="C24" s="1" t="s">
        <v>33</v>
      </c>
    </row>
    <row r="25" customFormat="false" ht="15" hidden="false" customHeight="false" outlineLevel="0" collapsed="false">
      <c r="C25" s="1" t="s">
        <v>34</v>
      </c>
    </row>
    <row r="27" customFormat="false" ht="15" hidden="false" customHeight="false" outlineLevel="0" collapsed="false">
      <c r="A27" s="1" t="s">
        <v>35</v>
      </c>
      <c r="C27" s="1" t="s">
        <v>36</v>
      </c>
    </row>
    <row r="28" customFormat="false" ht="15" hidden="false" customHeight="false" outlineLevel="0" collapsed="false">
      <c r="C28" s="1" t="s">
        <v>32</v>
      </c>
    </row>
    <row r="29" customFormat="false" ht="15" hidden="false" customHeight="false" outlineLevel="0" collapsed="false">
      <c r="C29" s="1" t="s">
        <v>33</v>
      </c>
    </row>
    <row r="30" customFormat="false" ht="15" hidden="false" customHeight="false" outlineLevel="0" collapsed="false">
      <c r="C30" s="1" t="s">
        <v>34</v>
      </c>
    </row>
    <row r="32" customFormat="false" ht="15" hidden="false" customHeight="false" outlineLevel="0" collapsed="false">
      <c r="A32" s="1" t="s">
        <v>37</v>
      </c>
      <c r="C32" s="1" t="s">
        <v>38</v>
      </c>
    </row>
    <row r="33" customFormat="false" ht="15" hidden="false" customHeight="false" outlineLevel="0" collapsed="false">
      <c r="C33" s="1" t="s">
        <v>39</v>
      </c>
    </row>
    <row r="35" customFormat="false" ht="15" hidden="false" customHeight="false" outlineLevel="0" collapsed="false">
      <c r="A35" s="1" t="s">
        <v>40</v>
      </c>
      <c r="C35" s="1" t="s">
        <v>41</v>
      </c>
    </row>
    <row r="37" customFormat="false" ht="15" hidden="false" customHeight="false" outlineLevel="0" collapsed="false">
      <c r="A37" s="1" t="s">
        <v>42</v>
      </c>
      <c r="C37" s="1" t="s">
        <v>43</v>
      </c>
    </row>
    <row r="38" customFormat="false" ht="15" hidden="false" customHeight="false" outlineLevel="0" collapsed="false">
      <c r="C38" s="1" t="s">
        <v>44</v>
      </c>
    </row>
    <row r="40" customFormat="false" ht="15" hidden="false" customHeight="false" outlineLevel="0" collapsed="false">
      <c r="A40" s="1" t="s">
        <v>45</v>
      </c>
      <c r="C40" s="1" t="s">
        <v>46</v>
      </c>
    </row>
    <row r="41" customFormat="false" ht="15" hidden="false" customHeight="false" outlineLevel="0" collapsed="false">
      <c r="C41" s="1" t="s">
        <v>47</v>
      </c>
    </row>
    <row r="43" customFormat="false" ht="15" hidden="false" customHeight="false" outlineLevel="0" collapsed="false">
      <c r="A43" s="2" t="s">
        <v>48</v>
      </c>
    </row>
    <row r="45" customFormat="false" ht="15" hidden="false" customHeight="false" outlineLevel="0" collapsed="false">
      <c r="A45" s="1" t="s">
        <v>49</v>
      </c>
    </row>
    <row r="46" customFormat="false" ht="15" hidden="false" customHeight="false" outlineLevel="0" collapsed="false">
      <c r="A46" s="1" t="s">
        <v>50</v>
      </c>
    </row>
    <row r="48" customFormat="false" ht="15" hidden="false" customHeight="false" outlineLevel="0" collapsed="false">
      <c r="A48" s="1" t="s">
        <v>51</v>
      </c>
    </row>
    <row r="49" customFormat="false" ht="15" hidden="false" customHeight="false" outlineLevel="0" collapsed="false">
      <c r="A49" s="1" t="s">
        <v>52</v>
      </c>
    </row>
    <row r="50" customFormat="false" ht="15" hidden="false" customHeight="false" outlineLevel="0" collapsed="false">
      <c r="A50" s="1" t="s">
        <v>53</v>
      </c>
    </row>
    <row r="53" customFormat="false" ht="15" hidden="false" customHeight="false" outlineLevel="0" collapsed="false">
      <c r="A53" s="3" t="s">
        <v>6</v>
      </c>
    </row>
    <row r="55" customFormat="false" ht="15" hidden="false" customHeight="false" outlineLevel="0" collapsed="false">
      <c r="A55" s="3" t="s">
        <v>8</v>
      </c>
    </row>
    <row r="57" customFormat="false" ht="15" hidden="false" customHeight="false" outlineLevel="0" collapsed="false">
      <c r="A57" s="1" t="s">
        <v>54</v>
      </c>
    </row>
    <row r="58" customFormat="false" ht="15" hidden="false" customHeight="false" outlineLevel="0" collapsed="false">
      <c r="A58" s="1" t="s">
        <v>55</v>
      </c>
    </row>
    <row r="61" customFormat="false" ht="15" hidden="false" customHeight="false" outlineLevel="0" collapsed="false">
      <c r="A61" s="3" t="s">
        <v>56</v>
      </c>
    </row>
    <row r="62" customFormat="false" ht="15" hidden="false" customHeight="false" outlineLevel="0" collapsed="false">
      <c r="A62" s="1" t="s">
        <v>57</v>
      </c>
    </row>
    <row r="63" customFormat="false" ht="15" hidden="false" customHeight="false" outlineLevel="0" collapsed="false">
      <c r="A63" s="1" t="s">
        <v>58</v>
      </c>
    </row>
    <row r="65" customFormat="false" ht="15" hidden="false" customHeight="false" outlineLevel="0" collapsed="false">
      <c r="A65" s="1" t="s">
        <v>59</v>
      </c>
    </row>
    <row r="66" customFormat="false" ht="15" hidden="false" customHeight="false" outlineLevel="0" collapsed="false">
      <c r="A66" s="1" t="s">
        <v>60</v>
      </c>
    </row>
    <row r="67" customFormat="false" ht="15" hidden="false" customHeight="false" outlineLevel="0" collapsed="false">
      <c r="A67" s="1" t="s">
        <v>61</v>
      </c>
    </row>
    <row r="68" customFormat="false" ht="15" hidden="false" customHeight="false" outlineLevel="0" collapsed="false">
      <c r="A68" s="1" t="s">
        <v>62</v>
      </c>
    </row>
    <row r="70" customFormat="false" ht="15" hidden="false" customHeight="false" outlineLevel="0" collapsed="false">
      <c r="A70" s="3" t="s">
        <v>63</v>
      </c>
    </row>
    <row r="72" customFormat="false" ht="15" hidden="false" customHeight="false" outlineLevel="0" collapsed="false">
      <c r="A72" s="1" t="s">
        <v>64</v>
      </c>
    </row>
    <row r="73" customFormat="false" ht="15" hidden="false" customHeight="false" outlineLevel="0" collapsed="false">
      <c r="A73" s="1" t="s">
        <v>65</v>
      </c>
    </row>
    <row r="76" customFormat="false" ht="15" hidden="false" customHeight="false" outlineLevel="0" collapsed="false">
      <c r="A76" s="3" t="s">
        <v>14</v>
      </c>
    </row>
    <row r="78" customFormat="false" ht="15" hidden="false" customHeight="false" outlineLevel="0" collapsed="false">
      <c r="A78" s="1" t="s">
        <v>66</v>
      </c>
    </row>
    <row r="80" customFormat="false" ht="15" hidden="false" customHeight="false" outlineLevel="0" collapsed="false">
      <c r="A80" s="1" t="s">
        <v>67</v>
      </c>
      <c r="I80" s="5"/>
      <c r="J80" s="5"/>
    </row>
    <row r="81" customFormat="false" ht="15" hidden="false" customHeight="false" outlineLevel="0" collapsed="false">
      <c r="A81" s="6" t="s">
        <v>68</v>
      </c>
      <c r="I81" s="5"/>
      <c r="J81" s="5"/>
    </row>
    <row r="82" customFormat="false" ht="15" hidden="false" customHeight="false" outlineLevel="0" collapsed="false">
      <c r="A82" s="7" t="s">
        <v>69</v>
      </c>
      <c r="B82" s="7"/>
      <c r="C82" s="7"/>
      <c r="D82" s="7"/>
      <c r="E82" s="7"/>
      <c r="F82" s="7"/>
      <c r="G82" s="7"/>
      <c r="H82" s="7"/>
      <c r="I82" s="7"/>
      <c r="J82" s="7"/>
    </row>
    <row r="83" customFormat="false" ht="15" hidden="false" customHeight="false" outlineLevel="0" collapsed="false">
      <c r="B83" s="8"/>
      <c r="C83" s="8"/>
      <c r="D83" s="8"/>
      <c r="E83" s="8"/>
      <c r="F83" s="8"/>
      <c r="G83" s="8"/>
      <c r="H83" s="8"/>
      <c r="I83" s="8"/>
      <c r="J83" s="8"/>
    </row>
    <row r="84" customFormat="false" ht="15" hidden="false" customHeight="false" outlineLevel="0" collapsed="false">
      <c r="A84" s="9" t="s">
        <v>70</v>
      </c>
      <c r="B84" s="8"/>
      <c r="C84" s="8"/>
      <c r="D84" s="8"/>
      <c r="E84" s="8"/>
      <c r="F84" s="8"/>
      <c r="G84" s="8"/>
      <c r="H84" s="8"/>
      <c r="I84" s="8"/>
      <c r="J84" s="8"/>
    </row>
    <row r="85" customFormat="false" ht="15" hidden="false" customHeight="false" outlineLevel="0" collapsed="false">
      <c r="A85" s="9" t="s">
        <v>71</v>
      </c>
      <c r="B85" s="8"/>
      <c r="C85" s="8"/>
      <c r="D85" s="8"/>
      <c r="E85" s="8"/>
      <c r="F85" s="8"/>
      <c r="G85" s="8"/>
      <c r="H85" s="8"/>
      <c r="I85" s="8"/>
      <c r="J85" s="8"/>
    </row>
    <row r="86" customFormat="false" ht="15" hidden="false" customHeight="false" outlineLevel="0" collapsed="false">
      <c r="A86" s="9" t="s">
        <v>72</v>
      </c>
    </row>
    <row r="87" customFormat="false" ht="15" hidden="false" customHeight="false" outlineLevel="0" collapsed="false">
      <c r="A87" s="9"/>
    </row>
    <row r="88" customFormat="false" ht="15" hidden="false" customHeight="false" outlineLevel="0" collapsed="false">
      <c r="A88" s="3" t="s">
        <v>16</v>
      </c>
    </row>
    <row r="89" customFormat="false" ht="15" hidden="false" customHeight="false" outlineLevel="0" collapsed="false">
      <c r="A89" s="9" t="s">
        <v>73</v>
      </c>
    </row>
    <row r="90" customFormat="false" ht="15" hidden="false" customHeight="false" outlineLevel="0" collapsed="false">
      <c r="A90" s="1" t="s">
        <v>74</v>
      </c>
    </row>
    <row r="91" customFormat="false" ht="15" hidden="false" customHeight="false" outlineLevel="0" collapsed="false">
      <c r="A91" s="1" t="s">
        <v>75</v>
      </c>
    </row>
    <row r="93" customFormat="false" ht="15" hidden="false" customHeight="false" outlineLevel="0" collapsed="false">
      <c r="A93" s="2" t="s">
        <v>76</v>
      </c>
    </row>
    <row r="94" customFormat="false" ht="15" hidden="false" customHeight="false" outlineLevel="0" collapsed="false">
      <c r="A94" s="2"/>
    </row>
    <row r="95" customFormat="false" ht="15" hidden="false" customHeight="false" outlineLevel="0" collapsed="false">
      <c r="A95" s="3"/>
    </row>
    <row r="96" customFormat="false" ht="15" hidden="false" customHeight="false" outlineLevel="0" collapsed="false">
      <c r="A96" s="1" t="s">
        <v>77</v>
      </c>
    </row>
    <row r="97" customFormat="false" ht="15" hidden="false" customHeight="false" outlineLevel="0" collapsed="false">
      <c r="A97" s="1" t="s">
        <v>78</v>
      </c>
    </row>
    <row r="99" customFormat="false" ht="15" hidden="false" customHeight="false" outlineLevel="0" collapsed="false">
      <c r="A99" s="1" t="s">
        <v>79</v>
      </c>
    </row>
    <row r="102" customFormat="false" ht="15" hidden="false" customHeight="false" outlineLevel="0" collapsed="false">
      <c r="A102" s="1" t="s">
        <v>80</v>
      </c>
    </row>
    <row r="103" customFormat="false" ht="15" hidden="false" customHeight="false" outlineLevel="0" collapsed="false">
      <c r="A103" s="1" t="s">
        <v>81</v>
      </c>
    </row>
    <row r="104" customFormat="false" ht="15" hidden="false" customHeight="false" outlineLevel="0" collapsed="false">
      <c r="A104" s="1" t="s">
        <v>82</v>
      </c>
    </row>
    <row r="106" customFormat="false" ht="15" hidden="false" customHeight="false" outlineLevel="0" collapsed="false">
      <c r="A106" s="1" t="s">
        <v>83</v>
      </c>
    </row>
    <row r="107" customFormat="false" ht="15" hidden="false" customHeight="false" outlineLevel="0" collapsed="false">
      <c r="A107" s="1" t="s">
        <v>84</v>
      </c>
    </row>
    <row r="108" customFormat="false" ht="15" hidden="false" customHeight="false" outlineLevel="0" collapsed="false">
      <c r="A108" s="1" t="s">
        <v>85</v>
      </c>
    </row>
    <row r="110" customFormat="false" ht="15" hidden="false" customHeight="false" outlineLevel="0" collapsed="false">
      <c r="A110" s="10" t="s">
        <v>86</v>
      </c>
      <c r="G110" s="10" t="s">
        <v>87</v>
      </c>
    </row>
    <row r="111" customFormat="false" ht="15" hidden="false" customHeight="false" outlineLevel="0" collapsed="false">
      <c r="A111" s="1" t="s">
        <v>8</v>
      </c>
      <c r="G111" s="1" t="s">
        <v>88</v>
      </c>
    </row>
    <row r="112" customFormat="false" ht="15" hidden="false" customHeight="false" outlineLevel="0" collapsed="false">
      <c r="A112" s="1" t="s">
        <v>89</v>
      </c>
      <c r="G112" s="1" t="s">
        <v>90</v>
      </c>
    </row>
    <row r="113" customFormat="false" ht="15" hidden="false" customHeight="false" outlineLevel="0" collapsed="false">
      <c r="A113" s="1" t="s">
        <v>91</v>
      </c>
      <c r="G113" s="1" t="s">
        <v>92</v>
      </c>
    </row>
    <row r="114" customFormat="false" ht="15" hidden="false" customHeight="false" outlineLevel="0" collapsed="false">
      <c r="A114" s="1" t="s">
        <v>93</v>
      </c>
      <c r="G114" s="1" t="s">
        <v>94</v>
      </c>
    </row>
    <row r="115" customFormat="false" ht="15" hidden="false" customHeight="false" outlineLevel="0" collapsed="false">
      <c r="A115" s="1" t="s">
        <v>16</v>
      </c>
      <c r="G115" s="1" t="s">
        <v>95</v>
      </c>
    </row>
    <row r="116" customFormat="false" ht="15" hidden="false" customHeight="false" outlineLevel="0" collapsed="false">
      <c r="A116" s="1" t="s">
        <v>96</v>
      </c>
      <c r="G116" s="1" t="s">
        <v>97</v>
      </c>
    </row>
    <row r="117" customFormat="false" ht="15" hidden="false" customHeight="false" outlineLevel="0" collapsed="false">
      <c r="A117" s="1" t="s">
        <v>98</v>
      </c>
      <c r="G117" s="1" t="s">
        <v>99</v>
      </c>
    </row>
    <row r="118" customFormat="false" ht="15" hidden="false" customHeight="false" outlineLevel="0" collapsed="false">
      <c r="A118" s="1" t="s">
        <v>100</v>
      </c>
      <c r="G118" s="1" t="s">
        <v>101</v>
      </c>
    </row>
    <row r="119" customFormat="false" ht="15" hidden="false" customHeight="false" outlineLevel="0" collapsed="false">
      <c r="A119" s="1" t="s">
        <v>102</v>
      </c>
      <c r="G119" s="1" t="s">
        <v>103</v>
      </c>
    </row>
    <row r="120" customFormat="false" ht="15" hidden="false" customHeight="false" outlineLevel="0" collapsed="false">
      <c r="A120" s="1" t="s">
        <v>104</v>
      </c>
      <c r="G120" s="1" t="s">
        <v>105</v>
      </c>
    </row>
    <row r="122" customFormat="false" ht="15" hidden="false" customHeight="false" outlineLevel="0" collapsed="false">
      <c r="A122" s="1" t="s">
        <v>106</v>
      </c>
    </row>
    <row r="123" customFormat="false" ht="15" hidden="false" customHeight="false" outlineLevel="0" collapsed="false">
      <c r="A123" s="1" t="s">
        <v>107</v>
      </c>
    </row>
    <row r="125" customFormat="false" ht="15" hidden="false" customHeight="false" outlineLevel="0" collapsed="false">
      <c r="A125" s="1" t="s">
        <v>108</v>
      </c>
      <c r="C125" s="1" t="s">
        <v>109</v>
      </c>
    </row>
    <row r="126" customFormat="false" ht="15" hidden="false" customHeight="false" outlineLevel="0" collapsed="false">
      <c r="B126" s="1" t="s">
        <v>110</v>
      </c>
      <c r="D126" s="1" t="s">
        <v>111</v>
      </c>
    </row>
    <row r="127" customFormat="false" ht="15" hidden="false" customHeight="false" outlineLevel="0" collapsed="false">
      <c r="D127" s="1" t="s">
        <v>112</v>
      </c>
    </row>
    <row r="128" customFormat="false" ht="15" hidden="false" customHeight="false" outlineLevel="0" collapsed="false">
      <c r="D128" s="1" t="s">
        <v>113</v>
      </c>
    </row>
    <row r="129" customFormat="false" ht="15" hidden="false" customHeight="false" outlineLevel="0" collapsed="false">
      <c r="D129" s="1" t="s">
        <v>114</v>
      </c>
    </row>
    <row r="130" customFormat="false" ht="15" hidden="false" customHeight="false" outlineLevel="0" collapsed="false">
      <c r="D130" s="1" t="s">
        <v>115</v>
      </c>
    </row>
    <row r="131" customFormat="false" ht="15" hidden="false" customHeight="false" outlineLevel="0" collapsed="false">
      <c r="D131" s="1" t="s">
        <v>116</v>
      </c>
    </row>
    <row r="132" customFormat="false" ht="15" hidden="false" customHeight="false" outlineLevel="0" collapsed="false">
      <c r="B132" s="1" t="s">
        <v>117</v>
      </c>
      <c r="D132" s="1" t="s">
        <v>118</v>
      </c>
    </row>
    <row r="133" customFormat="false" ht="15" hidden="false" customHeight="false" outlineLevel="0" collapsed="false">
      <c r="D133" s="1" t="s">
        <v>119</v>
      </c>
    </row>
    <row r="135" customFormat="false" ht="15" hidden="false" customHeight="false" outlineLevel="0" collapsed="false">
      <c r="A135" s="1" t="s">
        <v>120</v>
      </c>
      <c r="C135" s="1" t="s">
        <v>121</v>
      </c>
    </row>
    <row r="136" customFormat="false" ht="15" hidden="false" customHeight="false" outlineLevel="0" collapsed="false">
      <c r="B136" s="1" t="s">
        <v>110</v>
      </c>
      <c r="D136" s="1" t="s">
        <v>111</v>
      </c>
    </row>
    <row r="137" customFormat="false" ht="15" hidden="false" customHeight="false" outlineLevel="0" collapsed="false">
      <c r="D137" s="1" t="s">
        <v>112</v>
      </c>
    </row>
    <row r="138" customFormat="false" ht="15" hidden="false" customHeight="false" outlineLevel="0" collapsed="false">
      <c r="D138" s="1" t="s">
        <v>113</v>
      </c>
    </row>
    <row r="139" customFormat="false" ht="15" hidden="false" customHeight="false" outlineLevel="0" collapsed="false">
      <c r="D139" s="1" t="s">
        <v>114</v>
      </c>
    </row>
    <row r="140" customFormat="false" ht="15" hidden="false" customHeight="false" outlineLevel="0" collapsed="false">
      <c r="D140" s="1" t="s">
        <v>115</v>
      </c>
    </row>
    <row r="141" customFormat="false" ht="15" hidden="false" customHeight="false" outlineLevel="0" collapsed="false">
      <c r="D141" s="1" t="s">
        <v>116</v>
      </c>
    </row>
    <row r="142" customFormat="false" ht="15" hidden="false" customHeight="false" outlineLevel="0" collapsed="false">
      <c r="D142" s="1" t="s">
        <v>122</v>
      </c>
    </row>
    <row r="143" customFormat="false" ht="15" hidden="false" customHeight="false" outlineLevel="0" collapsed="false">
      <c r="B143" s="1" t="s">
        <v>117</v>
      </c>
      <c r="D143" s="1" t="s">
        <v>118</v>
      </c>
    </row>
    <row r="144" customFormat="false" ht="15" hidden="false" customHeight="false" outlineLevel="0" collapsed="false">
      <c r="D144" s="1" t="s">
        <v>119</v>
      </c>
    </row>
    <row r="145" customFormat="false" ht="15" hidden="false" customHeight="false" outlineLevel="0" collapsed="false">
      <c r="D145" s="1" t="s">
        <v>123</v>
      </c>
    </row>
    <row r="148" customFormat="false" ht="15" hidden="false" customHeight="false" outlineLevel="0" collapsed="false">
      <c r="A148" s="2" t="s">
        <v>124</v>
      </c>
    </row>
    <row r="149" customFormat="false" ht="15" hidden="false" customHeight="false" outlineLevel="0" collapsed="false">
      <c r="A149" s="2"/>
    </row>
    <row r="150" customFormat="false" ht="15" hidden="false" customHeight="false" outlineLevel="0" collapsed="false">
      <c r="A150" s="1" t="s">
        <v>125</v>
      </c>
    </row>
    <row r="152" customFormat="false" ht="15" hidden="false" customHeight="false" outlineLevel="0" collapsed="false">
      <c r="A152" s="2" t="s">
        <v>126</v>
      </c>
    </row>
    <row r="154" customFormat="false" ht="15" hidden="false" customHeight="false" outlineLevel="0" collapsed="false">
      <c r="A154" s="1" t="s">
        <v>127</v>
      </c>
    </row>
    <row r="156" customFormat="false" ht="15" hidden="false" customHeight="false" outlineLevel="0" collapsed="false">
      <c r="A156" s="1" t="s">
        <v>128</v>
      </c>
    </row>
    <row r="158" customFormat="false" ht="15" hidden="false" customHeight="false" outlineLevel="0" collapsed="false">
      <c r="A158" s="1" t="s">
        <v>129</v>
      </c>
    </row>
    <row r="159" customFormat="false" ht="15" hidden="false" customHeight="false" outlineLevel="0" collapsed="false">
      <c r="A159" s="1" t="s">
        <v>130</v>
      </c>
    </row>
    <row r="161" customFormat="false" ht="15" hidden="false" customHeight="false" outlineLevel="0" collapsed="false">
      <c r="A161" s="1" t="s">
        <v>131</v>
      </c>
    </row>
    <row r="162" customFormat="false" ht="15" hidden="false" customHeight="false" outlineLevel="0" collapsed="false">
      <c r="A162" s="1" t="s">
        <v>132</v>
      </c>
    </row>
    <row r="163" customFormat="false" ht="15" hidden="false" customHeight="false" outlineLevel="0" collapsed="false">
      <c r="A163" s="1" t="s">
        <v>133</v>
      </c>
    </row>
    <row r="165" customFormat="false" ht="15" hidden="false" customHeight="false" outlineLevel="0" collapsed="false">
      <c r="A165" s="1" t="s">
        <v>134</v>
      </c>
    </row>
    <row r="166" customFormat="false" ht="15" hidden="false" customHeight="false" outlineLevel="0" collapsed="false">
      <c r="A166" s="1" t="s">
        <v>135</v>
      </c>
    </row>
    <row r="168" customFormat="false" ht="15" hidden="false" customHeight="false" outlineLevel="0" collapsed="false">
      <c r="A168" s="1" t="s">
        <v>136</v>
      </c>
    </row>
    <row r="170" customFormat="false" ht="15" hidden="false" customHeight="false" outlineLevel="0" collapsed="false">
      <c r="A170" s="1" t="s">
        <v>137</v>
      </c>
    </row>
    <row r="172" customFormat="false" ht="15" hidden="false" customHeight="false" outlineLevel="0" collapsed="false">
      <c r="A172" s="1" t="s">
        <v>138</v>
      </c>
      <c r="C172" s="1" t="s">
        <v>139</v>
      </c>
    </row>
    <row r="173" customFormat="false" ht="15" hidden="false" customHeight="false" outlineLevel="0" collapsed="false">
      <c r="C173" s="1" t="s">
        <v>140</v>
      </c>
    </row>
    <row r="175" customFormat="false" ht="15" hidden="false" customHeight="false" outlineLevel="0" collapsed="false">
      <c r="A175" s="1" t="s">
        <v>141</v>
      </c>
    </row>
    <row r="176" customFormat="false" ht="15" hidden="false" customHeight="false" outlineLevel="0" collapsed="false">
      <c r="A176" s="1" t="s">
        <v>142</v>
      </c>
    </row>
    <row r="177" customFormat="false" ht="15" hidden="false" customHeight="false" outlineLevel="0" collapsed="false">
      <c r="A177" s="1" t="s">
        <v>143</v>
      </c>
    </row>
    <row r="179" customFormat="false" ht="15" hidden="false" customHeight="false" outlineLevel="0" collapsed="false">
      <c r="A179" s="1" t="s">
        <v>144</v>
      </c>
    </row>
    <row r="181" customFormat="false" ht="15" hidden="false" customHeight="false" outlineLevel="0" collapsed="false">
      <c r="A181" s="3" t="s">
        <v>145</v>
      </c>
    </row>
    <row r="182" customFormat="false" ht="15" hidden="false" customHeight="false" outlineLevel="0" collapsed="false">
      <c r="A182" s="1" t="s">
        <v>146</v>
      </c>
    </row>
    <row r="183" customFormat="false" ht="15" hidden="false" customHeight="false" outlineLevel="0" collapsed="false">
      <c r="A183" s="1" t="s">
        <v>147</v>
      </c>
    </row>
    <row r="185" customFormat="false" ht="15" hidden="false" customHeight="false" outlineLevel="0" collapsed="false">
      <c r="A185" s="1" t="s">
        <v>8</v>
      </c>
      <c r="G185" s="1" t="s">
        <v>148</v>
      </c>
    </row>
    <row r="186" customFormat="false" ht="15" hidden="false" customHeight="false" outlineLevel="0" collapsed="false">
      <c r="A186" s="1" t="s">
        <v>89</v>
      </c>
      <c r="G186" s="1" t="s">
        <v>149</v>
      </c>
    </row>
    <row r="187" customFormat="false" ht="15" hidden="false" customHeight="false" outlineLevel="0" collapsed="false">
      <c r="A187" s="1" t="s">
        <v>91</v>
      </c>
      <c r="G187" s="1" t="s">
        <v>150</v>
      </c>
    </row>
    <row r="188" customFormat="false" ht="15" hidden="false" customHeight="false" outlineLevel="0" collapsed="false">
      <c r="A188" s="1" t="s">
        <v>93</v>
      </c>
      <c r="G188" s="1" t="s">
        <v>151</v>
      </c>
    </row>
    <row r="189" customFormat="false" ht="15" hidden="false" customHeight="false" outlineLevel="0" collapsed="false">
      <c r="A189" s="1" t="s">
        <v>16</v>
      </c>
      <c r="G189" s="1" t="s">
        <v>152</v>
      </c>
    </row>
    <row r="190" customFormat="false" ht="15" hidden="false" customHeight="false" outlineLevel="0" collapsed="false">
      <c r="A190" s="1" t="s">
        <v>96</v>
      </c>
      <c r="G190" s="1" t="s">
        <v>153</v>
      </c>
    </row>
    <row r="191" customFormat="false" ht="15" hidden="false" customHeight="false" outlineLevel="0" collapsed="false">
      <c r="A191" s="1" t="s">
        <v>98</v>
      </c>
      <c r="G191" s="1" t="s">
        <v>154</v>
      </c>
    </row>
    <row r="192" customFormat="false" ht="15" hidden="false" customHeight="false" outlineLevel="0" collapsed="false">
      <c r="A192" s="1" t="s">
        <v>100</v>
      </c>
      <c r="G192" s="1" t="s">
        <v>155</v>
      </c>
    </row>
    <row r="193" customFormat="false" ht="15" hidden="false" customHeight="false" outlineLevel="0" collapsed="false">
      <c r="A193" s="1" t="s">
        <v>102</v>
      </c>
      <c r="G193" s="1" t="s">
        <v>156</v>
      </c>
    </row>
    <row r="194" customFormat="false" ht="15" hidden="false" customHeight="false" outlineLevel="0" collapsed="false">
      <c r="A194" s="1" t="s">
        <v>157</v>
      </c>
      <c r="G194" s="1" t="s">
        <v>158</v>
      </c>
    </row>
    <row r="196" customFormat="false" ht="15" hidden="false" customHeight="false" outlineLevel="0" collapsed="false">
      <c r="A196" s="3" t="s">
        <v>159</v>
      </c>
    </row>
    <row r="197" customFormat="false" ht="15" hidden="false" customHeight="false" outlineLevel="0" collapsed="false">
      <c r="A197" s="1" t="s">
        <v>146</v>
      </c>
    </row>
    <row r="198" customFormat="false" ht="15" hidden="false" customHeight="false" outlineLevel="0" collapsed="false">
      <c r="A198" s="1" t="s">
        <v>147</v>
      </c>
    </row>
    <row r="200" customFormat="false" ht="15" hidden="false" customHeight="false" outlineLevel="0" collapsed="false">
      <c r="A200" s="1" t="s">
        <v>8</v>
      </c>
      <c r="G200" s="1" t="s">
        <v>160</v>
      </c>
    </row>
    <row r="201" customFormat="false" ht="15" hidden="false" customHeight="false" outlineLevel="0" collapsed="false">
      <c r="A201" s="1" t="s">
        <v>89</v>
      </c>
      <c r="G201" s="1" t="s">
        <v>148</v>
      </c>
    </row>
    <row r="202" customFormat="false" ht="15" hidden="false" customHeight="false" outlineLevel="0" collapsed="false">
      <c r="A202" s="1" t="s">
        <v>91</v>
      </c>
      <c r="G202" s="1" t="s">
        <v>161</v>
      </c>
    </row>
    <row r="203" customFormat="false" ht="15" hidden="false" customHeight="false" outlineLevel="0" collapsed="false">
      <c r="A203" s="1" t="s">
        <v>93</v>
      </c>
      <c r="G203" s="1" t="s">
        <v>149</v>
      </c>
    </row>
    <row r="204" customFormat="false" ht="15" hidden="false" customHeight="false" outlineLevel="0" collapsed="false">
      <c r="A204" s="1" t="s">
        <v>16</v>
      </c>
      <c r="G204" s="1" t="s">
        <v>162</v>
      </c>
    </row>
    <row r="205" customFormat="false" ht="15" hidden="false" customHeight="false" outlineLevel="0" collapsed="false">
      <c r="A205" s="1" t="s">
        <v>96</v>
      </c>
      <c r="G205" s="1" t="s">
        <v>151</v>
      </c>
    </row>
    <row r="206" customFormat="false" ht="15" hidden="false" customHeight="false" outlineLevel="0" collapsed="false">
      <c r="A206" s="1" t="s">
        <v>98</v>
      </c>
      <c r="G206" s="1" t="s">
        <v>163</v>
      </c>
    </row>
    <row r="207" customFormat="false" ht="15" hidden="false" customHeight="false" outlineLevel="0" collapsed="false">
      <c r="A207" s="1" t="s">
        <v>100</v>
      </c>
      <c r="G207" s="1" t="s">
        <v>164</v>
      </c>
    </row>
    <row r="208" customFormat="false" ht="15" hidden="false" customHeight="false" outlineLevel="0" collapsed="false">
      <c r="A208" s="1" t="s">
        <v>102</v>
      </c>
      <c r="G208" s="1" t="s">
        <v>165</v>
      </c>
    </row>
    <row r="209" customFormat="false" ht="15" hidden="false" customHeight="false" outlineLevel="0" collapsed="false">
      <c r="A209" s="1" t="s">
        <v>157</v>
      </c>
      <c r="G209" s="1" t="s">
        <v>166</v>
      </c>
    </row>
    <row r="211" customFormat="false" ht="15" hidden="false" customHeight="false" outlineLevel="0" collapsed="false">
      <c r="A211" s="2" t="s">
        <v>167</v>
      </c>
    </row>
    <row r="212" customFormat="false" ht="15" hidden="false" customHeight="false" outlineLevel="0" collapsed="false">
      <c r="A212" s="2"/>
    </row>
    <row r="213" customFormat="false" ht="15" hidden="false" customHeight="false" outlineLevel="0" collapsed="false">
      <c r="A213" s="2" t="s">
        <v>168</v>
      </c>
      <c r="C213" s="2" t="s">
        <v>169</v>
      </c>
      <c r="G213" s="2" t="s">
        <v>25</v>
      </c>
    </row>
    <row r="214" customFormat="false" ht="15" hidden="false" customHeight="false" outlineLevel="0" collapsed="false">
      <c r="A214" s="2"/>
    </row>
    <row r="215" customFormat="false" ht="15" hidden="false" customHeight="false" outlineLevel="0" collapsed="false">
      <c r="A215" s="5" t="s">
        <v>170</v>
      </c>
      <c r="B215" s="5" t="s">
        <v>171</v>
      </c>
      <c r="G215" s="1" t="s">
        <v>172</v>
      </c>
    </row>
    <row r="216" customFormat="false" ht="15" hidden="false" customHeight="false" outlineLevel="0" collapsed="false">
      <c r="A216" s="5" t="s">
        <v>173</v>
      </c>
      <c r="B216" s="5" t="s">
        <v>174</v>
      </c>
      <c r="G216" s="1" t="s">
        <v>175</v>
      </c>
    </row>
    <row r="217" customFormat="false" ht="15" hidden="false" customHeight="false" outlineLevel="0" collapsed="false">
      <c r="A217" s="5" t="s">
        <v>176</v>
      </c>
      <c r="B217" s="5" t="s">
        <v>177</v>
      </c>
      <c r="G217" s="1" t="s">
        <v>178</v>
      </c>
    </row>
    <row r="218" customFormat="false" ht="15" hidden="false" customHeight="false" outlineLevel="0" collapsed="false">
      <c r="A218" s="5" t="s">
        <v>179</v>
      </c>
      <c r="B218" s="5" t="s">
        <v>180</v>
      </c>
      <c r="G218" s="1" t="s">
        <v>181</v>
      </c>
    </row>
    <row r="219" customFormat="false" ht="15" hidden="false" customHeight="false" outlineLevel="0" collapsed="false">
      <c r="A219" s="5" t="s">
        <v>182</v>
      </c>
      <c r="B219" s="5" t="s">
        <v>183</v>
      </c>
      <c r="G219" s="1" t="s">
        <v>184</v>
      </c>
    </row>
    <row r="220" customFormat="false" ht="15" hidden="false" customHeight="false" outlineLevel="0" collapsed="false">
      <c r="A220" s="5" t="s">
        <v>185</v>
      </c>
      <c r="B220" s="5" t="s">
        <v>186</v>
      </c>
      <c r="G220" s="1" t="s">
        <v>187</v>
      </c>
    </row>
    <row r="221" customFormat="false" ht="15" hidden="false" customHeight="false" outlineLevel="0" collapsed="false">
      <c r="A221" s="5" t="s">
        <v>188</v>
      </c>
      <c r="B221" s="5" t="s">
        <v>189</v>
      </c>
      <c r="G221" s="1" t="s">
        <v>190</v>
      </c>
    </row>
    <row r="222" customFormat="false" ht="15" hidden="false" customHeight="false" outlineLevel="0" collapsed="false">
      <c r="A222" s="5" t="s">
        <v>191</v>
      </c>
      <c r="B222" s="5" t="s">
        <v>192</v>
      </c>
      <c r="G222" s="1" t="s">
        <v>193</v>
      </c>
    </row>
    <row r="223" customFormat="false" ht="15" hidden="false" customHeight="false" outlineLevel="0" collapsed="false">
      <c r="A223" s="5" t="s">
        <v>194</v>
      </c>
      <c r="B223" s="5" t="s">
        <v>195</v>
      </c>
      <c r="G223" s="1" t="s">
        <v>196</v>
      </c>
    </row>
    <row r="224" customFormat="false" ht="15" hidden="false" customHeight="false" outlineLevel="0" collapsed="false">
      <c r="A224" s="5" t="s">
        <v>197</v>
      </c>
      <c r="B224" s="5" t="s">
        <v>198</v>
      </c>
      <c r="G224" s="1" t="s">
        <v>199</v>
      </c>
    </row>
    <row r="225" customFormat="false" ht="15" hidden="false" customHeight="false" outlineLevel="0" collapsed="false">
      <c r="A225" s="5" t="s">
        <v>200</v>
      </c>
      <c r="B225" s="5" t="s">
        <v>201</v>
      </c>
      <c r="G225" s="1" t="s">
        <v>202</v>
      </c>
    </row>
    <row r="226" customFormat="false" ht="15" hidden="false" customHeight="false" outlineLevel="0" collapsed="false">
      <c r="A226" s="5" t="s">
        <v>203</v>
      </c>
      <c r="B226" s="5" t="s">
        <v>204</v>
      </c>
      <c r="G226" s="1" t="s">
        <v>205</v>
      </c>
    </row>
    <row r="227" customFormat="false" ht="15" hidden="false" customHeight="false" outlineLevel="0" collapsed="false">
      <c r="A227" s="5" t="s">
        <v>206</v>
      </c>
      <c r="B227" s="5" t="s">
        <v>207</v>
      </c>
      <c r="G227" s="1" t="s">
        <v>208</v>
      </c>
    </row>
    <row r="228" customFormat="false" ht="15" hidden="false" customHeight="false" outlineLevel="0" collapsed="false">
      <c r="A228" s="5" t="s">
        <v>209</v>
      </c>
      <c r="B228" s="5" t="s">
        <v>210</v>
      </c>
      <c r="G228" s="1" t="s">
        <v>211</v>
      </c>
    </row>
    <row r="229" customFormat="false" ht="15" hidden="false" customHeight="false" outlineLevel="0" collapsed="false">
      <c r="A229" s="5" t="s">
        <v>212</v>
      </c>
      <c r="B229" s="5" t="s">
        <v>213</v>
      </c>
      <c r="G229" s="1" t="s">
        <v>214</v>
      </c>
    </row>
    <row r="231" customFormat="false" ht="15" hidden="false" customHeight="false" outlineLevel="0" collapsed="false">
      <c r="A231" s="3" t="s">
        <v>22</v>
      </c>
    </row>
    <row r="233" customFormat="false" ht="15" hidden="false" customHeight="false" outlineLevel="0" collapsed="false">
      <c r="A233" s="1" t="s">
        <v>215</v>
      </c>
    </row>
    <row r="235" customFormat="false" ht="15" hidden="false" customHeight="false" outlineLevel="0" collapsed="false">
      <c r="A235" s="1" t="s">
        <v>216</v>
      </c>
    </row>
    <row r="236" customFormat="false" ht="15" hidden="false" customHeight="false" outlineLevel="0" collapsed="false">
      <c r="A236" s="1" t="s">
        <v>217</v>
      </c>
    </row>
    <row r="237" customFormat="false" ht="15" hidden="false" customHeight="false" outlineLevel="0" collapsed="false">
      <c r="A237" s="1" t="s">
        <v>218</v>
      </c>
    </row>
    <row r="238" customFormat="false" ht="15" hidden="false" customHeight="false" outlineLevel="0" collapsed="false">
      <c r="A238" s="1" t="s">
        <v>219</v>
      </c>
    </row>
    <row r="240" customFormat="false" ht="15" hidden="false" customHeight="false" outlineLevel="0" collapsed="false">
      <c r="A240" s="1" t="s">
        <v>220</v>
      </c>
    </row>
    <row r="242" customFormat="false" ht="15" hidden="false" customHeight="false" outlineLevel="0" collapsed="false">
      <c r="A242" s="1" t="s">
        <v>221</v>
      </c>
    </row>
    <row r="243" customFormat="false" ht="15" hidden="false" customHeight="false" outlineLevel="0" collapsed="false">
      <c r="A243" s="1" t="s">
        <v>222</v>
      </c>
    </row>
  </sheetData>
  <mergeCells count="2">
    <mergeCell ref="C15:I15"/>
    <mergeCell ref="A82:J8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&amp;C&amp;12Pacific Gas and Electric Company
Instructions for Running 
RSP Surcharge Allocation Model</oddHeader>
    <oddFooter>&amp;L&amp;D
&amp;T&amp;C&amp;12Page &amp;P&amp;R&amp;F
&amp;A</oddFooter>
  </headerFooter>
  <rowBreaks count="3" manualBreakCount="3">
    <brk id="69" man="true" max="16383" min="0"/>
    <brk id="134" man="true" max="16383" min="0"/>
    <brk id="19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4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G2" activeCellId="0" sqref="G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2"/>
    <col collapsed="false" customWidth="true" hidden="false" outlineLevel="0" max="2" min="2" style="0" width="12.65"/>
    <col collapsed="false" customWidth="true" hidden="false" outlineLevel="0" max="3" min="3" style="0" width="18.99"/>
    <col collapsed="false" customWidth="true" hidden="false" outlineLevel="0" max="5" min="5" style="0" width="23.99"/>
    <col collapsed="false" customWidth="true" hidden="false" outlineLevel="0" max="6" min="6" style="0" width="2.49"/>
    <col collapsed="false" customWidth="true" hidden="false" outlineLevel="0" max="7" min="7" style="0" width="11.99"/>
    <col collapsed="false" customWidth="true" hidden="false" outlineLevel="0" max="8" min="8" style="0" width="20.65"/>
    <col collapsed="false" customWidth="true" hidden="false" outlineLevel="0" max="9" min="9" style="0" width="17.15"/>
    <col collapsed="false" customWidth="true" hidden="false" outlineLevel="0" max="10" min="10" style="0" width="14.82"/>
    <col collapsed="false" customWidth="true" hidden="false" outlineLevel="0" max="11" min="11" style="0" width="18.82"/>
    <col collapsed="false" customWidth="true" hidden="false" outlineLevel="0" max="12" min="12" style="0" width="3.65"/>
    <col collapsed="false" customWidth="true" hidden="false" outlineLevel="0" max="13" min="13" style="0" width="15.32"/>
    <col collapsed="false" customWidth="true" hidden="false" outlineLevel="0" max="15" min="14" style="0" width="20.65"/>
    <col collapsed="false" customWidth="true" hidden="false" outlineLevel="0" max="16" min="16" style="0" width="11.82"/>
    <col collapsed="false" customWidth="true" hidden="false" outlineLevel="0" max="17" min="17" style="0" width="18.82"/>
    <col collapsed="false" customWidth="true" hidden="false" outlineLevel="0" max="18" min="18" style="0" width="11.15"/>
    <col collapsed="false" customWidth="true" hidden="false" outlineLevel="0" max="21" min="21" style="11" width="3.32"/>
    <col collapsed="false" customWidth="true" hidden="false" outlineLevel="0" max="22" min="22" style="0" width="15.99"/>
  </cols>
  <sheetData>
    <row r="1" customFormat="false" ht="13.5" hidden="false" customHeight="false" outlineLevel="0" collapsed="false">
      <c r="A1" s="0" t="s">
        <v>223</v>
      </c>
      <c r="C1" s="12" t="n">
        <v>0.03</v>
      </c>
      <c r="F1" s="13"/>
      <c r="G1" s="14" t="s">
        <v>224</v>
      </c>
      <c r="H1" s="14"/>
      <c r="I1" s="14"/>
      <c r="J1" s="14"/>
      <c r="K1" s="14"/>
      <c r="L1" s="15"/>
      <c r="V1" s="16" t="s">
        <v>225</v>
      </c>
    </row>
    <row r="2" customFormat="false" ht="29.25" hidden="false" customHeight="true" outlineLevel="0" collapsed="false">
      <c r="A2" s="0" t="s">
        <v>226</v>
      </c>
      <c r="G2" s="17" t="s">
        <v>227</v>
      </c>
      <c r="H2" s="18" t="s">
        <v>228</v>
      </c>
      <c r="I2" s="13" t="s">
        <v>229</v>
      </c>
      <c r="K2" s="19"/>
      <c r="L2" s="19"/>
      <c r="V2" s="16" t="s">
        <v>230</v>
      </c>
    </row>
    <row r="3" customFormat="false" ht="13.5" hidden="false" customHeight="false" outlineLevel="0" collapsed="false">
      <c r="F3" s="13" t="s">
        <v>231</v>
      </c>
      <c r="G3" s="20" t="n">
        <f aca="false">S_LF</f>
        <v>1.085</v>
      </c>
      <c r="H3" s="21" t="n">
        <f aca="false">'RSP Surch Allocations'!D134</f>
        <v>65090365718.2524</v>
      </c>
      <c r="I3" s="22" t="n">
        <f aca="false">H3*G3</f>
        <v>70623046804.3038</v>
      </c>
      <c r="J3" s="23" t="n">
        <f aca="false">$I$7*G3</f>
        <v>0.0385694346851059</v>
      </c>
      <c r="K3" s="24" t="n">
        <f aca="false">J3*H3</f>
        <v>2510498609.19979</v>
      </c>
      <c r="L3" s="24"/>
    </row>
    <row r="4" customFormat="false" ht="12.75" hidden="false" customHeight="false" outlineLevel="0" collapsed="false">
      <c r="A4" s="25" t="s">
        <v>232</v>
      </c>
      <c r="B4" s="26" t="s">
        <v>233</v>
      </c>
      <c r="C4" s="27" t="n">
        <f aca="false">surcharge*'Revenue Allocation'!Q130</f>
        <v>2459729127.81</v>
      </c>
      <c r="F4" s="13" t="s">
        <v>234</v>
      </c>
      <c r="G4" s="28" t="n">
        <f aca="false">P_LF</f>
        <v>1.06</v>
      </c>
      <c r="H4" s="21" t="n">
        <f aca="false">'RSP Surch Allocations'!D133</f>
        <v>7248366199.16526</v>
      </c>
      <c r="I4" s="22" t="n">
        <f aca="false">H4*G4</f>
        <v>7683268171.11517</v>
      </c>
      <c r="J4" s="29" t="n">
        <f aca="false">$I$7*G4</f>
        <v>0.0376807380333753</v>
      </c>
      <c r="K4" s="24" t="n">
        <f aca="false">J4*H4</f>
        <v>273123787.920718</v>
      </c>
      <c r="L4" s="24"/>
    </row>
    <row r="5" customFormat="false" ht="15.75" hidden="false" customHeight="false" outlineLevel="0" collapsed="false">
      <c r="A5" s="30" t="s">
        <v>235</v>
      </c>
      <c r="B5" s="31"/>
      <c r="C5" s="32"/>
      <c r="F5" s="13" t="s">
        <v>236</v>
      </c>
      <c r="G5" s="28" t="n">
        <f aca="false">T_LF</f>
        <v>1.02</v>
      </c>
      <c r="H5" s="33" t="n">
        <f aca="false">'RSP Surch Allocations'!D132</f>
        <v>7614027420.19811</v>
      </c>
      <c r="I5" s="34" t="n">
        <f aca="false">H5*G5</f>
        <v>7766307968.60207</v>
      </c>
      <c r="J5" s="35" t="n">
        <f aca="false">$I$7*G5</f>
        <v>0.0362588233906064</v>
      </c>
      <c r="K5" s="36" t="n">
        <f aca="false">J5*H5</f>
        <v>276075675.520198</v>
      </c>
      <c r="L5" s="36"/>
    </row>
    <row r="6" customFormat="false" ht="12.75" hidden="false" customHeight="false" outlineLevel="0" collapsed="false">
      <c r="A6" s="30" t="s">
        <v>237</v>
      </c>
      <c r="B6" s="31"/>
      <c r="C6" s="37" t="n">
        <f aca="false">SUM(C4:C5)</f>
        <v>2459729127.81</v>
      </c>
      <c r="F6" s="13"/>
      <c r="G6" s="38"/>
      <c r="H6" s="39" t="n">
        <f aca="false">SUM(H3:H5)</f>
        <v>79952759337.6157</v>
      </c>
      <c r="I6" s="39" t="n">
        <f aca="false">SUM(I3:I5)</f>
        <v>86072622944.0211</v>
      </c>
      <c r="J6" s="39"/>
      <c r="K6" s="40" t="n">
        <f aca="false">SUM(K3:K5)</f>
        <v>3059698072.6407</v>
      </c>
      <c r="L6" s="40"/>
      <c r="V6" s="41" t="s">
        <v>238</v>
      </c>
    </row>
    <row r="7" customFormat="false" ht="12.75" hidden="false" customHeight="false" outlineLevel="0" collapsed="false">
      <c r="A7" s="30" t="s">
        <v>239</v>
      </c>
      <c r="B7" s="42"/>
      <c r="C7" s="43" t="n">
        <f aca="false">'RSP Surch Allocations'!D127</f>
        <v>79952759337.6158</v>
      </c>
      <c r="F7" s="13"/>
      <c r="G7" s="38"/>
      <c r="H7" s="44" t="n">
        <f aca="false">'RSP Surch Allocations'!E127</f>
        <v>3059698072.6407</v>
      </c>
      <c r="I7" s="45" t="n">
        <f aca="false">H7/I6</f>
        <v>0.035547866069222</v>
      </c>
      <c r="K7" s="46" t="n">
        <f aca="false">K6/'Test Year 2001 Sales and Revs.'!F146</f>
        <v>0.0373175001836992</v>
      </c>
      <c r="L7" s="46"/>
      <c r="W7" s="0" t="s">
        <v>240</v>
      </c>
    </row>
    <row r="8" customFormat="false" ht="13.5" hidden="false" customHeight="false" outlineLevel="0" collapsed="false">
      <c r="A8" s="47" t="s">
        <v>241</v>
      </c>
      <c r="B8" s="48"/>
      <c r="C8" s="49" t="n">
        <f aca="false">C6/C7+'Development of RRQ'!D39</f>
        <v>0.0382688239654187</v>
      </c>
      <c r="F8" s="13"/>
      <c r="G8" s="38"/>
      <c r="H8" s="44"/>
      <c r="I8" s="45"/>
      <c r="K8" s="46"/>
      <c r="L8" s="46"/>
      <c r="N8" s="50"/>
      <c r="Q8" s="51"/>
      <c r="W8" s="0" t="s">
        <v>242</v>
      </c>
    </row>
    <row r="9" customFormat="false" ht="13.5" hidden="false" customHeight="false" outlineLevel="0" collapsed="false">
      <c r="A9" s="42"/>
      <c r="B9" s="42"/>
      <c r="C9" s="52"/>
      <c r="D9" s="51"/>
      <c r="F9" s="13"/>
      <c r="G9" s="14" t="s">
        <v>243</v>
      </c>
      <c r="H9" s="14"/>
      <c r="I9" s="14"/>
      <c r="J9" s="14"/>
      <c r="K9" s="14"/>
      <c r="L9" s="46"/>
      <c r="V9" s="53" t="s">
        <v>244</v>
      </c>
      <c r="W9" s="0" t="n">
        <v>1</v>
      </c>
    </row>
    <row r="10" customFormat="false" ht="13.5" hidden="false" customHeight="false" outlineLevel="0" collapsed="false">
      <c r="A10" s="54" t="s">
        <v>245</v>
      </c>
      <c r="B10" s="55"/>
      <c r="C10" s="56"/>
      <c r="D10" s="51"/>
      <c r="F10" s="13"/>
      <c r="G10" s="17" t="s">
        <v>227</v>
      </c>
      <c r="H10" s="18" t="s">
        <v>228</v>
      </c>
      <c r="I10" s="13" t="s">
        <v>229</v>
      </c>
      <c r="K10" s="19"/>
      <c r="L10" s="46"/>
    </row>
    <row r="11" customFormat="false" ht="12.75" hidden="false" customHeight="false" outlineLevel="0" collapsed="false">
      <c r="A11" s="57" t="s">
        <v>246</v>
      </c>
      <c r="B11" s="42"/>
      <c r="C11" s="58" t="n">
        <f aca="false">CHOOSE(gen_choice,'Generation Calculations'!M130,'Generation Calculations'!N130)</f>
        <v>4763623622</v>
      </c>
      <c r="D11" s="51"/>
      <c r="F11" s="13"/>
      <c r="G11" s="20" t="n">
        <f aca="false">S_LF</f>
        <v>1.085</v>
      </c>
      <c r="H11" s="21" t="n">
        <f aca="false">'RSP Surch Allocations'!D134</f>
        <v>65090365718.2524</v>
      </c>
      <c r="I11" s="22" t="n">
        <f aca="false">H11*G11</f>
        <v>70623046804.3038</v>
      </c>
      <c r="J11" s="23" t="n">
        <f aca="false">$I$15*G11</f>
        <v>0.0996559614456001</v>
      </c>
      <c r="K11" s="24" t="n">
        <f aca="false">J11*H11</f>
        <v>6486642976.49817</v>
      </c>
      <c r="L11" s="46"/>
    </row>
    <row r="12" customFormat="false" ht="12.75" hidden="false" customHeight="false" outlineLevel="0" collapsed="false">
      <c r="A12" s="57" t="s">
        <v>247</v>
      </c>
      <c r="B12" s="42"/>
      <c r="C12" s="58" t="n">
        <f aca="false">'Revenue Allocation'!M130</f>
        <v>799527593.376158</v>
      </c>
      <c r="D12" s="51"/>
      <c r="F12" s="13"/>
      <c r="G12" s="28" t="n">
        <f aca="false">P_LF</f>
        <v>1.06</v>
      </c>
      <c r="H12" s="21" t="n">
        <f aca="false">'RSP Surch Allocations'!D133</f>
        <v>7248366199.16526</v>
      </c>
      <c r="I12" s="22" t="n">
        <f aca="false">H12*G12</f>
        <v>7683268171.11517</v>
      </c>
      <c r="J12" s="29" t="n">
        <f aca="false">$I$15*G12</f>
        <v>0.0973597411357937</v>
      </c>
      <c r="K12" s="24" t="n">
        <f aca="false">J12*H12</f>
        <v>705699056.808166</v>
      </c>
      <c r="L12" s="46"/>
    </row>
    <row r="13" customFormat="false" ht="15.75" hidden="false" customHeight="false" outlineLevel="0" collapsed="false">
      <c r="A13" s="57" t="s">
        <v>248</v>
      </c>
      <c r="B13" s="42"/>
      <c r="C13" s="59" t="n">
        <f aca="false">C6</f>
        <v>2459729127.81</v>
      </c>
      <c r="D13" s="51"/>
      <c r="F13" s="13"/>
      <c r="G13" s="28" t="n">
        <f aca="false">T_LF</f>
        <v>1.02</v>
      </c>
      <c r="H13" s="33" t="n">
        <f aca="false">'RSP Surch Allocations'!D132</f>
        <v>7614027420.19811</v>
      </c>
      <c r="I13" s="34" t="n">
        <f aca="false">H13*G13</f>
        <v>7766307968.60207</v>
      </c>
      <c r="J13" s="35" t="n">
        <f aca="false">$I$15*G13</f>
        <v>0.0936857886401033</v>
      </c>
      <c r="K13" s="36" t="n">
        <f aca="false">J13*H13</f>
        <v>713326163.588631</v>
      </c>
      <c r="L13" s="46"/>
    </row>
    <row r="14" customFormat="false" ht="12.75" hidden="false" customHeight="false" outlineLevel="0" collapsed="false">
      <c r="A14" s="57" t="s">
        <v>249</v>
      </c>
      <c r="B14" s="42"/>
      <c r="C14" s="32" t="n">
        <f aca="false">CHOOSE(gen_choice,'Generation Calculations'!K130,'Generation Calculations'!L130)</f>
        <v>117212146.291189</v>
      </c>
      <c r="F14" s="13"/>
      <c r="G14" s="38"/>
      <c r="H14" s="39" t="n">
        <f aca="false">SUM(H11:H13)</f>
        <v>79952759337.6157</v>
      </c>
      <c r="I14" s="39" t="n">
        <f aca="false">SUM(I11:I13)</f>
        <v>86072622944.0211</v>
      </c>
      <c r="J14" s="39"/>
      <c r="K14" s="40" t="n">
        <f aca="false">SUM(K11:K13)</f>
        <v>7905668196.89497</v>
      </c>
      <c r="L14" s="46"/>
    </row>
    <row r="15" customFormat="false" ht="12.75" hidden="false" customHeight="false" outlineLevel="0" collapsed="false">
      <c r="A15" s="60" t="s">
        <v>245</v>
      </c>
      <c r="B15" s="42"/>
      <c r="C15" s="37" t="n">
        <f aca="false">SUM(C11:C13)-C14</f>
        <v>7905668196.89497</v>
      </c>
      <c r="F15" s="13"/>
      <c r="G15" s="38"/>
      <c r="H15" s="44" t="n">
        <f aca="false">C15</f>
        <v>7905668196.89497</v>
      </c>
      <c r="I15" s="45" t="n">
        <f aca="false">H15/I14</f>
        <v>0.0918488123922582</v>
      </c>
      <c r="K15" s="46" t="n">
        <f aca="false">K14/'Test Year 2001 Sales and Revs.'!F146</f>
        <v>0.0964212047678525</v>
      </c>
      <c r="L15" s="46"/>
    </row>
    <row r="16" customFormat="false" ht="12.75" hidden="false" customHeight="false" outlineLevel="0" collapsed="false">
      <c r="A16" s="60" t="s">
        <v>250</v>
      </c>
      <c r="B16" s="42"/>
      <c r="C16" s="61" t="n">
        <f aca="false">C15/$C$7+'Development of RRQ'!D39</f>
        <v>0.10638328448189</v>
      </c>
      <c r="F16" s="13"/>
      <c r="G16" s="38"/>
      <c r="H16" s="44"/>
      <c r="I16" s="45"/>
      <c r="K16" s="46"/>
      <c r="L16" s="46"/>
      <c r="V16" s="41" t="s">
        <v>251</v>
      </c>
    </row>
    <row r="17" customFormat="false" ht="13.5" hidden="false" customHeight="false" outlineLevel="0" collapsed="false">
      <c r="A17" s="47" t="s">
        <v>252</v>
      </c>
      <c r="B17" s="48"/>
      <c r="C17" s="62" t="n">
        <f aca="false">C15/'Revenue Allocation'!$Q$130</f>
        <v>0.0964212047681899</v>
      </c>
      <c r="F17" s="63"/>
      <c r="H17" s="64"/>
      <c r="I17" s="13"/>
      <c r="K17" s="42"/>
      <c r="L17" s="42"/>
    </row>
    <row r="18" customFormat="false" ht="13.5" hidden="false" customHeight="false" outlineLevel="0" collapsed="false">
      <c r="F18" s="63"/>
      <c r="H18" s="41"/>
      <c r="V18" s="0" t="s">
        <v>253</v>
      </c>
      <c r="Y18" s="0" t="s">
        <v>254</v>
      </c>
      <c r="AA18" s="65" t="n">
        <v>1</v>
      </c>
    </row>
    <row r="19" customFormat="false" ht="13.5" hidden="false" customHeight="false" outlineLevel="0" collapsed="false">
      <c r="A19" s="41" t="s">
        <v>255</v>
      </c>
      <c r="H19" s="66"/>
      <c r="V19" s="0" t="s">
        <v>256</v>
      </c>
    </row>
    <row r="20" customFormat="false" ht="12.75" hidden="false" customHeight="false" outlineLevel="0" collapsed="false">
      <c r="H20" s="42"/>
      <c r="J20" s="67"/>
      <c r="K20" s="67"/>
      <c r="V20" s="0" t="s">
        <v>257</v>
      </c>
    </row>
    <row r="21" customFormat="false" ht="12.75" hidden="false" customHeight="false" outlineLevel="0" collapsed="false">
      <c r="A21" s="41" t="s">
        <v>258</v>
      </c>
      <c r="I21" s="67"/>
      <c r="J21" s="67"/>
      <c r="K21" s="67"/>
      <c r="V21" s="0" t="s">
        <v>259</v>
      </c>
    </row>
    <row r="22" customFormat="false" ht="12.75" hidden="false" customHeight="false" outlineLevel="0" collapsed="false">
      <c r="I22" s="67"/>
      <c r="J22" s="68"/>
      <c r="K22" s="68"/>
      <c r="V22" s="0" t="s">
        <v>260</v>
      </c>
    </row>
    <row r="23" customFormat="false" ht="13.5" hidden="false" customHeight="false" outlineLevel="0" collapsed="false">
      <c r="A23" s="41" t="s">
        <v>261</v>
      </c>
      <c r="I23" s="67"/>
      <c r="J23" s="69"/>
      <c r="K23" s="69"/>
      <c r="M23" s="69"/>
      <c r="V23" s="0" t="s">
        <v>262</v>
      </c>
    </row>
    <row r="24" customFormat="false" ht="13.5" hidden="false" customHeight="false" outlineLevel="0" collapsed="false">
      <c r="A24" s="0" t="s">
        <v>263</v>
      </c>
      <c r="C24" s="12" t="n">
        <v>1.02</v>
      </c>
      <c r="I24" s="67"/>
      <c r="V24" s="0" t="s">
        <v>264</v>
      </c>
    </row>
    <row r="25" customFormat="false" ht="13.5" hidden="false" customHeight="false" outlineLevel="0" collapsed="false">
      <c r="A25" s="0" t="s">
        <v>265</v>
      </c>
      <c r="C25" s="12" t="n">
        <v>1.06</v>
      </c>
      <c r="I25" s="67"/>
      <c r="K25" s="40"/>
      <c r="V25" s="0" t="s">
        <v>266</v>
      </c>
    </row>
    <row r="26" customFormat="false" ht="13.5" hidden="false" customHeight="false" outlineLevel="0" collapsed="false">
      <c r="A26" s="0" t="s">
        <v>267</v>
      </c>
      <c r="C26" s="12" t="n">
        <v>1.085</v>
      </c>
      <c r="K26" s="69"/>
      <c r="V26" s="0" t="s">
        <v>268</v>
      </c>
    </row>
    <row r="27" customFormat="false" ht="12.75" hidden="false" customHeight="false" outlineLevel="0" collapsed="false">
      <c r="I27" s="67"/>
      <c r="K27" s="70"/>
      <c r="V27" s="0" t="s">
        <v>269</v>
      </c>
    </row>
    <row r="28" customFormat="false" ht="12.75" hidden="false" customHeight="false" outlineLevel="0" collapsed="false">
      <c r="K28" s="69"/>
    </row>
    <row r="29" customFormat="false" ht="13.5" hidden="false" customHeight="false" outlineLevel="0" collapsed="false">
      <c r="H29" s="66"/>
      <c r="I29" s="67"/>
      <c r="K29" s="71"/>
    </row>
    <row r="30" customFormat="false" ht="12.75" hidden="false" customHeight="false" outlineLevel="0" collapsed="false">
      <c r="A30" s="0" t="s">
        <v>270</v>
      </c>
      <c r="I30" s="67"/>
    </row>
    <row r="31" customFormat="false" ht="12.75" hidden="false" customHeight="false" outlineLevel="0" collapsed="false">
      <c r="A31" s="72" t="s">
        <v>271</v>
      </c>
      <c r="I31" s="67"/>
    </row>
    <row r="32" customFormat="false" ht="12.75" hidden="false" customHeight="false" outlineLevel="0" collapsed="false">
      <c r="A32" s="73" t="s">
        <v>272</v>
      </c>
      <c r="I32" s="67"/>
    </row>
    <row r="33" customFormat="false" ht="12.75" hidden="false" customHeight="false" outlineLevel="0" collapsed="false">
      <c r="A33" s="74" t="s">
        <v>273</v>
      </c>
      <c r="I33" s="67"/>
    </row>
    <row r="34" customFormat="false" ht="12.75" hidden="false" customHeight="false" outlineLevel="0" collapsed="false">
      <c r="A34" s="75" t="s">
        <v>274</v>
      </c>
    </row>
  </sheetData>
  <mergeCells count="2">
    <mergeCell ref="G1:K1"/>
    <mergeCell ref="G9:K9"/>
  </mergeCells>
  <printOptions headings="false" gridLines="false" gridLinesSet="true" horizontalCentered="false" verticalCentered="false"/>
  <pageMargins left="0.747916666666667" right="0.747916666666667" top="1.10972222222222" bottom="0.984027777777778" header="0.45" footer="0.5"/>
  <pageSetup paperSize="1" scale="100" fitToWidth="0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Revenue Allocation Workpapers for the 3¢ Surcharge
&amp;A
Assumptions for Allocation of RSP  Surcharge</oddHeader>
    <oddFooter>&amp;L&amp;D
&amp;T&amp;R&amp;F
&amp;A</oddFooter>
  </headerFooter>
  <colBreaks count="1" manualBreakCount="1">
    <brk id="5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3" width="17.82"/>
    <col collapsed="false" customWidth="true" hidden="false" outlineLevel="0" max="2" min="2" style="63" width="2.65"/>
    <col collapsed="false" customWidth="true" hidden="false" outlineLevel="0" max="3" min="3" style="0" width="10.99"/>
    <col collapsed="false" customWidth="true" hidden="false" outlineLevel="0" max="6" min="4" style="0" width="12.32"/>
    <col collapsed="false" customWidth="true" hidden="false" outlineLevel="0" max="7" min="7" style="0" width="10.99"/>
    <col collapsed="false" customWidth="true" hidden="false" outlineLevel="0" max="8" min="8" style="0" width="13.32"/>
    <col collapsed="false" customWidth="true" hidden="false" outlineLevel="0" max="9" min="9" style="0" width="14.15"/>
    <col collapsed="false" customWidth="true" hidden="false" outlineLevel="0" max="10" min="10" style="0" width="12.32"/>
    <col collapsed="false" customWidth="true" hidden="false" outlineLevel="0" max="11" min="11" style="0" width="11.15"/>
    <col collapsed="false" customWidth="true" hidden="false" outlineLevel="0" max="12" min="12" style="0" width="12.32"/>
    <col collapsed="false" customWidth="true" hidden="false" outlineLevel="0" max="13" min="13" style="0" width="11.15"/>
    <col collapsed="false" customWidth="true" hidden="false" outlineLevel="0" max="14" min="14" style="0" width="3.49"/>
    <col collapsed="false" customWidth="true" hidden="false" outlineLevel="0" max="17" min="15" style="0" width="12.32"/>
    <col collapsed="false" customWidth="true" hidden="false" outlineLevel="0" max="18" min="18" style="0" width="10.99"/>
    <col collapsed="false" customWidth="true" hidden="false" outlineLevel="0" max="19" min="19" style="0" width="13.32"/>
    <col collapsed="false" customWidth="true" hidden="false" outlineLevel="0" max="20" min="20" style="0" width="14.15"/>
    <col collapsed="false" customWidth="true" hidden="false" outlineLevel="0" max="21" min="21" style="0" width="12.32"/>
    <col collapsed="false" customWidth="true" hidden="false" outlineLevel="0" max="22" min="22" style="0" width="10.99"/>
    <col collapsed="false" customWidth="true" hidden="false" outlineLevel="0" max="23" min="23" style="0" width="12.32"/>
    <col collapsed="false" customWidth="true" hidden="false" outlineLevel="0" max="24" min="24" style="0" width="10.99"/>
    <col collapsed="false" customWidth="true" hidden="false" outlineLevel="0" max="26" min="26" style="76" width="9.32"/>
  </cols>
  <sheetData>
    <row r="1" customFormat="false" ht="12.75" hidden="false" customHeight="false" outlineLevel="0" collapsed="false">
      <c r="C1" s="14" t="s">
        <v>275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4" t="s">
        <v>276</v>
      </c>
      <c r="P1" s="14"/>
      <c r="Q1" s="14"/>
      <c r="R1" s="14"/>
      <c r="S1" s="14"/>
      <c r="T1" s="14"/>
      <c r="U1" s="14"/>
      <c r="V1" s="14"/>
      <c r="W1" s="15"/>
      <c r="X1" s="15"/>
    </row>
    <row r="2" customFormat="false" ht="12.75" hidden="false" customHeight="false" outlineLevel="0" collapsed="false">
      <c r="D2" s="77"/>
      <c r="F2" s="77"/>
      <c r="G2" s="77"/>
      <c r="H2" s="77"/>
      <c r="I2" s="77"/>
      <c r="J2" s="77"/>
      <c r="K2" s="77"/>
      <c r="L2" s="77"/>
      <c r="M2" s="77"/>
      <c r="N2" s="77"/>
      <c r="O2" s="77"/>
      <c r="Q2" s="77"/>
      <c r="R2" s="77"/>
      <c r="S2" s="77"/>
      <c r="T2" s="77"/>
      <c r="U2" s="77"/>
      <c r="V2" s="77"/>
      <c r="W2" s="77"/>
      <c r="X2" s="77"/>
    </row>
    <row r="3" customFormat="false" ht="12.75" hidden="false" customHeight="false" outlineLevel="0" collapsed="false">
      <c r="D3" s="77"/>
      <c r="F3" s="78" t="n">
        <v>1999</v>
      </c>
      <c r="G3" s="78"/>
      <c r="H3" s="78" t="n">
        <v>2000</v>
      </c>
      <c r="I3" s="78"/>
      <c r="J3" s="77"/>
      <c r="L3" s="77"/>
      <c r="O3" s="77"/>
      <c r="Q3" s="78" t="n">
        <v>1999</v>
      </c>
      <c r="R3" s="78"/>
      <c r="S3" s="78" t="n">
        <v>2000</v>
      </c>
      <c r="T3" s="78"/>
      <c r="U3" s="77"/>
      <c r="W3" s="77"/>
    </row>
    <row r="4" customFormat="false" ht="12.75" hidden="false" customHeight="false" outlineLevel="0" collapsed="false">
      <c r="A4" s="79"/>
      <c r="B4" s="79" t="s">
        <v>277</v>
      </c>
      <c r="D4" s="41" t="s">
        <v>278</v>
      </c>
      <c r="F4" s="14" t="s">
        <v>279</v>
      </c>
      <c r="G4" s="14"/>
      <c r="H4" s="14" t="s">
        <v>279</v>
      </c>
      <c r="I4" s="14"/>
      <c r="J4" s="14" t="s">
        <v>280</v>
      </c>
      <c r="K4" s="14"/>
      <c r="L4" s="14" t="s">
        <v>281</v>
      </c>
      <c r="M4" s="14"/>
      <c r="N4" s="15"/>
      <c r="O4" s="41" t="s">
        <v>278</v>
      </c>
      <c r="Q4" s="14" t="s">
        <v>279</v>
      </c>
      <c r="R4" s="14"/>
      <c r="S4" s="14" t="s">
        <v>279</v>
      </c>
      <c r="T4" s="14"/>
      <c r="U4" s="14" t="s">
        <v>280</v>
      </c>
      <c r="V4" s="14"/>
      <c r="W4" s="14" t="s">
        <v>281</v>
      </c>
      <c r="X4" s="14"/>
      <c r="Z4" s="80" t="str">
        <f aca="false">CHOOSE(allocation_method,"equal ¢","99 Loads","00 Loads","¢ by volt","100 Hrs","G equal ¢","G 99 Loads","G 00 Loads","G ¢ by volt","G 100 hrs")</f>
        <v>equal ¢</v>
      </c>
    </row>
    <row r="5" customFormat="false" ht="12.75" hidden="false" customHeight="false" outlineLevel="0" collapsed="false">
      <c r="A5" s="81"/>
      <c r="B5" s="79" t="s">
        <v>282</v>
      </c>
      <c r="C5" s="15" t="s">
        <v>283</v>
      </c>
      <c r="D5" s="15" t="s">
        <v>284</v>
      </c>
      <c r="E5" s="15" t="s">
        <v>285</v>
      </c>
      <c r="F5" s="15" t="s">
        <v>284</v>
      </c>
      <c r="G5" s="15" t="s">
        <v>285</v>
      </c>
      <c r="H5" s="15" t="s">
        <v>284</v>
      </c>
      <c r="I5" s="15" t="s">
        <v>285</v>
      </c>
      <c r="J5" s="15" t="s">
        <v>284</v>
      </c>
      <c r="K5" s="15" t="s">
        <v>285</v>
      </c>
      <c r="L5" s="15" t="s">
        <v>284</v>
      </c>
      <c r="M5" s="15" t="s">
        <v>285</v>
      </c>
      <c r="N5" s="15"/>
      <c r="O5" s="15" t="s">
        <v>284</v>
      </c>
      <c r="P5" s="15" t="s">
        <v>285</v>
      </c>
      <c r="Q5" s="15" t="s">
        <v>284</v>
      </c>
      <c r="R5" s="15" t="s">
        <v>285</v>
      </c>
      <c r="S5" s="15" t="s">
        <v>284</v>
      </c>
      <c r="T5" s="15" t="s">
        <v>285</v>
      </c>
      <c r="U5" s="15" t="s">
        <v>284</v>
      </c>
      <c r="V5" s="15" t="s">
        <v>285</v>
      </c>
      <c r="W5" s="15" t="s">
        <v>284</v>
      </c>
      <c r="X5" s="15" t="s">
        <v>285</v>
      </c>
      <c r="Z5" s="76" t="s">
        <v>286</v>
      </c>
    </row>
    <row r="6" customFormat="false" ht="12.75" hidden="false" customHeight="false" outlineLevel="0" collapsed="false">
      <c r="A6" s="82" t="s">
        <v>287</v>
      </c>
      <c r="B6" s="82" t="s">
        <v>288</v>
      </c>
      <c r="C6" s="83" t="s">
        <v>289</v>
      </c>
      <c r="D6" s="83" t="s">
        <v>290</v>
      </c>
      <c r="E6" s="83" t="s">
        <v>291</v>
      </c>
      <c r="F6" s="83" t="s">
        <v>290</v>
      </c>
      <c r="G6" s="83" t="s">
        <v>291</v>
      </c>
      <c r="H6" s="83" t="s">
        <v>290</v>
      </c>
      <c r="I6" s="83" t="s">
        <v>291</v>
      </c>
      <c r="J6" s="83" t="s">
        <v>290</v>
      </c>
      <c r="K6" s="83" t="s">
        <v>291</v>
      </c>
      <c r="L6" s="83" t="s">
        <v>290</v>
      </c>
      <c r="M6" s="83" t="s">
        <v>291</v>
      </c>
      <c r="N6" s="83"/>
      <c r="O6" s="83" t="s">
        <v>290</v>
      </c>
      <c r="P6" s="83" t="s">
        <v>291</v>
      </c>
      <c r="Q6" s="83" t="s">
        <v>290</v>
      </c>
      <c r="R6" s="83" t="s">
        <v>291</v>
      </c>
      <c r="S6" s="83" t="s">
        <v>290</v>
      </c>
      <c r="T6" s="83" t="s">
        <v>291</v>
      </c>
      <c r="U6" s="83" t="s">
        <v>290</v>
      </c>
      <c r="V6" s="83" t="s">
        <v>291</v>
      </c>
      <c r="W6" s="83" t="s">
        <v>290</v>
      </c>
      <c r="X6" s="83" t="s">
        <v>291</v>
      </c>
      <c r="Z6" s="76" t="s">
        <v>292</v>
      </c>
    </row>
    <row r="7" customFormat="false" ht="12.75" hidden="false" customHeight="false" outlineLevel="0" collapsed="false">
      <c r="A7" s="84"/>
      <c r="B7" s="82" t="s">
        <v>236</v>
      </c>
    </row>
    <row r="8" customFormat="false" ht="12.75" hidden="false" customHeight="false" outlineLevel="0" collapsed="false">
      <c r="A8" s="84"/>
      <c r="B8" s="84"/>
    </row>
    <row r="9" customFormat="false" ht="12.75" hidden="false" customHeight="false" outlineLevel="0" collapsed="false">
      <c r="A9" s="85" t="s">
        <v>293</v>
      </c>
      <c r="B9" s="79"/>
    </row>
    <row r="10" customFormat="false" ht="12.75" hidden="false" customHeight="false" outlineLevel="0" collapsed="false">
      <c r="A10" s="86" t="s">
        <v>294</v>
      </c>
      <c r="B10" s="79" t="s">
        <v>231</v>
      </c>
      <c r="C10" s="87" t="n">
        <f aca="false">'Revenue Allocation'!$AG8</f>
        <v>12.0494792687016</v>
      </c>
      <c r="D10" s="87" t="n">
        <v>15.1259573642522</v>
      </c>
      <c r="E10" s="88" t="n">
        <f aca="false">(D10-$C10)/$C10</f>
        <v>0.25532041899451</v>
      </c>
      <c r="F10" s="87" t="n">
        <v>15.199778236228</v>
      </c>
      <c r="G10" s="88" t="n">
        <f aca="false">(F10-$C10)/$C10</f>
        <v>0.261446897187436</v>
      </c>
      <c r="H10" s="87" t="n">
        <v>15.3836789923221</v>
      </c>
      <c r="I10" s="88" t="n">
        <f aca="false">(H10-$C10)/$C10</f>
        <v>0.27670903026333</v>
      </c>
      <c r="J10" s="87" t="n">
        <v>15.150123831851</v>
      </c>
      <c r="K10" s="88" t="n">
        <f aca="false">(J10-$C10)/$C10</f>
        <v>0.25732602164836</v>
      </c>
      <c r="L10" s="87" t="n">
        <v>15.7839280059435</v>
      </c>
      <c r="M10" s="88" t="n">
        <f aca="false">(L10-$C10)/$C10</f>
        <v>0.309926151492874</v>
      </c>
      <c r="N10" s="88"/>
      <c r="O10" s="87" t="n">
        <v>14.6425706119881</v>
      </c>
      <c r="P10" s="88" t="n">
        <f aca="false">(O10-$C10)/$C10</f>
        <v>0.215203602202297</v>
      </c>
      <c r="Q10" s="87" t="n">
        <v>14.8798338590863</v>
      </c>
      <c r="R10" s="88" t="n">
        <f aca="false">(Q10-$C10)/$C10</f>
        <v>0.234894349147229</v>
      </c>
      <c r="S10" s="87" t="n">
        <v>15.4708982744323</v>
      </c>
      <c r="T10" s="88" t="n">
        <f aca="false">(S10-$C10)/$C10</f>
        <v>0.283947457764233</v>
      </c>
      <c r="U10" s="87" t="n">
        <v>14.7202426093504</v>
      </c>
      <c r="V10" s="88" t="n">
        <f aca="false">(U10-$C10)/$C10</f>
        <v>0.221649689674646</v>
      </c>
      <c r="W10" s="87" t="n">
        <v>16.7573146777872</v>
      </c>
      <c r="X10" s="88" t="n">
        <f aca="false">(W10-$C10)/$C10</f>
        <v>0.390708619360354</v>
      </c>
      <c r="Z10" s="89" t="n">
        <f aca="false">'Revenue Allocation'!$AC8</f>
        <v>15.8763616652435</v>
      </c>
    </row>
    <row r="11" customFormat="false" ht="12.75" hidden="false" customHeight="false" outlineLevel="0" collapsed="false">
      <c r="A11" s="86" t="s">
        <v>295</v>
      </c>
      <c r="B11" s="79" t="s">
        <v>231</v>
      </c>
      <c r="C11" s="87" t="n">
        <f aca="false">'Revenue Allocation'!$AG9</f>
        <v>8.74533985680244</v>
      </c>
      <c r="D11" s="87" t="n">
        <v>8.74533985680244</v>
      </c>
      <c r="E11" s="88" t="n">
        <f aca="false">(D11-$C11)/$C11</f>
        <v>0</v>
      </c>
      <c r="F11" s="87" t="n">
        <v>8.74533985680244</v>
      </c>
      <c r="G11" s="88" t="n">
        <f aca="false">(F11-$C11)/$C11</f>
        <v>0</v>
      </c>
      <c r="H11" s="87" t="n">
        <v>8.74533985680244</v>
      </c>
      <c r="I11" s="88" t="n">
        <f aca="false">(H11-$C11)/$C11</f>
        <v>0</v>
      </c>
      <c r="J11" s="87" t="n">
        <v>8.74533985680244</v>
      </c>
      <c r="K11" s="88" t="n">
        <f aca="false">(J11-$C11)/$C11</f>
        <v>0</v>
      </c>
      <c r="L11" s="87" t="n">
        <v>8.74533985680244</v>
      </c>
      <c r="M11" s="88" t="n">
        <f aca="false">(L11-$C11)/$C11</f>
        <v>0</v>
      </c>
      <c r="N11" s="88"/>
      <c r="O11" s="87" t="n">
        <v>8.74533985680244</v>
      </c>
      <c r="P11" s="88" t="n">
        <f aca="false">(O11-$C11)/$C11</f>
        <v>0</v>
      </c>
      <c r="Q11" s="87" t="n">
        <v>8.74533985680244</v>
      </c>
      <c r="R11" s="88" t="n">
        <f aca="false">(Q11-$C11)/$C11</f>
        <v>0</v>
      </c>
      <c r="S11" s="87" t="n">
        <v>8.74533985680244</v>
      </c>
      <c r="T11" s="88" t="n">
        <f aca="false">(S11-$C11)/$C11</f>
        <v>0</v>
      </c>
      <c r="U11" s="87" t="n">
        <v>8.74533985680244</v>
      </c>
      <c r="V11" s="88" t="n">
        <f aca="false">(U11-$C11)/$C11</f>
        <v>0</v>
      </c>
      <c r="W11" s="87" t="n">
        <v>8.74533985680244</v>
      </c>
      <c r="X11" s="88" t="n">
        <f aca="false">(W11-$C11)/$C11</f>
        <v>0</v>
      </c>
      <c r="Z11" s="89" t="n">
        <f aca="false">'Revenue Allocation'!$AC9</f>
        <v>8.74533985680244</v>
      </c>
    </row>
    <row r="12" customFormat="false" ht="12.75" hidden="false" customHeight="false" outlineLevel="0" collapsed="false">
      <c r="A12" s="86" t="s">
        <v>296</v>
      </c>
      <c r="B12" s="79" t="s">
        <v>231</v>
      </c>
      <c r="C12" s="87" t="n">
        <f aca="false">'Revenue Allocation'!$AG10</f>
        <v>10.1092297002883</v>
      </c>
      <c r="D12" s="87" t="n">
        <v>13.1505870451693</v>
      </c>
      <c r="E12" s="88" t="n">
        <f aca="false">(D12-$C12)/$C12</f>
        <v>0.300849563720397</v>
      </c>
      <c r="F12" s="87" t="n">
        <v>13.1678691711831</v>
      </c>
      <c r="G12" s="88" t="n">
        <f aca="false">(F12-$C12)/$C12</f>
        <v>0.302559103074642</v>
      </c>
      <c r="H12" s="87" t="n">
        <v>13.1238902069473</v>
      </c>
      <c r="I12" s="88" t="n">
        <f aca="false">(H12-$C12)/$C12</f>
        <v>0.298208725692821</v>
      </c>
      <c r="J12" s="87" t="n">
        <v>13.1744776309134</v>
      </c>
      <c r="K12" s="88" t="n">
        <f aca="false">(J12-$C12)/$C12</f>
        <v>0.303212808641361</v>
      </c>
      <c r="L12" s="87" t="n">
        <v>12.9915904495067</v>
      </c>
      <c r="M12" s="88" t="n">
        <f aca="false">(L12-$C12)/$C12</f>
        <v>0.285121699147482</v>
      </c>
      <c r="N12" s="88"/>
      <c r="O12" s="87" t="n">
        <v>14.1075795509314</v>
      </c>
      <c r="P12" s="88" t="n">
        <f aca="false">(O12-$C12)/$C12</f>
        <v>0.395514788879418</v>
      </c>
      <c r="Q12" s="87" t="n">
        <v>14.107833224399</v>
      </c>
      <c r="R12" s="88" t="n">
        <f aca="false">(Q12-$C12)/$C12</f>
        <v>0.395539882133323</v>
      </c>
      <c r="S12" s="87" t="n">
        <v>13.9664830671967</v>
      </c>
      <c r="T12" s="88" t="n">
        <f aca="false">(S12-$C12)/$C12</f>
        <v>0.381557594521608</v>
      </c>
      <c r="U12" s="87" t="n">
        <v>14.129073079361</v>
      </c>
      <c r="V12" s="88" t="n">
        <f aca="false">(U12-$C12)/$C12</f>
        <v>0.397640918076879</v>
      </c>
      <c r="W12" s="87" t="n">
        <v>13.5412663337646</v>
      </c>
      <c r="X12" s="88" t="n">
        <f aca="false">(W12-$C12)/$C12</f>
        <v>0.339495365643779</v>
      </c>
      <c r="Z12" s="89" t="n">
        <f aca="false">'Revenue Allocation'!$AC10</f>
        <v>13.8924248095113</v>
      </c>
    </row>
    <row r="13" customFormat="false" ht="12.75" hidden="false" customHeight="false" outlineLevel="0" collapsed="false">
      <c r="A13" s="86" t="s">
        <v>297</v>
      </c>
      <c r="B13" s="79" t="s">
        <v>231</v>
      </c>
      <c r="C13" s="87" t="n">
        <f aca="false">'Revenue Allocation'!$AG11</f>
        <v>10.4066830710482</v>
      </c>
      <c r="D13" s="87" t="n">
        <v>13.4831611665988</v>
      </c>
      <c r="E13" s="88" t="n">
        <f aca="false">(D13-$C13)/$C13</f>
        <v>0.295625231838705</v>
      </c>
      <c r="F13" s="87" t="n">
        <v>13.5569820385746</v>
      </c>
      <c r="G13" s="88" t="n">
        <f aca="false">(F13-$C13)/$C13</f>
        <v>0.302718834235533</v>
      </c>
      <c r="H13" s="87" t="n">
        <v>13.7408827946687</v>
      </c>
      <c r="I13" s="88" t="n">
        <f aca="false">(H13-$C13)/$C13</f>
        <v>0.320390243544207</v>
      </c>
      <c r="J13" s="87" t="n">
        <v>13.5073276341976</v>
      </c>
      <c r="K13" s="88" t="n">
        <f aca="false">(J13-$C13)/$C13</f>
        <v>0.297947438389421</v>
      </c>
      <c r="L13" s="87" t="n">
        <v>14.1411318082901</v>
      </c>
      <c r="M13" s="88" t="n">
        <f aca="false">(L13-$C13)/$C13</f>
        <v>0.358851010619438</v>
      </c>
      <c r="N13" s="88"/>
      <c r="O13" s="87" t="n">
        <v>13.7633032169332</v>
      </c>
      <c r="P13" s="88" t="n">
        <f aca="false">(O13-$C13)/$C13</f>
        <v>0.322544668937141</v>
      </c>
      <c r="Q13" s="87" t="n">
        <v>14.0005664640314</v>
      </c>
      <c r="R13" s="88" t="n">
        <f aca="false">(Q13-$C13)/$C13</f>
        <v>0.345343791912097</v>
      </c>
      <c r="S13" s="87" t="n">
        <v>14.5916308793774</v>
      </c>
      <c r="T13" s="88" t="n">
        <f aca="false">(S13-$C13)/$C13</f>
        <v>0.402140411095237</v>
      </c>
      <c r="U13" s="87" t="n">
        <v>13.8409752142955</v>
      </c>
      <c r="V13" s="88" t="n">
        <f aca="false">(U13-$C13)/$C13</f>
        <v>0.330008334048497</v>
      </c>
      <c r="W13" s="87" t="n">
        <v>15.8780472827324</v>
      </c>
      <c r="X13" s="88" t="n">
        <f aca="false">(W13-$C13)/$C13</f>
        <v>0.525754861018654</v>
      </c>
      <c r="Z13" s="89" t="n">
        <f aca="false">'Revenue Allocation'!$AC11</f>
        <v>14.2335654675901</v>
      </c>
    </row>
    <row r="14" customFormat="false" ht="12.75" hidden="false" customHeight="false" outlineLevel="0" collapsed="false">
      <c r="A14" s="86" t="s">
        <v>298</v>
      </c>
      <c r="B14" s="79" t="s">
        <v>231</v>
      </c>
      <c r="C14" s="90" t="n">
        <f aca="false">'Revenue Allocation'!$AG12</f>
        <v>8.08919296230681</v>
      </c>
      <c r="D14" s="90" t="n">
        <v>8.08919296230681</v>
      </c>
      <c r="E14" s="91" t="n">
        <f aca="false">(D14-$C14)/$C14</f>
        <v>0</v>
      </c>
      <c r="F14" s="90" t="n">
        <v>8.08919296230681</v>
      </c>
      <c r="G14" s="91" t="n">
        <f aca="false">(F14-$C14)/$C14</f>
        <v>0</v>
      </c>
      <c r="H14" s="90" t="n">
        <v>8.08919296230681</v>
      </c>
      <c r="I14" s="91" t="n">
        <f aca="false">(H14-$C14)/$C14</f>
        <v>0</v>
      </c>
      <c r="J14" s="90" t="n">
        <v>8.08919296230681</v>
      </c>
      <c r="K14" s="91" t="n">
        <f aca="false">(J14-$C14)/$C14</f>
        <v>0</v>
      </c>
      <c r="L14" s="90" t="n">
        <v>8.08919296230681</v>
      </c>
      <c r="M14" s="91" t="n">
        <f aca="false">(L14-$C14)/$C14</f>
        <v>0</v>
      </c>
      <c r="N14" s="91"/>
      <c r="O14" s="90" t="n">
        <v>8.08919296230681</v>
      </c>
      <c r="P14" s="91" t="n">
        <f aca="false">(O14-$C14)/$C14</f>
        <v>0</v>
      </c>
      <c r="Q14" s="90" t="n">
        <v>8.08919296230681</v>
      </c>
      <c r="R14" s="91" t="n">
        <f aca="false">(Q14-$C14)/$C14</f>
        <v>0</v>
      </c>
      <c r="S14" s="90" t="n">
        <v>8.08919296230681</v>
      </c>
      <c r="T14" s="91" t="n">
        <f aca="false">(S14-$C14)/$C14</f>
        <v>0</v>
      </c>
      <c r="U14" s="90" t="n">
        <v>8.08919296230681</v>
      </c>
      <c r="V14" s="91" t="n">
        <f aca="false">(U14-$C14)/$C14</f>
        <v>0</v>
      </c>
      <c r="W14" s="90" t="n">
        <v>8.08919296230681</v>
      </c>
      <c r="X14" s="91" t="n">
        <f aca="false">(W14-$C14)/$C14</f>
        <v>0</v>
      </c>
      <c r="Z14" s="89" t="n">
        <f aca="false">'Revenue Allocation'!$AC12</f>
        <v>8.08919296230681</v>
      </c>
    </row>
    <row r="15" customFormat="false" ht="12.75" hidden="false" customHeight="false" outlineLevel="0" collapsed="false">
      <c r="A15" s="85" t="s">
        <v>299</v>
      </c>
      <c r="B15" s="79"/>
      <c r="C15" s="87" t="n">
        <f aca="false">'Revenue Allocation'!$AG13</f>
        <v>11.6064029238885</v>
      </c>
      <c r="D15" s="87" t="n">
        <v>14.4660643961441</v>
      </c>
      <c r="E15" s="88" t="n">
        <f aca="false">(D15-$C15)/$C15</f>
        <v>0.246386541205613</v>
      </c>
      <c r="F15" s="87" t="n">
        <v>14.5323410395371</v>
      </c>
      <c r="G15" s="88" t="n">
        <f aca="false">(F15-$C15)/$C15</f>
        <v>0.252096892968139</v>
      </c>
      <c r="H15" s="87" t="n">
        <v>14.6937886717019</v>
      </c>
      <c r="I15" s="88" t="n">
        <f aca="false">(H15-$C15)/$C15</f>
        <v>0.266007114181678</v>
      </c>
      <c r="J15" s="87" t="n">
        <v>14.4885277175676</v>
      </c>
      <c r="K15" s="88" t="n">
        <f aca="false">(J15-$C15)/$C15</f>
        <v>0.248321966123294</v>
      </c>
      <c r="L15" s="87" t="n">
        <v>15.0436317573494</v>
      </c>
      <c r="M15" s="88" t="n">
        <f aca="false">(L15-$C15)/$C15</f>
        <v>0.296149363071508</v>
      </c>
      <c r="N15" s="88"/>
      <c r="O15" s="87" t="n">
        <v>14.1365734917245</v>
      </c>
      <c r="P15" s="88" t="n">
        <f aca="false">(O15-$C15)/$C15</f>
        <v>0.217997822790414</v>
      </c>
      <c r="Q15" s="87" t="n">
        <v>14.3472646221924</v>
      </c>
      <c r="R15" s="88" t="n">
        <f aca="false">(Q15-$C15)/$C15</f>
        <v>0.23615083125045</v>
      </c>
      <c r="S15" s="87" t="n">
        <v>14.8661637955356</v>
      </c>
      <c r="T15" s="88" t="n">
        <f aca="false">(S15-$C15)/$C15</f>
        <v>0.280858840850497</v>
      </c>
      <c r="U15" s="87" t="n">
        <v>14.206446845886</v>
      </c>
      <c r="V15" s="88" t="n">
        <f aca="false">(U15-$C15)/$C15</f>
        <v>0.224018064774059</v>
      </c>
      <c r="W15" s="87" t="n">
        <v>15.9905735221341</v>
      </c>
      <c r="X15" s="88" t="n">
        <f aca="false">(W15-$C15)/$C15</f>
        <v>0.377737239263166</v>
      </c>
      <c r="Z15" s="89" t="n">
        <f aca="false">'Revenue Allocation'!$AC13</f>
        <v>15.1635835077748</v>
      </c>
    </row>
    <row r="16" customFormat="false" ht="12.75" hidden="false" customHeight="false" outlineLevel="0" collapsed="false">
      <c r="A16" s="92"/>
      <c r="B16" s="79"/>
      <c r="C16" s="87" t="n">
        <f aca="false">'Revenue Allocation'!$AG14</f>
        <v>0</v>
      </c>
      <c r="D16" s="87" t="n">
        <v>0</v>
      </c>
      <c r="E16" s="93"/>
      <c r="F16" s="87" t="n">
        <v>0</v>
      </c>
      <c r="G16" s="93"/>
      <c r="H16" s="87" t="n">
        <v>0</v>
      </c>
      <c r="I16" s="93"/>
      <c r="J16" s="87" t="n">
        <v>0</v>
      </c>
      <c r="K16" s="93"/>
      <c r="L16" s="87" t="n">
        <v>0</v>
      </c>
      <c r="M16" s="93"/>
      <c r="N16" s="93"/>
      <c r="O16" s="87" t="n">
        <v>0</v>
      </c>
      <c r="P16" s="93"/>
      <c r="Q16" s="87" t="n">
        <v>0</v>
      </c>
      <c r="R16" s="93"/>
      <c r="S16" s="87" t="n">
        <v>0</v>
      </c>
      <c r="T16" s="93"/>
      <c r="U16" s="87" t="n">
        <v>0</v>
      </c>
      <c r="V16" s="93"/>
      <c r="W16" s="87" t="n">
        <v>0</v>
      </c>
      <c r="X16" s="93"/>
      <c r="Z16" s="89" t="n">
        <f aca="false">'Revenue Allocation'!$AC14</f>
        <v>0</v>
      </c>
    </row>
    <row r="17" customFormat="false" ht="12.75" hidden="false" customHeight="false" outlineLevel="0" collapsed="false">
      <c r="A17" s="85" t="s">
        <v>300</v>
      </c>
      <c r="B17" s="79"/>
      <c r="C17" s="87" t="n">
        <f aca="false">'Revenue Allocation'!$AG15</f>
        <v>0</v>
      </c>
      <c r="D17" s="87" t="n">
        <v>0</v>
      </c>
      <c r="E17" s="93"/>
      <c r="F17" s="87" t="n">
        <v>0</v>
      </c>
      <c r="G17" s="93"/>
      <c r="H17" s="87" t="n">
        <v>0</v>
      </c>
      <c r="I17" s="93"/>
      <c r="J17" s="87" t="n">
        <v>0</v>
      </c>
      <c r="K17" s="93"/>
      <c r="L17" s="87" t="n">
        <v>0</v>
      </c>
      <c r="M17" s="93"/>
      <c r="N17" s="93"/>
      <c r="O17" s="87" t="n">
        <v>0</v>
      </c>
      <c r="P17" s="93"/>
      <c r="Q17" s="87" t="n">
        <v>0</v>
      </c>
      <c r="R17" s="93"/>
      <c r="S17" s="87" t="n">
        <v>0</v>
      </c>
      <c r="T17" s="93"/>
      <c r="U17" s="87" t="n">
        <v>0</v>
      </c>
      <c r="V17" s="93"/>
      <c r="W17" s="87" t="n">
        <v>0</v>
      </c>
      <c r="X17" s="93"/>
      <c r="Z17" s="89" t="n">
        <f aca="false">'Revenue Allocation'!$AC15</f>
        <v>0</v>
      </c>
    </row>
    <row r="18" customFormat="false" ht="12.75" hidden="false" customHeight="false" outlineLevel="0" collapsed="false">
      <c r="A18" s="94" t="s">
        <v>301</v>
      </c>
      <c r="B18" s="82" t="s">
        <v>231</v>
      </c>
      <c r="C18" s="87" t="n">
        <f aca="false">'Revenue Allocation'!$AG16</f>
        <v>13.0264690378331</v>
      </c>
      <c r="D18" s="87" t="n">
        <v>16.1005569996626</v>
      </c>
      <c r="E18" s="88" t="n">
        <f aca="false">(D18-$C18)/$C18</f>
        <v>0.235987814725643</v>
      </c>
      <c r="F18" s="87" t="n">
        <v>16.2845656908998</v>
      </c>
      <c r="G18" s="88" t="n">
        <f aca="false">(F18-$C18)/$C18</f>
        <v>0.250113568274269</v>
      </c>
      <c r="H18" s="87" t="n">
        <v>15.6917662349757</v>
      </c>
      <c r="I18" s="88" t="n">
        <f aca="false">(H18-$C18)/$C18</f>
        <v>0.204606266625414</v>
      </c>
      <c r="J18" s="87" t="n">
        <v>16.1247046921922</v>
      </c>
      <c r="K18" s="88" t="n">
        <f aca="false">(J18-$C18)/$C18</f>
        <v>0.237841555172075</v>
      </c>
      <c r="L18" s="87" t="n">
        <v>16.7039643594386</v>
      </c>
      <c r="M18" s="88" t="n">
        <f aca="false">(L18-$C18)/$C18</f>
        <v>0.282309450928328</v>
      </c>
      <c r="N18" s="88"/>
      <c r="O18" s="87" t="n">
        <v>15.5664413610148</v>
      </c>
      <c r="P18" s="88" t="n">
        <f aca="false">(O18-$C18)/$C18</f>
        <v>0.194985480394175</v>
      </c>
      <c r="Q18" s="87" t="n">
        <v>16.1578526842452</v>
      </c>
      <c r="R18" s="88" t="n">
        <f aca="false">(Q18-$C18)/$C18</f>
        <v>0.24038621957474</v>
      </c>
      <c r="S18" s="87" t="n">
        <v>14.2525714267075</v>
      </c>
      <c r="T18" s="88" t="n">
        <f aca="false">(S18-$C18)/$C18</f>
        <v>0.0941239245503411</v>
      </c>
      <c r="U18" s="87" t="n">
        <v>15.6440530145508</v>
      </c>
      <c r="V18" s="88" t="n">
        <f aca="false">(U18-$C18)/$C18</f>
        <v>0.200943476633257</v>
      </c>
      <c r="W18" s="87" t="n">
        <v>17.5058168475348</v>
      </c>
      <c r="X18" s="88" t="n">
        <f aca="false">(W18-$C18)/$C18</f>
        <v>0.343865079377395</v>
      </c>
      <c r="Z18" s="89" t="n">
        <f aca="false">'Revenue Allocation'!$AC16</f>
        <v>16.8503783071891</v>
      </c>
    </row>
    <row r="19" customFormat="false" ht="12.75" hidden="false" customHeight="false" outlineLevel="0" collapsed="false">
      <c r="A19" s="94" t="s">
        <v>302</v>
      </c>
      <c r="B19" s="82" t="s">
        <v>231</v>
      </c>
      <c r="C19" s="87" t="n">
        <f aca="false">'Revenue Allocation'!$AG17</f>
        <v>9.90347284025739</v>
      </c>
      <c r="D19" s="87" t="n">
        <v>12.9790634928479</v>
      </c>
      <c r="E19" s="88" t="n">
        <f aca="false">(D19-$C19)/$C19</f>
        <v>0.310556781666352</v>
      </c>
      <c r="F19" s="87" t="n">
        <v>13.0106208765578</v>
      </c>
      <c r="G19" s="88" t="n">
        <f aca="false">(F19-$C19)/$C19</f>
        <v>0.31374327838513</v>
      </c>
      <c r="H19" s="87" t="n">
        <v>10.7327641049895</v>
      </c>
      <c r="I19" s="88" t="n">
        <f aca="false">(H19-$C19)/$C19</f>
        <v>0.0837374200049374</v>
      </c>
      <c r="J19" s="87" t="n">
        <v>13.003222989371</v>
      </c>
      <c r="K19" s="88" t="n">
        <f aca="false">(J19-$C19)/$C19</f>
        <v>0.312996279094463</v>
      </c>
      <c r="L19" s="87" t="n">
        <v>12.6207625678465</v>
      </c>
      <c r="M19" s="88" t="n">
        <f aca="false">(L19-$C19)/$C19</f>
        <v>0.274377460454411</v>
      </c>
      <c r="N19" s="88"/>
      <c r="O19" s="87" t="n">
        <v>13.1597879629959</v>
      </c>
      <c r="P19" s="88" t="n">
        <f aca="false">(O19-$C19)/$C19</f>
        <v>0.328805377190683</v>
      </c>
      <c r="Q19" s="87" t="n">
        <v>13.2612146615509</v>
      </c>
      <c r="R19" s="88" t="n">
        <f aca="false">(Q19-$C19)/$C19</f>
        <v>0.339046905611164</v>
      </c>
      <c r="S19" s="87" t="n">
        <v>5.94009152141762</v>
      </c>
      <c r="T19" s="88" t="n">
        <f aca="false">(S19-$C19)/$C19</f>
        <v>-0.400201160014163</v>
      </c>
      <c r="U19" s="87" t="n">
        <v>13.2374375550411</v>
      </c>
      <c r="V19" s="88" t="n">
        <f aca="false">(U19-$C19)/$C19</f>
        <v>0.33664601989226</v>
      </c>
      <c r="W19" s="87" t="n">
        <v>12.0081944010562</v>
      </c>
      <c r="X19" s="88" t="n">
        <f aca="false">(W19-$C19)/$C19</f>
        <v>0.212523585892328</v>
      </c>
      <c r="Z19" s="89" t="n">
        <f aca="false">'Revenue Allocation'!$AC17</f>
        <v>13.7292513317051</v>
      </c>
    </row>
    <row r="20" customFormat="false" ht="12.75" hidden="false" customHeight="false" outlineLevel="0" collapsed="false">
      <c r="A20" s="94" t="s">
        <v>303</v>
      </c>
      <c r="B20" s="82" t="s">
        <v>231</v>
      </c>
      <c r="C20" s="87" t="n">
        <f aca="false">'Revenue Allocation'!$AG18</f>
        <v>29.5573283726143</v>
      </c>
      <c r="D20" s="87" t="n">
        <v>32.6338064681649</v>
      </c>
      <c r="E20" s="88" t="n">
        <f aca="false">(D20-$C20)/$C20</f>
        <v>0.104085120846071</v>
      </c>
      <c r="F20" s="87" t="n">
        <v>32.8179582279751</v>
      </c>
      <c r="G20" s="88" t="n">
        <f aca="false">(F20-$C20)/$C20</f>
        <v>0.110315445775601</v>
      </c>
      <c r="H20" s="87" t="n">
        <v>32.9063248405704</v>
      </c>
      <c r="I20" s="88" t="n">
        <f aca="false">(H20-$C20)/$C20</f>
        <v>0.113305114242296</v>
      </c>
      <c r="J20" s="87" t="n">
        <v>32.6579729357637</v>
      </c>
      <c r="K20" s="88" t="n">
        <f aca="false">(J20-$C20)/$C20</f>
        <v>0.104902734241103</v>
      </c>
      <c r="L20" s="87" t="n">
        <v>33.2376829831167</v>
      </c>
      <c r="M20" s="88" t="n">
        <f aca="false">(L20-$C20)/$C20</f>
        <v>0.124515807521776</v>
      </c>
      <c r="N20" s="88"/>
      <c r="O20" s="87" t="n">
        <v>34.181849438977</v>
      </c>
      <c r="P20" s="88" t="n">
        <f aca="false">(O20-$C20)/$C20</f>
        <v>0.156459373055091</v>
      </c>
      <c r="Q20" s="87" t="n">
        <v>34.7737205903464</v>
      </c>
      <c r="R20" s="88" t="n">
        <f aca="false">(Q20-$C20)/$C20</f>
        <v>0.176483887581843</v>
      </c>
      <c r="S20" s="87" t="n">
        <v>35.0577344319374</v>
      </c>
      <c r="T20" s="88" t="n">
        <f aca="false">(S20-$C20)/$C20</f>
        <v>0.186092802095717</v>
      </c>
      <c r="U20" s="87" t="n">
        <v>34.2595214363393</v>
      </c>
      <c r="V20" s="88" t="n">
        <f aca="false">(U20-$C20)/$C20</f>
        <v>0.159087215341212</v>
      </c>
      <c r="W20" s="87" t="n">
        <v>36.1227328090727</v>
      </c>
      <c r="X20" s="88" t="n">
        <f aca="false">(W20-$C20)/$C20</f>
        <v>0.222124420505523</v>
      </c>
      <c r="Z20" s="89" t="n">
        <f aca="false">'Revenue Allocation'!$AC18</f>
        <v>33.3842107691562</v>
      </c>
    </row>
    <row r="21" customFormat="false" ht="12.75" hidden="false" customHeight="false" outlineLevel="0" collapsed="false">
      <c r="A21" s="94" t="s">
        <v>304</v>
      </c>
      <c r="B21" s="82" t="s">
        <v>231</v>
      </c>
      <c r="C21" s="90" t="n">
        <f aca="false">'Revenue Allocation'!$AG19</f>
        <v>12.0196797592261</v>
      </c>
      <c r="D21" s="90" t="n">
        <v>15.0961578547767</v>
      </c>
      <c r="E21" s="91" t="n">
        <f aca="false">(D21-$C21)/$C21</f>
        <v>0.255953416162282</v>
      </c>
      <c r="F21" s="90" t="n">
        <v>14.9688791652388</v>
      </c>
      <c r="G21" s="91" t="n">
        <f aca="false">(F21-$C21)/$C21</f>
        <v>0.245364224762218</v>
      </c>
      <c r="H21" s="90" t="n">
        <v>14.7690557781541</v>
      </c>
      <c r="I21" s="91" t="n">
        <f aca="false">(H21-$C21)/$C21</f>
        <v>0.228739539987961</v>
      </c>
      <c r="J21" s="90" t="n">
        <v>15.1203243223755</v>
      </c>
      <c r="K21" s="91" t="n">
        <f aca="false">(J21-$C21)/$C21</f>
        <v>0.257963991159529</v>
      </c>
      <c r="L21" s="90" t="n">
        <v>13.7346416802572</v>
      </c>
      <c r="M21" s="91" t="n">
        <f aca="false">(L21-$C21)/$C21</f>
        <v>0.142679501898932</v>
      </c>
      <c r="N21" s="91"/>
      <c r="O21" s="90" t="n">
        <v>15.8621394739217</v>
      </c>
      <c r="P21" s="91" t="n">
        <f aca="false">(O21-$C21)/$C21</f>
        <v>0.319680706280563</v>
      </c>
      <c r="Q21" s="90" t="n">
        <v>15.4530606543696</v>
      </c>
      <c r="R21" s="91" t="n">
        <f aca="false">(Q21-$C21)/$C21</f>
        <v>0.28564661987006</v>
      </c>
      <c r="S21" s="90" t="n">
        <v>14.8108202635842</v>
      </c>
      <c r="T21" s="91" t="n">
        <f aca="false">(S21-$C21)/$C21</f>
        <v>0.232214215375886</v>
      </c>
      <c r="U21" s="90" t="n">
        <v>15.939811471284</v>
      </c>
      <c r="V21" s="91" t="n">
        <f aca="false">(U21-$C21)/$C21</f>
        <v>0.326142775064275</v>
      </c>
      <c r="W21" s="90" t="n">
        <v>11.4861718119701</v>
      </c>
      <c r="X21" s="91" t="n">
        <f aca="false">(W21-$C21)/$C21</f>
        <v>-0.0443862031221321</v>
      </c>
      <c r="Z21" s="89" t="n">
        <f aca="false">'Revenue Allocation'!$AC19</f>
        <v>15.846562155768</v>
      </c>
    </row>
    <row r="22" customFormat="false" ht="12.75" hidden="false" customHeight="false" outlineLevel="0" collapsed="false">
      <c r="A22" s="85" t="s">
        <v>305</v>
      </c>
      <c r="B22" s="79"/>
      <c r="C22" s="87" t="n">
        <f aca="false">'Revenue Allocation'!$AG20</f>
        <v>12.2437970945264</v>
      </c>
      <c r="D22" s="87" t="n">
        <v>15.318311399635</v>
      </c>
      <c r="E22" s="88" t="n">
        <f aca="false">(D22-$C22)/$C22</f>
        <v>0.251107910509488</v>
      </c>
      <c r="F22" s="87" t="n">
        <v>15.4600055333298</v>
      </c>
      <c r="G22" s="88" t="n">
        <f aca="false">(F22-$C22)/$C22</f>
        <v>0.262680638528485</v>
      </c>
      <c r="H22" s="87" t="n">
        <v>14.4577350362351</v>
      </c>
      <c r="I22" s="88" t="n">
        <f aca="false">(H22-$C22)/$C22</f>
        <v>0.180821188444756</v>
      </c>
      <c r="J22" s="87" t="n">
        <v>15.3424623210194</v>
      </c>
      <c r="K22" s="88" t="n">
        <f aca="false">(J22-$C22)/$C22</f>
        <v>0.253080413091646</v>
      </c>
      <c r="L22" s="87" t="n">
        <v>15.654766502069</v>
      </c>
      <c r="M22" s="88" t="n">
        <f aca="false">(L22-$C22)/$C22</f>
        <v>0.27858754773611</v>
      </c>
      <c r="N22" s="88"/>
      <c r="O22" s="87" t="n">
        <v>14.9805338564444</v>
      </c>
      <c r="P22" s="88" t="n">
        <f aca="false">(O22-$C22)/$C22</f>
        <v>0.223520264243967</v>
      </c>
      <c r="Q22" s="87" t="n">
        <v>15.4359444924255</v>
      </c>
      <c r="R22" s="88" t="n">
        <f aca="false">(Q22-$C22)/$C22</f>
        <v>0.26071547684551</v>
      </c>
      <c r="S22" s="87" t="n">
        <v>12.2146068646428</v>
      </c>
      <c r="T22" s="88" t="n">
        <f aca="false">(S22-$C22)/$C22</f>
        <v>-0.00238408311230885</v>
      </c>
      <c r="U22" s="87" t="n">
        <v>15.0581558876492</v>
      </c>
      <c r="V22" s="88" t="n">
        <f aca="false">(U22-$C22)/$C22</f>
        <v>0.229859966756636</v>
      </c>
      <c r="W22" s="87" t="n">
        <v>16.0619140673473</v>
      </c>
      <c r="X22" s="88" t="n">
        <f aca="false">(W22-$C22)/$C22</f>
        <v>0.311840921843424</v>
      </c>
      <c r="Z22" s="89" t="n">
        <f aca="false">'Revenue Allocation'!$AC20</f>
        <v>16.0682128908054</v>
      </c>
    </row>
    <row r="23" customFormat="false" ht="12.75" hidden="false" customHeight="false" outlineLevel="0" collapsed="false">
      <c r="A23" s="92"/>
      <c r="B23" s="79"/>
      <c r="C23" s="87" t="n">
        <f aca="false">'Revenue Allocation'!$AG21</f>
        <v>0</v>
      </c>
      <c r="D23" s="87" t="n">
        <v>0</v>
      </c>
      <c r="E23" s="88"/>
      <c r="F23" s="87" t="n">
        <v>0</v>
      </c>
      <c r="G23" s="88"/>
      <c r="H23" s="87" t="n">
        <v>0</v>
      </c>
      <c r="I23" s="88"/>
      <c r="J23" s="87" t="n">
        <v>0</v>
      </c>
      <c r="K23" s="88"/>
      <c r="L23" s="87" t="n">
        <v>0</v>
      </c>
      <c r="M23" s="88"/>
      <c r="N23" s="88"/>
      <c r="O23" s="87" t="n">
        <v>0</v>
      </c>
      <c r="P23" s="88"/>
      <c r="Q23" s="87" t="n">
        <v>0</v>
      </c>
      <c r="R23" s="88"/>
      <c r="S23" s="87" t="n">
        <v>0</v>
      </c>
      <c r="T23" s="88"/>
      <c r="U23" s="87" t="n">
        <v>0</v>
      </c>
      <c r="V23" s="88"/>
      <c r="W23" s="87" t="n">
        <v>0</v>
      </c>
      <c r="X23" s="88"/>
      <c r="Z23" s="89" t="n">
        <f aca="false">'Revenue Allocation'!$AC21</f>
        <v>0</v>
      </c>
    </row>
    <row r="24" customFormat="false" ht="12.75" hidden="false" customHeight="false" outlineLevel="0" collapsed="false">
      <c r="A24" s="85" t="s">
        <v>306</v>
      </c>
      <c r="B24" s="79"/>
      <c r="C24" s="87" t="n">
        <f aca="false">'Revenue Allocation'!$AG22</f>
        <v>0</v>
      </c>
      <c r="D24" s="87" t="n">
        <v>0</v>
      </c>
      <c r="E24" s="93"/>
      <c r="F24" s="87" t="n">
        <v>0</v>
      </c>
      <c r="G24" s="93"/>
      <c r="H24" s="87" t="n">
        <v>0</v>
      </c>
      <c r="I24" s="93"/>
      <c r="J24" s="87" t="n">
        <v>0</v>
      </c>
      <c r="K24" s="93"/>
      <c r="L24" s="87" t="n">
        <v>0</v>
      </c>
      <c r="M24" s="93"/>
      <c r="N24" s="93"/>
      <c r="O24" s="87" t="n">
        <v>0</v>
      </c>
      <c r="P24" s="93"/>
      <c r="Q24" s="87" t="n">
        <v>0</v>
      </c>
      <c r="R24" s="93"/>
      <c r="S24" s="87" t="n">
        <v>0</v>
      </c>
      <c r="T24" s="93"/>
      <c r="U24" s="87" t="n">
        <v>0</v>
      </c>
      <c r="V24" s="93"/>
      <c r="W24" s="87" t="n">
        <v>0</v>
      </c>
      <c r="X24" s="93"/>
      <c r="Z24" s="89" t="n">
        <f aca="false">'Revenue Allocation'!$AC22</f>
        <v>0</v>
      </c>
    </row>
    <row r="25" customFormat="false" ht="12.75" hidden="false" customHeight="false" outlineLevel="0" collapsed="false">
      <c r="A25" s="94" t="s">
        <v>307</v>
      </c>
      <c r="B25" s="82" t="s">
        <v>234</v>
      </c>
      <c r="C25" s="87" t="n">
        <f aca="false">'Revenue Allocation'!$AG23</f>
        <v>10.3560223192953</v>
      </c>
      <c r="D25" s="87" t="n">
        <v>13.43436162814</v>
      </c>
      <c r="E25" s="88" t="n">
        <f aca="false">(D25-$C25)/$C25</f>
        <v>0.297251127308704</v>
      </c>
      <c r="F25" s="87" t="n">
        <v>13.3164467826319</v>
      </c>
      <c r="G25" s="88" t="n">
        <f aca="false">(F25-$C25)/$C25</f>
        <v>0.285865013811399</v>
      </c>
      <c r="H25" s="87" t="n">
        <v>13.4916154608795</v>
      </c>
      <c r="I25" s="88" t="n">
        <f aca="false">(H25-$C25)/$C25</f>
        <v>0.302779681706738</v>
      </c>
      <c r="J25" s="87" t="n">
        <v>13.3870742383197</v>
      </c>
      <c r="K25" s="88" t="n">
        <f aca="false">(J25-$C25)/$C25</f>
        <v>0.292684954277951</v>
      </c>
      <c r="L25" s="87" t="n">
        <v>13.5294408585031</v>
      </c>
      <c r="M25" s="88" t="n">
        <f aca="false">(L25-$C25)/$C25</f>
        <v>0.306432184227243</v>
      </c>
      <c r="N25" s="88"/>
      <c r="O25" s="87" t="n">
        <v>12.8255826872214</v>
      </c>
      <c r="P25" s="88" t="n">
        <f aca="false">(O25-$C25)/$C25</f>
        <v>0.238466111001396</v>
      </c>
      <c r="Q25" s="87" t="n">
        <v>12.4465996384231</v>
      </c>
      <c r="R25" s="88" t="n">
        <f aca="false">(Q25-$C25)/$C25</f>
        <v>0.201870684966813</v>
      </c>
      <c r="S25" s="87" t="n">
        <v>13.0095988048993</v>
      </c>
      <c r="T25" s="88" t="n">
        <f aca="false">(S25-$C25)/$C25</f>
        <v>0.256235106857558</v>
      </c>
      <c r="U25" s="87" t="n">
        <v>12.6735991173277</v>
      </c>
      <c r="V25" s="88" t="n">
        <f aca="false">(U25-$C25)/$C25</f>
        <v>0.223790247507886</v>
      </c>
      <c r="W25" s="87" t="n">
        <v>13.1311711518895</v>
      </c>
      <c r="X25" s="88" t="n">
        <f aca="false">(W25-$C25)/$C25</f>
        <v>0.26797439663909</v>
      </c>
      <c r="Z25" s="89" t="n">
        <f aca="false">'Revenue Allocation'!$AC23</f>
        <v>14.1829047158372</v>
      </c>
    </row>
    <row r="26" customFormat="false" ht="12.75" hidden="false" customHeight="false" outlineLevel="0" collapsed="false">
      <c r="A26" s="92" t="s">
        <v>307</v>
      </c>
      <c r="B26" s="82" t="s">
        <v>231</v>
      </c>
      <c r="C26" s="90" t="n">
        <f aca="false">'Revenue Allocation'!$AG24</f>
        <v>10.8960624970567</v>
      </c>
      <c r="D26" s="90" t="n">
        <v>13.9725405926073</v>
      </c>
      <c r="E26" s="91" t="n">
        <f aca="false">(D26-$C26)/$C26</f>
        <v>0.282347691781465</v>
      </c>
      <c r="F26" s="90" t="n">
        <v>14.0048895705744</v>
      </c>
      <c r="G26" s="91" t="n">
        <f aca="false">(F26-$C26)/$C26</f>
        <v>0.285316560395782</v>
      </c>
      <c r="H26" s="90" t="n">
        <v>14.1939749667114</v>
      </c>
      <c r="I26" s="91" t="n">
        <f aca="false">(H26-$C26)/$C26</f>
        <v>0.30267011322168</v>
      </c>
      <c r="J26" s="90" t="n">
        <v>13.9967070602061</v>
      </c>
      <c r="K26" s="91" t="n">
        <f aca="false">(J26-$C26)/$C26</f>
        <v>0.284565600095165</v>
      </c>
      <c r="L26" s="90" t="n">
        <v>14.0675988430496</v>
      </c>
      <c r="M26" s="91" t="n">
        <f aca="false">(L26-$C26)/$C26</f>
        <v>0.291071783669523</v>
      </c>
      <c r="N26" s="91"/>
      <c r="O26" s="90" t="n">
        <v>13.2891235119332</v>
      </c>
      <c r="P26" s="91" t="n">
        <f aca="false">(O26-$C26)/$C26</f>
        <v>0.219626219611245</v>
      </c>
      <c r="Q26" s="90" t="n">
        <v>13.3930944262202</v>
      </c>
      <c r="R26" s="91" t="n">
        <f aca="false">(Q26-$C26)/$C26</f>
        <v>0.229168282564276</v>
      </c>
      <c r="S26" s="90" t="n">
        <v>14.0008224828734</v>
      </c>
      <c r="T26" s="91" t="n">
        <f aca="false">(S26-$C26)/$C26</f>
        <v>0.28494329824699</v>
      </c>
      <c r="U26" s="90" t="n">
        <v>13.3667955092955</v>
      </c>
      <c r="V26" s="91" t="n">
        <f aca="false">(U26-$C26)/$C26</f>
        <v>0.226754666000324</v>
      </c>
      <c r="W26" s="90" t="n">
        <v>13.5946445462934</v>
      </c>
      <c r="X26" s="91" t="n">
        <f aca="false">(W26-$C26)/$C26</f>
        <v>0.247665801289743</v>
      </c>
      <c r="Z26" s="89" t="n">
        <f aca="false">'Revenue Allocation'!$AC24</f>
        <v>14.7229448935986</v>
      </c>
    </row>
    <row r="27" customFormat="false" ht="12.75" hidden="false" customHeight="false" outlineLevel="0" collapsed="false">
      <c r="A27" s="95" t="s">
        <v>308</v>
      </c>
      <c r="B27" s="84"/>
      <c r="C27" s="87" t="n">
        <f aca="false">'Revenue Allocation'!$AG25</f>
        <v>10.892282470785</v>
      </c>
      <c r="D27" s="87" t="n">
        <v>13.9687744171912</v>
      </c>
      <c r="E27" s="88" t="n">
        <f aca="false">(D27-$C27)/$C27</f>
        <v>0.282446948530575</v>
      </c>
      <c r="F27" s="87" t="n">
        <v>14.0000718497921</v>
      </c>
      <c r="G27" s="88" t="n">
        <f aca="false">(F27-$C27)/$C27</f>
        <v>0.285320307047008</v>
      </c>
      <c r="H27" s="87" t="n">
        <v>14.1890598567891</v>
      </c>
      <c r="I27" s="88" t="n">
        <f aca="false">(H27-$C27)/$C27</f>
        <v>0.302670941085736</v>
      </c>
      <c r="J27" s="87" t="n">
        <v>13.9924408511083</v>
      </c>
      <c r="K27" s="88" t="n">
        <f aca="false">(J27-$C27)/$C27</f>
        <v>0.284619719387427</v>
      </c>
      <c r="L27" s="87" t="n">
        <v>14.0638328144363</v>
      </c>
      <c r="M27" s="88" t="n">
        <f aca="false">(L27-$C27)/$C27</f>
        <v>0.291174081479981</v>
      </c>
      <c r="N27" s="88"/>
      <c r="O27" s="87" t="n">
        <v>13.2858796538899</v>
      </c>
      <c r="P27" s="88" t="n">
        <f aca="false">(O27-$C27)/$C27</f>
        <v>0.219751662658856</v>
      </c>
      <c r="Q27" s="87" t="n">
        <v>13.3864708591406</v>
      </c>
      <c r="R27" s="88" t="n">
        <f aca="false">(Q27-$C27)/$C27</f>
        <v>0.228986752321705</v>
      </c>
      <c r="S27" s="87" t="n">
        <v>13.9938859031871</v>
      </c>
      <c r="T27" s="88" t="n">
        <f aca="false">(S27-$C27)/$C27</f>
        <v>0.284752386905239</v>
      </c>
      <c r="U27" s="87" t="n">
        <v>13.3619445229184</v>
      </c>
      <c r="V27" s="88" t="n">
        <f aca="false">(U27-$C27)/$C27</f>
        <v>0.226735035448952</v>
      </c>
      <c r="W27" s="87" t="n">
        <v>13.5914011600798</v>
      </c>
      <c r="X27" s="88" t="n">
        <f aca="false">(W27-$C27)/$C27</f>
        <v>0.247801018430653</v>
      </c>
      <c r="Z27" s="89" t="n">
        <f aca="false">'Revenue Allocation'!$AC25</f>
        <v>14.7191648673268</v>
      </c>
    </row>
    <row r="28" customFormat="false" ht="12.75" hidden="false" customHeight="false" outlineLevel="0" collapsed="false">
      <c r="A28" s="92"/>
      <c r="B28" s="79"/>
      <c r="C28" s="87" t="n">
        <f aca="false">'Revenue Allocation'!$AG26</f>
        <v>0</v>
      </c>
      <c r="D28" s="87" t="n">
        <v>0</v>
      </c>
      <c r="E28" s="93"/>
      <c r="F28" s="87" t="n">
        <v>0</v>
      </c>
      <c r="G28" s="93"/>
      <c r="H28" s="87" t="n">
        <v>0</v>
      </c>
      <c r="I28" s="93"/>
      <c r="J28" s="87" t="n">
        <v>0</v>
      </c>
      <c r="K28" s="93"/>
      <c r="L28" s="87" t="n">
        <v>0</v>
      </c>
      <c r="M28" s="93"/>
      <c r="N28" s="93"/>
      <c r="O28" s="87" t="n">
        <v>0</v>
      </c>
      <c r="P28" s="93"/>
      <c r="Q28" s="87" t="n">
        <v>0</v>
      </c>
      <c r="R28" s="93"/>
      <c r="S28" s="87" t="n">
        <v>0</v>
      </c>
      <c r="T28" s="93"/>
      <c r="U28" s="87" t="n">
        <v>0</v>
      </c>
      <c r="V28" s="93"/>
      <c r="W28" s="87" t="n">
        <v>0</v>
      </c>
      <c r="X28" s="93"/>
      <c r="Z28" s="89" t="n">
        <f aca="false">'Revenue Allocation'!$AC26</f>
        <v>0</v>
      </c>
    </row>
    <row r="29" customFormat="false" ht="12.75" hidden="false" customHeight="false" outlineLevel="0" collapsed="false">
      <c r="A29" s="96" t="s">
        <v>309</v>
      </c>
      <c r="B29" s="79"/>
      <c r="C29" s="87" t="n">
        <f aca="false">'Revenue Allocation'!$AG27</f>
        <v>0</v>
      </c>
      <c r="D29" s="87" t="n">
        <v>0</v>
      </c>
      <c r="E29" s="93"/>
      <c r="F29" s="87" t="n">
        <v>0</v>
      </c>
      <c r="G29" s="93"/>
      <c r="H29" s="87" t="n">
        <v>0</v>
      </c>
      <c r="I29" s="93"/>
      <c r="J29" s="87" t="n">
        <v>0</v>
      </c>
      <c r="K29" s="93"/>
      <c r="L29" s="87" t="n">
        <v>0</v>
      </c>
      <c r="M29" s="93"/>
      <c r="N29" s="93"/>
      <c r="O29" s="87" t="n">
        <v>0</v>
      </c>
      <c r="P29" s="93"/>
      <c r="Q29" s="87" t="n">
        <v>0</v>
      </c>
      <c r="R29" s="93"/>
      <c r="S29" s="87" t="n">
        <v>0</v>
      </c>
      <c r="T29" s="93"/>
      <c r="U29" s="87" t="n">
        <v>0</v>
      </c>
      <c r="V29" s="93"/>
      <c r="W29" s="87" t="n">
        <v>0</v>
      </c>
      <c r="X29" s="93"/>
      <c r="Z29" s="89" t="n">
        <f aca="false">'Revenue Allocation'!$AC27</f>
        <v>0</v>
      </c>
    </row>
    <row r="30" customFormat="false" ht="12.75" hidden="false" customHeight="false" outlineLevel="0" collapsed="false">
      <c r="A30" s="94" t="s">
        <v>310</v>
      </c>
      <c r="B30" s="82" t="s">
        <v>236</v>
      </c>
      <c r="C30" s="87" t="n">
        <f aca="false">'Revenue Allocation'!$AG28</f>
        <v>9.49906058521411</v>
      </c>
      <c r="D30" s="87" t="n">
        <v>12.5755386807647</v>
      </c>
      <c r="E30" s="88" t="n">
        <f aca="false">(D30-$C30)/$C30</f>
        <v>0.323871825845525</v>
      </c>
      <c r="F30" s="87" t="n">
        <v>12.3629687375108</v>
      </c>
      <c r="G30" s="88" t="n">
        <f aca="false">(F30-$C30)/$C30</f>
        <v>0.301493829479786</v>
      </c>
      <c r="H30" s="87" t="n">
        <v>12.3301710014244</v>
      </c>
      <c r="I30" s="88" t="n">
        <f aca="false">(H30-$C30)/$C30</f>
        <v>0.298041094781217</v>
      </c>
      <c r="J30" s="87" t="n">
        <v>12.413952248267</v>
      </c>
      <c r="K30" s="88" t="n">
        <f aca="false">(J30-$C30)/$C30</f>
        <v>0.306861045563819</v>
      </c>
      <c r="L30" s="87" t="n">
        <v>11.8495973533606</v>
      </c>
      <c r="M30" s="88" t="n">
        <f aca="false">(L30-$C30)/$C30</f>
        <v>0.247449392185717</v>
      </c>
      <c r="N30" s="88"/>
      <c r="O30" s="87" t="n">
        <v>11.6658898011988</v>
      </c>
      <c r="P30" s="88" t="n">
        <f aca="false">(O30-$C30)/$C30</f>
        <v>0.228109842709866</v>
      </c>
      <c r="Q30" s="87" t="n">
        <v>10.9826814669974</v>
      </c>
      <c r="R30" s="88" t="n">
        <f aca="false">(Q30-$C30)/$C30</f>
        <v>0.156186063713776</v>
      </c>
      <c r="S30" s="87" t="n">
        <v>10.8772682260934</v>
      </c>
      <c r="T30" s="88" t="n">
        <f aca="false">(S30-$C30)/$C30</f>
        <v>0.14508883573441</v>
      </c>
      <c r="U30" s="87" t="n">
        <v>11.1465445180114</v>
      </c>
      <c r="V30" s="88" t="n">
        <f aca="false">(U30-$C30)/$C30</f>
        <v>0.173436511749565</v>
      </c>
      <c r="W30" s="87" t="n">
        <v>9.33268522188828</v>
      </c>
      <c r="X30" s="88" t="n">
        <f aca="false">(W30-$C30)/$C30</f>
        <v>-0.0175149281166605</v>
      </c>
      <c r="Z30" s="89" t="n">
        <f aca="false">'Revenue Allocation'!$AC28</f>
        <v>13.325942981756</v>
      </c>
    </row>
    <row r="31" customFormat="false" ht="12.75" hidden="false" customHeight="false" outlineLevel="0" collapsed="false">
      <c r="A31" s="94" t="s">
        <v>311</v>
      </c>
      <c r="B31" s="82" t="s">
        <v>236</v>
      </c>
      <c r="C31" s="87" t="n">
        <f aca="false">'Revenue Allocation'!$AG29</f>
        <v>9.2242198053296</v>
      </c>
      <c r="D31" s="87" t="n">
        <v>12.3006979008802</v>
      </c>
      <c r="E31" s="88" t="n">
        <f aca="false">(D31-$C31)/$C31</f>
        <v>0.333521767745931</v>
      </c>
      <c r="F31" s="87" t="n">
        <v>12.0396136665218</v>
      </c>
      <c r="G31" s="88" t="n">
        <f aca="false">(F31-$C31)/$C31</f>
        <v>0.305217559924747</v>
      </c>
      <c r="H31" s="87" t="n">
        <v>12.0518071871743</v>
      </c>
      <c r="I31" s="88" t="n">
        <f aca="false">(H31-$C31)/$C31</f>
        <v>0.306539462579911</v>
      </c>
      <c r="J31" s="87" t="n">
        <v>12.1391114683825</v>
      </c>
      <c r="K31" s="88" t="n">
        <f aca="false">(J31-$C31)/$C31</f>
        <v>0.316004141766948</v>
      </c>
      <c r="L31" s="87" t="n">
        <v>11.651722604523</v>
      </c>
      <c r="M31" s="88" t="n">
        <f aca="false">(L31-$C31)/$C31</f>
        <v>0.263166191875746</v>
      </c>
      <c r="N31" s="88"/>
      <c r="O31" s="87" t="n">
        <v>11.5393124921612</v>
      </c>
      <c r="P31" s="88" t="n">
        <f aca="false">(O31-$C31)/$C31</f>
        <v>0.250979783189249</v>
      </c>
      <c r="Q31" s="87" t="n">
        <v>10.7001772780675</v>
      </c>
      <c r="R31" s="88" t="n">
        <f aca="false">(Q31-$C31)/$C31</f>
        <v>0.160008922584989</v>
      </c>
      <c r="S31" s="87" t="n">
        <v>10.7393677431234</v>
      </c>
      <c r="T31" s="88" t="n">
        <f aca="false">(S31-$C31)/$C31</f>
        <v>0.164257570804894</v>
      </c>
      <c r="U31" s="87" t="n">
        <v>11.0199672089738</v>
      </c>
      <c r="V31" s="88" t="n">
        <f aca="false">(U31-$C31)/$C31</f>
        <v>0.194677429803514</v>
      </c>
      <c r="W31" s="87" t="n">
        <v>9.45347982750961</v>
      </c>
      <c r="X31" s="88" t="n">
        <f aca="false">(W31-$C31)/$C31</f>
        <v>0.0248541369371476</v>
      </c>
      <c r="Z31" s="89" t="n">
        <f aca="false">'Revenue Allocation'!$AC29</f>
        <v>13.0511022018715</v>
      </c>
    </row>
    <row r="32" customFormat="false" ht="12.75" hidden="false" customHeight="false" outlineLevel="0" collapsed="false">
      <c r="A32" s="94" t="s">
        <v>312</v>
      </c>
      <c r="B32" s="82" t="s">
        <v>236</v>
      </c>
      <c r="C32" s="87" t="n">
        <f aca="false">'Revenue Allocation'!$AG30</f>
        <v>0</v>
      </c>
      <c r="D32" s="87" t="n">
        <v>0</v>
      </c>
      <c r="E32" s="93"/>
      <c r="F32" s="87" t="n">
        <v>0</v>
      </c>
      <c r="G32" s="93"/>
      <c r="H32" s="87" t="n">
        <v>0</v>
      </c>
      <c r="I32" s="93"/>
      <c r="J32" s="87" t="n">
        <v>0</v>
      </c>
      <c r="K32" s="93"/>
      <c r="L32" s="87" t="n">
        <v>0</v>
      </c>
      <c r="M32" s="93"/>
      <c r="N32" s="93"/>
      <c r="O32" s="87" t="n">
        <v>0</v>
      </c>
      <c r="P32" s="93"/>
      <c r="Q32" s="87" t="n">
        <v>0</v>
      </c>
      <c r="R32" s="93"/>
      <c r="S32" s="87" t="n">
        <v>0</v>
      </c>
      <c r="T32" s="93"/>
      <c r="U32" s="87" t="n">
        <v>0</v>
      </c>
      <c r="V32" s="93"/>
      <c r="W32" s="87" t="n">
        <v>0</v>
      </c>
      <c r="X32" s="93"/>
      <c r="Z32" s="89" t="n">
        <f aca="false">'Revenue Allocation'!$AC30</f>
        <v>0</v>
      </c>
    </row>
    <row r="33" customFormat="false" ht="12.75" hidden="false" customHeight="false" outlineLevel="0" collapsed="false">
      <c r="A33" s="97" t="s">
        <v>313</v>
      </c>
      <c r="B33" s="98" t="s">
        <v>236</v>
      </c>
      <c r="C33" s="87" t="n">
        <f aca="false">'Revenue Allocation'!$AG31</f>
        <v>9.44488733021498</v>
      </c>
      <c r="D33" s="87" t="n">
        <v>12.5225197590876</v>
      </c>
      <c r="E33" s="88" t="n">
        <f aca="false">(D33-$C33)/$C33</f>
        <v>0.325851682637553</v>
      </c>
      <c r="F33" s="87" t="n">
        <v>12.3003667935959</v>
      </c>
      <c r="G33" s="88" t="n">
        <f aca="false">(F33-$C33)/$C33</f>
        <v>0.302330706926063</v>
      </c>
      <c r="H33" s="87" t="n">
        <v>12.2764349780357</v>
      </c>
      <c r="I33" s="88" t="n">
        <f aca="false">(H33-$C33)/$C33</f>
        <v>0.299796868805664</v>
      </c>
      <c r="J33" s="87" t="n">
        <v>12.3609184300833</v>
      </c>
      <c r="K33" s="88" t="n">
        <f aca="false">(J33-$C33)/$C33</f>
        <v>0.308741756033413</v>
      </c>
      <c r="L33" s="87" t="n">
        <v>11.8116835096165</v>
      </c>
      <c r="M33" s="88" t="n">
        <f aca="false">(L33-$C33)/$C33</f>
        <v>0.250590197283772</v>
      </c>
      <c r="N33" s="88"/>
      <c r="O33" s="87" t="n">
        <v>11.6420135970063</v>
      </c>
      <c r="P33" s="88" t="n">
        <f aca="false">(O33-$C33)/$C33</f>
        <v>0.232625990122991</v>
      </c>
      <c r="Q33" s="87" t="n">
        <v>10.9280050444883</v>
      </c>
      <c r="R33" s="88" t="n">
        <f aca="false">(Q33-$C33)/$C33</f>
        <v>0.157028629608819</v>
      </c>
      <c r="S33" s="87" t="n">
        <v>10.8510872282016</v>
      </c>
      <c r="T33" s="88" t="n">
        <f aca="false">(S33-$C33)/$C33</f>
        <v>0.148884772133606</v>
      </c>
      <c r="U33" s="87" t="n">
        <v>11.1226204358483</v>
      </c>
      <c r="V33" s="88" t="n">
        <f aca="false">(U33-$C33)/$C33</f>
        <v>0.177633998900777</v>
      </c>
      <c r="W33" s="87" t="n">
        <v>9.35735734477624</v>
      </c>
      <c r="X33" s="88" t="n">
        <f aca="false">(W33-$C33)/$C33</f>
        <v>-0.00926744622550707</v>
      </c>
      <c r="Z33" s="89" t="n">
        <f aca="false">'Revenue Allocation'!$AC31</f>
        <v>13.2717697267568</v>
      </c>
    </row>
    <row r="34" customFormat="false" ht="12.75" hidden="false" customHeight="false" outlineLevel="0" collapsed="false">
      <c r="A34" s="92"/>
      <c r="B34" s="79"/>
      <c r="C34" s="87" t="n">
        <f aca="false">'Revenue Allocation'!$AG32</f>
        <v>0</v>
      </c>
      <c r="D34" s="87" t="n">
        <v>0</v>
      </c>
      <c r="E34" s="93"/>
      <c r="F34" s="87" t="n">
        <v>0</v>
      </c>
      <c r="G34" s="93"/>
      <c r="H34" s="87" t="n">
        <v>0</v>
      </c>
      <c r="I34" s="93"/>
      <c r="J34" s="87" t="n">
        <v>0</v>
      </c>
      <c r="K34" s="93"/>
      <c r="L34" s="87" t="n">
        <v>0</v>
      </c>
      <c r="M34" s="93"/>
      <c r="N34" s="93"/>
      <c r="O34" s="87" t="n">
        <v>0</v>
      </c>
      <c r="P34" s="93"/>
      <c r="Q34" s="87" t="n">
        <v>0</v>
      </c>
      <c r="R34" s="93"/>
      <c r="S34" s="87" t="n">
        <v>0</v>
      </c>
      <c r="T34" s="93"/>
      <c r="U34" s="87" t="n">
        <v>0</v>
      </c>
      <c r="V34" s="93"/>
      <c r="W34" s="87" t="n">
        <v>0</v>
      </c>
      <c r="X34" s="93"/>
      <c r="Z34" s="89" t="n">
        <f aca="false">'Revenue Allocation'!$AC32</f>
        <v>0</v>
      </c>
    </row>
    <row r="35" customFormat="false" ht="12.75" hidden="false" customHeight="false" outlineLevel="0" collapsed="false">
      <c r="A35" s="94" t="s">
        <v>310</v>
      </c>
      <c r="B35" s="82" t="s">
        <v>234</v>
      </c>
      <c r="C35" s="87" t="n">
        <f aca="false">'Revenue Allocation'!$AG33</f>
        <v>8.79132332404667</v>
      </c>
      <c r="D35" s="87" t="n">
        <v>11.5513483326242</v>
      </c>
      <c r="E35" s="88" t="n">
        <f aca="false">(D35-$C35)/$C35</f>
        <v>0.313948754566693</v>
      </c>
      <c r="F35" s="87" t="n">
        <v>11.3982475204017</v>
      </c>
      <c r="G35" s="88" t="n">
        <f aca="false">(F35-$C35)/$C35</f>
        <v>0.296533764060794</v>
      </c>
      <c r="H35" s="87" t="n">
        <v>11.3679860581189</v>
      </c>
      <c r="I35" s="88" t="n">
        <f aca="false">(H35-$C35)/$C35</f>
        <v>0.29309156757144</v>
      </c>
      <c r="J35" s="87" t="n">
        <v>11.504071377109</v>
      </c>
      <c r="K35" s="88" t="n">
        <f aca="false">(J35-$C35)/$C35</f>
        <v>0.308571070937891</v>
      </c>
      <c r="L35" s="87" t="n">
        <v>10.8254070052202</v>
      </c>
      <c r="M35" s="88" t="n">
        <f aca="false">(L35-$C35)/$C35</f>
        <v>0.23137400436744</v>
      </c>
      <c r="N35" s="88"/>
      <c r="O35" s="87" t="n">
        <v>11.7255342039513</v>
      </c>
      <c r="P35" s="88" t="n">
        <f aca="false">(O35-$C35)/$C35</f>
        <v>0.333762139299182</v>
      </c>
      <c r="Q35" s="87" t="n">
        <v>11.2334620451017</v>
      </c>
      <c r="R35" s="88" t="n">
        <f aca="false">(Q35-$C35)/$C35</f>
        <v>0.277789660445673</v>
      </c>
      <c r="S35" s="87" t="n">
        <v>11.1362004900565</v>
      </c>
      <c r="T35" s="88" t="n">
        <f aca="false">(S35-$C35)/$C35</f>
        <v>0.266726302693928</v>
      </c>
      <c r="U35" s="87" t="n">
        <v>11.573584170333</v>
      </c>
      <c r="V35" s="88" t="n">
        <f aca="false">(U35-$C35)/$C35</f>
        <v>0.316478048154144</v>
      </c>
      <c r="W35" s="87" t="n">
        <v>9.39232962464081</v>
      </c>
      <c r="X35" s="88" t="n">
        <f aca="false">(W35-$C35)/$C35</f>
        <v>0.0683635760443736</v>
      </c>
      <c r="Z35" s="89" t="n">
        <f aca="false">'Revenue Allocation'!$AC33</f>
        <v>12.6182057205885</v>
      </c>
    </row>
    <row r="36" customFormat="false" ht="12.75" hidden="false" customHeight="false" outlineLevel="0" collapsed="false">
      <c r="A36" s="94" t="s">
        <v>311</v>
      </c>
      <c r="B36" s="82" t="s">
        <v>234</v>
      </c>
      <c r="C36" s="87" t="n">
        <f aca="false">'Revenue Allocation'!$AG34</f>
        <v>8.86470722022787</v>
      </c>
      <c r="D36" s="87" t="n">
        <v>11.9411853158066</v>
      </c>
      <c r="E36" s="88" t="n">
        <f aca="false">(D36-$C36)/$C36</f>
        <v>0.347047907973615</v>
      </c>
      <c r="F36" s="87" t="n">
        <v>11.7380052353453</v>
      </c>
      <c r="G36" s="88" t="n">
        <f aca="false">(F36-$C36)/$C36</f>
        <v>0.324127796184963</v>
      </c>
      <c r="H36" s="87" t="n">
        <v>11.7539477034973</v>
      </c>
      <c r="I36" s="88" t="n">
        <f aca="false">(H36-$C36)/$C36</f>
        <v>0.325926216342107</v>
      </c>
      <c r="J36" s="87" t="n">
        <v>11.8939083602909</v>
      </c>
      <c r="K36" s="88" t="n">
        <f aca="false">(J36-$C36)/$C36</f>
        <v>0.341714741932014</v>
      </c>
      <c r="L36" s="87" t="n">
        <v>11.2922100194435</v>
      </c>
      <c r="M36" s="88" t="n">
        <f aca="false">(L36-$C36)/$C36</f>
        <v>0.273839026931023</v>
      </c>
      <c r="N36" s="88"/>
      <c r="O36" s="87" t="n">
        <v>12.1540888091313</v>
      </c>
      <c r="P36" s="88" t="n">
        <f aca="false">(O36-$C36)/$C36</f>
        <v>0.371064887670238</v>
      </c>
      <c r="Q36" s="87" t="n">
        <v>11.5010598710321</v>
      </c>
      <c r="R36" s="88" t="n">
        <f aca="false">(Q36-$C36)/$C36</f>
        <v>0.297398727934123</v>
      </c>
      <c r="S36" s="87" t="n">
        <v>11.5522996039053</v>
      </c>
      <c r="T36" s="88" t="n">
        <f aca="false">(S36-$C36)/$C36</f>
        <v>0.303178922541831</v>
      </c>
      <c r="U36" s="87" t="n">
        <v>12.0021387755116</v>
      </c>
      <c r="V36" s="88" t="n">
        <f aca="false">(U36-$C36)/$C36</f>
        <v>0.353923877838239</v>
      </c>
      <c r="W36" s="87" t="n">
        <v>10.0682561444606</v>
      </c>
      <c r="X36" s="88" t="n">
        <f aca="false">(W36-$C36)/$C36</f>
        <v>0.135768604008312</v>
      </c>
      <c r="Z36" s="89" t="n">
        <f aca="false">'Revenue Allocation'!$AC34</f>
        <v>12.6915896168047</v>
      </c>
    </row>
    <row r="37" customFormat="false" ht="12.75" hidden="false" customHeight="false" outlineLevel="0" collapsed="false">
      <c r="A37" s="94" t="s">
        <v>312</v>
      </c>
      <c r="B37" s="82" t="s">
        <v>234</v>
      </c>
      <c r="C37" s="90" t="n">
        <f aca="false">'Revenue Allocation'!$AG35</f>
        <v>7.36857485417691</v>
      </c>
      <c r="D37" s="90" t="n">
        <v>10.4450529497275</v>
      </c>
      <c r="E37" s="91" t="n">
        <f aca="false">(D37-$C37)/$C37</f>
        <v>0.417513312470001</v>
      </c>
      <c r="F37" s="90" t="n">
        <v>10.2919521375049</v>
      </c>
      <c r="G37" s="91" t="n">
        <f aca="false">(F37-$C37)/$C37</f>
        <v>0.396735778787789</v>
      </c>
      <c r="H37" s="90" t="n">
        <v>10.2616906752221</v>
      </c>
      <c r="I37" s="91" t="n">
        <f aca="false">(H37-$C37)/$C37</f>
        <v>0.392628951771483</v>
      </c>
      <c r="J37" s="90" t="n">
        <v>10.3977759942122</v>
      </c>
      <c r="K37" s="91" t="n">
        <f aca="false">(J37-$C37)/$C37</f>
        <v>0.411097288143611</v>
      </c>
      <c r="L37" s="90" t="n">
        <v>9.71911162232344</v>
      </c>
      <c r="M37" s="91" t="n">
        <f aca="false">(L37-$C37)/$C37</f>
        <v>0.318994760135213</v>
      </c>
      <c r="N37" s="91"/>
      <c r="O37" s="90" t="n">
        <v>10.786637681632</v>
      </c>
      <c r="P37" s="91" t="n">
        <f aca="false">(O37-$C37)/$C37</f>
        <v>0.463870272759395</v>
      </c>
      <c r="Q37" s="90" t="n">
        <v>10.2945655227824</v>
      </c>
      <c r="R37" s="91" t="n">
        <f aca="false">(Q37-$C37)/$C37</f>
        <v>0.397090445101046</v>
      </c>
      <c r="S37" s="90" t="n">
        <v>10.1973039677372</v>
      </c>
      <c r="T37" s="91" t="n">
        <f aca="false">(S37-$C37)/$C37</f>
        <v>0.383890938144819</v>
      </c>
      <c r="U37" s="90" t="n">
        <v>10.6346876480136</v>
      </c>
      <c r="V37" s="91" t="n">
        <f aca="false">(U37-$C37)/$C37</f>
        <v>0.443248912913645</v>
      </c>
      <c r="W37" s="90" t="n">
        <v>8.45343310232146</v>
      </c>
      <c r="X37" s="91" t="n">
        <f aca="false">(W37-$C37)/$C37</f>
        <v>0.147227689154788</v>
      </c>
      <c r="Z37" s="89" t="n">
        <f aca="false">'Revenue Allocation'!$AC35</f>
        <v>11.1954572507188</v>
      </c>
    </row>
    <row r="38" customFormat="false" ht="12.75" hidden="false" customHeight="false" outlineLevel="0" collapsed="false">
      <c r="A38" s="97" t="s">
        <v>313</v>
      </c>
      <c r="B38" s="98" t="s">
        <v>234</v>
      </c>
      <c r="C38" s="87" t="n">
        <f aca="false">'Revenue Allocation'!$AG36</f>
        <v>8.7242728350981</v>
      </c>
      <c r="D38" s="87" t="n">
        <v>11.5456336948959</v>
      </c>
      <c r="E38" s="88" t="n">
        <f aca="false">(D38-$C38)/$C38</f>
        <v>0.323392093888598</v>
      </c>
      <c r="F38" s="87" t="n">
        <v>11.3855468159408</v>
      </c>
      <c r="G38" s="88" t="n">
        <f aca="false">(F38-$C38)/$C38</f>
        <v>0.305042498228199</v>
      </c>
      <c r="H38" s="87" t="n">
        <v>11.3617308100851</v>
      </c>
      <c r="I38" s="88" t="n">
        <f aca="false">(H38-$C38)/$C38</f>
        <v>0.302312642536396</v>
      </c>
      <c r="J38" s="87" t="n">
        <v>11.4983567393807</v>
      </c>
      <c r="K38" s="88" t="n">
        <f aca="false">(J38-$C38)/$C38</f>
        <v>0.317973080016746</v>
      </c>
      <c r="L38" s="87" t="n">
        <v>10.8304291423682</v>
      </c>
      <c r="M38" s="88" t="n">
        <f aca="false">(L38-$C38)/$C38</f>
        <v>0.241413393079238</v>
      </c>
      <c r="N38" s="88"/>
      <c r="O38" s="87" t="n">
        <v>11.7343142413979</v>
      </c>
      <c r="P38" s="88" t="n">
        <f aca="false">(O38-$C38)/$C38</f>
        <v>0.345019173883502</v>
      </c>
      <c r="Q38" s="87" t="n">
        <v>11.2197885835171</v>
      </c>
      <c r="R38" s="88" t="n">
        <f aca="false">(Q38-$C38)/$C38</f>
        <v>0.286042836530675</v>
      </c>
      <c r="S38" s="87" t="n">
        <v>11.1432429842712</v>
      </c>
      <c r="T38" s="88" t="n">
        <f aca="false">(S38-$C38)/$C38</f>
        <v>0.27726897070911</v>
      </c>
      <c r="U38" s="87" t="n">
        <v>11.5823642077796</v>
      </c>
      <c r="V38" s="88" t="n">
        <f aca="false">(U38-$C38)/$C38</f>
        <v>0.327602245677517</v>
      </c>
      <c r="W38" s="87" t="n">
        <v>9.43561808771732</v>
      </c>
      <c r="X38" s="88" t="n">
        <f aca="false">(W38-$C38)/$C38</f>
        <v>0.0815363373045202</v>
      </c>
      <c r="Z38" s="89" t="n">
        <f aca="false">'Revenue Allocation'!$AC36</f>
        <v>12.5511552316448</v>
      </c>
    </row>
    <row r="39" customFormat="false" ht="12.75" hidden="false" customHeight="false" outlineLevel="0" collapsed="false">
      <c r="A39" s="92"/>
      <c r="B39" s="79"/>
      <c r="C39" s="87" t="n">
        <f aca="false">'Revenue Allocation'!$AG37</f>
        <v>0</v>
      </c>
      <c r="D39" s="87" t="n">
        <v>0</v>
      </c>
      <c r="E39" s="93"/>
      <c r="F39" s="87" t="n">
        <v>0</v>
      </c>
      <c r="G39" s="93"/>
      <c r="H39" s="87" t="n">
        <v>0</v>
      </c>
      <c r="I39" s="93"/>
      <c r="J39" s="87" t="n">
        <v>0</v>
      </c>
      <c r="K39" s="93"/>
      <c r="L39" s="87" t="n">
        <v>0</v>
      </c>
      <c r="M39" s="93"/>
      <c r="N39" s="93"/>
      <c r="O39" s="87" t="n">
        <v>0</v>
      </c>
      <c r="P39" s="93"/>
      <c r="Q39" s="87" t="n">
        <v>0</v>
      </c>
      <c r="R39" s="93"/>
      <c r="S39" s="87" t="n">
        <v>0</v>
      </c>
      <c r="T39" s="93"/>
      <c r="U39" s="87" t="n">
        <v>0</v>
      </c>
      <c r="V39" s="93"/>
      <c r="W39" s="87" t="n">
        <v>0</v>
      </c>
      <c r="X39" s="93"/>
      <c r="Z39" s="89" t="n">
        <f aca="false">'Revenue Allocation'!$AC37</f>
        <v>0</v>
      </c>
    </row>
    <row r="40" customFormat="false" ht="12.75" hidden="false" customHeight="false" outlineLevel="0" collapsed="false">
      <c r="A40" s="94" t="s">
        <v>310</v>
      </c>
      <c r="B40" s="82" t="s">
        <v>231</v>
      </c>
      <c r="C40" s="87" t="n">
        <f aca="false">'Revenue Allocation'!$AG38</f>
        <v>10.081827087082</v>
      </c>
      <c r="D40" s="87" t="n">
        <v>13.1583051826325</v>
      </c>
      <c r="E40" s="88" t="n">
        <f aca="false">(D40-$C40)/$C40</f>
        <v>0.30515084904526</v>
      </c>
      <c r="F40" s="87" t="n">
        <v>13.2180412604167</v>
      </c>
      <c r="G40" s="88" t="n">
        <f aca="false">(F40-$C40)/$C40</f>
        <v>0.311075973258185</v>
      </c>
      <c r="H40" s="87" t="n">
        <v>13.1926664319223</v>
      </c>
      <c r="I40" s="88" t="n">
        <f aca="false">(H40-$C40)/$C40</f>
        <v>0.308559085369193</v>
      </c>
      <c r="J40" s="87" t="n">
        <v>13.1824716502313</v>
      </c>
      <c r="K40" s="88" t="n">
        <f aca="false">(J40-$C40)/$C40</f>
        <v>0.307547881586096</v>
      </c>
      <c r="L40" s="87" t="n">
        <v>12.7724930076139</v>
      </c>
      <c r="M40" s="88" t="n">
        <f aca="false">(L40-$C40)/$C40</f>
        <v>0.266882768102577</v>
      </c>
      <c r="N40" s="88"/>
      <c r="O40" s="87" t="n">
        <v>12.7953789492731</v>
      </c>
      <c r="P40" s="88" t="n">
        <f aca="false">(O40-$C40)/$C40</f>
        <v>0.269152787362135</v>
      </c>
      <c r="Q40" s="87" t="n">
        <v>12.9873731022091</v>
      </c>
      <c r="R40" s="88" t="n">
        <f aca="false">(Q40-$C40)/$C40</f>
        <v>0.288196374529182</v>
      </c>
      <c r="S40" s="87" t="n">
        <v>12.9058173844019</v>
      </c>
      <c r="T40" s="88" t="n">
        <f aca="false">(S40-$C40)/$C40</f>
        <v>0.280106995778412</v>
      </c>
      <c r="U40" s="87" t="n">
        <v>12.8730509466354</v>
      </c>
      <c r="V40" s="88" t="n">
        <f aca="false">(U40-$C40)/$C40</f>
        <v>0.276856946210667</v>
      </c>
      <c r="W40" s="87" t="n">
        <v>11.5553631249555</v>
      </c>
      <c r="X40" s="88" t="n">
        <f aca="false">(W40-$C40)/$C40</f>
        <v>0.146157638406798</v>
      </c>
      <c r="Z40" s="89" t="n">
        <f aca="false">'Revenue Allocation'!$AC38</f>
        <v>13.9087094836238</v>
      </c>
    </row>
    <row r="41" customFormat="false" ht="12.75" hidden="false" customHeight="false" outlineLevel="0" collapsed="false">
      <c r="A41" s="94" t="s">
        <v>311</v>
      </c>
      <c r="B41" s="82" t="s">
        <v>231</v>
      </c>
      <c r="C41" s="87" t="n">
        <f aca="false">'Revenue Allocation'!$AG39</f>
        <v>9.56545211372791</v>
      </c>
      <c r="D41" s="87" t="n">
        <v>12.6419302092785</v>
      </c>
      <c r="E41" s="88" t="n">
        <f aca="false">(D41-$C41)/$C41</f>
        <v>0.321623908517124</v>
      </c>
      <c r="F41" s="87" t="n">
        <v>12.5835105135663</v>
      </c>
      <c r="G41" s="88" t="n">
        <f aca="false">(F41-$C41)/$C41</f>
        <v>0.315516544744076</v>
      </c>
      <c r="H41" s="87" t="n">
        <v>12.6040692540731</v>
      </c>
      <c r="I41" s="88" t="n">
        <f aca="false">(H41-$C41)/$C41</f>
        <v>0.317665814873958</v>
      </c>
      <c r="J41" s="87" t="n">
        <v>12.6660966768773</v>
      </c>
      <c r="K41" s="88" t="n">
        <f aca="false">(J41-$C41)/$C41</f>
        <v>0.324150340860467</v>
      </c>
      <c r="L41" s="87" t="n">
        <v>11.9929549129213</v>
      </c>
      <c r="M41" s="88" t="n">
        <f aca="false">(L41-$C41)/$C41</f>
        <v>0.253778156048639</v>
      </c>
      <c r="N41" s="88"/>
      <c r="O41" s="87" t="n">
        <v>12.623273405039</v>
      </c>
      <c r="P41" s="88" t="n">
        <f aca="false">(O41-$C41)/$C41</f>
        <v>0.319673472299617</v>
      </c>
      <c r="Q41" s="87" t="n">
        <v>12.435510156947</v>
      </c>
      <c r="R41" s="88" t="n">
        <f aca="false">(Q41-$C41)/$C41</f>
        <v>0.300044159867789</v>
      </c>
      <c r="S41" s="87" t="n">
        <v>12.5015867745532</v>
      </c>
      <c r="T41" s="88" t="n">
        <f aca="false">(S41-$C41)/$C41</f>
        <v>0.306952000377637</v>
      </c>
      <c r="U41" s="87" t="n">
        <v>12.7009454024013</v>
      </c>
      <c r="V41" s="88" t="n">
        <f aca="false">(U41-$C41)/$C41</f>
        <v>0.327793527309964</v>
      </c>
      <c r="W41" s="87" t="n">
        <v>10.5374407403874</v>
      </c>
      <c r="X41" s="88" t="n">
        <f aca="false">(W41-$C41)/$C41</f>
        <v>0.101614499252426</v>
      </c>
      <c r="Z41" s="89" t="n">
        <f aca="false">'Revenue Allocation'!$AC39</f>
        <v>13.3923345102698</v>
      </c>
    </row>
    <row r="42" customFormat="false" ht="12.75" hidden="false" customHeight="false" outlineLevel="0" collapsed="false">
      <c r="A42" s="94" t="s">
        <v>312</v>
      </c>
      <c r="B42" s="82" t="s">
        <v>231</v>
      </c>
      <c r="C42" s="90" t="n">
        <f aca="false">'Revenue Allocation'!$AG40</f>
        <v>8.62468139347787</v>
      </c>
      <c r="D42" s="90" t="n">
        <v>11.7011594890284</v>
      </c>
      <c r="E42" s="91" t="n">
        <f aca="false">(D42-$C42)/$C42</f>
        <v>0.356706289217483</v>
      </c>
      <c r="F42" s="90" t="n">
        <v>11.7608955668126</v>
      </c>
      <c r="G42" s="91" t="n">
        <f aca="false">(F42-$C42)/$C42</f>
        <v>0.363632467131645</v>
      </c>
      <c r="H42" s="90" t="n">
        <v>11.7355207383182</v>
      </c>
      <c r="I42" s="91" t="n">
        <f aca="false">(H42-$C42)/$C42</f>
        <v>0.360690349349349</v>
      </c>
      <c r="J42" s="90" t="n">
        <v>11.7253259566272</v>
      </c>
      <c r="K42" s="91" t="n">
        <f aca="false">(J42-$C42)/$C42</f>
        <v>0.359508302010337</v>
      </c>
      <c r="L42" s="90" t="n">
        <v>11.3153473140098</v>
      </c>
      <c r="M42" s="91" t="n">
        <f aca="false">(L42-$C42)/$C42</f>
        <v>0.311972790388141</v>
      </c>
      <c r="N42" s="91"/>
      <c r="O42" s="90" t="n">
        <v>11.4791991487248</v>
      </c>
      <c r="P42" s="91" t="n">
        <f aca="false">(O42-$C42)/$C42</f>
        <v>0.330970806342551</v>
      </c>
      <c r="Q42" s="90" t="n">
        <v>11.6711933016608</v>
      </c>
      <c r="R42" s="91" t="n">
        <f aca="false">(Q42-$C42)/$C42</f>
        <v>0.35323182030663</v>
      </c>
      <c r="S42" s="90" t="n">
        <v>11.5896375838536</v>
      </c>
      <c r="T42" s="91" t="n">
        <f aca="false">(S42-$C42)/$C42</f>
        <v>0.343775735602</v>
      </c>
      <c r="U42" s="90" t="n">
        <v>11.5568711460872</v>
      </c>
      <c r="V42" s="91" t="n">
        <f aca="false">(U42-$C42)/$C42</f>
        <v>0.339976587984648</v>
      </c>
      <c r="W42" s="90" t="n">
        <v>10.2391833244072</v>
      </c>
      <c r="X42" s="91" t="n">
        <f aca="false">(W42-$C42)/$C42</f>
        <v>0.187195544655168</v>
      </c>
      <c r="Z42" s="89" t="n">
        <f aca="false">'Revenue Allocation'!$AC40</f>
        <v>12.4515637900197</v>
      </c>
    </row>
    <row r="43" customFormat="false" ht="12.75" hidden="false" customHeight="false" outlineLevel="0" collapsed="false">
      <c r="A43" s="97" t="s">
        <v>313</v>
      </c>
      <c r="B43" s="98" t="s">
        <v>231</v>
      </c>
      <c r="C43" s="87" t="n">
        <f aca="false">'Revenue Allocation'!$AG41</f>
        <v>9.80449244162209</v>
      </c>
      <c r="D43" s="87" t="n">
        <v>12.8809730691962</v>
      </c>
      <c r="E43" s="88" t="n">
        <f aca="false">(D43-$C43)/$C43</f>
        <v>0.313782752742385</v>
      </c>
      <c r="F43" s="87" t="n">
        <v>12.8780532186641</v>
      </c>
      <c r="G43" s="88" t="n">
        <f aca="false">(F43-$C43)/$C43</f>
        <v>0.31348494532915</v>
      </c>
      <c r="H43" s="87" t="n">
        <v>12.8770361534131</v>
      </c>
      <c r="I43" s="88" t="n">
        <f aca="false">(H43-$C43)/$C43</f>
        <v>0.313381210713918</v>
      </c>
      <c r="J43" s="87" t="n">
        <v>12.9051395415454</v>
      </c>
      <c r="K43" s="88" t="n">
        <f aca="false">(J43-$C43)/$C43</f>
        <v>0.316247589396922</v>
      </c>
      <c r="L43" s="87" t="n">
        <v>12.3556100179979</v>
      </c>
      <c r="M43" s="88" t="n">
        <f aca="false">(L43-$C43)/$C43</f>
        <v>0.260198841660153</v>
      </c>
      <c r="N43" s="88"/>
      <c r="O43" s="87" t="n">
        <v>12.7009463906109</v>
      </c>
      <c r="P43" s="88" t="n">
        <f aca="false">(O43-$C43)/$C43</f>
        <v>0.295421100708155</v>
      </c>
      <c r="Q43" s="87" t="n">
        <v>12.6915618737425</v>
      </c>
      <c r="R43" s="88" t="n">
        <f aca="false">(Q43-$C43)/$C43</f>
        <v>0.294463935722387</v>
      </c>
      <c r="S43" s="87" t="n">
        <v>12.6882929851816</v>
      </c>
      <c r="T43" s="88" t="n">
        <f aca="false">(S43-$C43)/$C43</f>
        <v>0.294130528503159</v>
      </c>
      <c r="U43" s="87" t="n">
        <v>12.7786184032412</v>
      </c>
      <c r="V43" s="88" t="n">
        <f aca="false">(U43-$C43)/$C43</f>
        <v>0.303343184701064</v>
      </c>
      <c r="W43" s="87" t="n">
        <v>11.0124084460365</v>
      </c>
      <c r="X43" s="88" t="n">
        <f aca="false">(W43-$C43)/$C43</f>
        <v>0.123200258616809</v>
      </c>
      <c r="Z43" s="89" t="n">
        <f aca="false">'Revenue Allocation'!$AC41</f>
        <v>13.631374838164</v>
      </c>
    </row>
    <row r="44" customFormat="false" ht="12.75" hidden="false" customHeight="false" outlineLevel="0" collapsed="false">
      <c r="A44" s="94"/>
      <c r="B44" s="82"/>
      <c r="C44" s="87" t="n">
        <f aca="false">'Revenue Allocation'!$AG42</f>
        <v>0</v>
      </c>
      <c r="D44" s="87" t="n">
        <v>0</v>
      </c>
      <c r="E44" s="93"/>
      <c r="F44" s="87" t="n">
        <v>0</v>
      </c>
      <c r="G44" s="93"/>
      <c r="H44" s="87" t="n">
        <v>0</v>
      </c>
      <c r="I44" s="93"/>
      <c r="J44" s="87" t="n">
        <v>0</v>
      </c>
      <c r="K44" s="93"/>
      <c r="L44" s="87" t="n">
        <v>0</v>
      </c>
      <c r="M44" s="93"/>
      <c r="N44" s="93"/>
      <c r="O44" s="87" t="n">
        <v>0</v>
      </c>
      <c r="P44" s="93"/>
      <c r="Q44" s="87" t="n">
        <v>0</v>
      </c>
      <c r="R44" s="93"/>
      <c r="S44" s="87" t="n">
        <v>0</v>
      </c>
      <c r="T44" s="93"/>
      <c r="U44" s="87" t="n">
        <v>0</v>
      </c>
      <c r="V44" s="93"/>
      <c r="W44" s="87" t="n">
        <v>0</v>
      </c>
      <c r="X44" s="93"/>
      <c r="Z44" s="89" t="n">
        <f aca="false">'Revenue Allocation'!$AC42</f>
        <v>0</v>
      </c>
    </row>
    <row r="45" customFormat="false" ht="12.75" hidden="false" customHeight="false" outlineLevel="0" collapsed="false">
      <c r="A45" s="97" t="s">
        <v>313</v>
      </c>
      <c r="B45" s="84"/>
      <c r="C45" s="87" t="n">
        <f aca="false">'Revenue Allocation'!$AG43</f>
        <v>9.72693538633375</v>
      </c>
      <c r="D45" s="87" t="n">
        <v>12.7851806968063</v>
      </c>
      <c r="E45" s="88" t="n">
        <f aca="false">(D45-$C45)/$C45</f>
        <v>0.314409954318127</v>
      </c>
      <c r="F45" s="87" t="n">
        <v>12.7708115977507</v>
      </c>
      <c r="G45" s="88" t="n">
        <f aca="false">(F45-$C45)/$C45</f>
        <v>0.312932705988112</v>
      </c>
      <c r="H45" s="87" t="n">
        <v>12.7681424722182</v>
      </c>
      <c r="I45" s="88" t="n">
        <f aca="false">(H45-$C45)/$C45</f>
        <v>0.312658300388968</v>
      </c>
      <c r="J45" s="87" t="n">
        <v>12.8040575230152</v>
      </c>
      <c r="K45" s="88" t="n">
        <f aca="false">(J45-$C45)/$C45</f>
        <v>0.316350629922431</v>
      </c>
      <c r="L45" s="87" t="n">
        <v>12.2460667367224</v>
      </c>
      <c r="M45" s="88" t="n">
        <f aca="false">(L45-$C45)/$C45</f>
        <v>0.258985101713332</v>
      </c>
      <c r="N45" s="88"/>
      <c r="O45" s="87" t="n">
        <v>12.6308122415272</v>
      </c>
      <c r="P45" s="88" t="n">
        <f aca="false">(O45-$C45)/$C45</f>
        <v>0.298539749659832</v>
      </c>
      <c r="Q45" s="87" t="n">
        <v>12.5846293801146</v>
      </c>
      <c r="R45" s="88" t="n">
        <f aca="false">(Q45-$C45)/$C45</f>
        <v>0.293791814202435</v>
      </c>
      <c r="S45" s="87" t="n">
        <v>12.5760507034639</v>
      </c>
      <c r="T45" s="88" t="n">
        <f aca="false">(S45-$C45)/$C45</f>
        <v>0.29290986358695</v>
      </c>
      <c r="U45" s="87" t="n">
        <v>12.6914831190359</v>
      </c>
      <c r="V45" s="88" t="n">
        <f aca="false">(U45-$C45)/$C45</f>
        <v>0.304777158987538</v>
      </c>
      <c r="W45" s="87" t="n">
        <v>10.8980783235725</v>
      </c>
      <c r="X45" s="88" t="n">
        <f aca="false">(W45-$C45)/$C45</f>
        <v>0.12040204758471</v>
      </c>
      <c r="Z45" s="89" t="n">
        <f aca="false">'Revenue Allocation'!$AC43</f>
        <v>13.553817782876</v>
      </c>
    </row>
    <row r="46" customFormat="false" ht="12.75" hidden="false" customHeight="false" outlineLevel="0" collapsed="false">
      <c r="A46" s="94"/>
      <c r="B46" s="79"/>
      <c r="C46" s="87" t="n">
        <f aca="false">'Revenue Allocation'!$AG44</f>
        <v>0</v>
      </c>
      <c r="D46" s="87" t="n">
        <v>0</v>
      </c>
      <c r="E46" s="93"/>
      <c r="F46" s="87" t="n">
        <v>0</v>
      </c>
      <c r="G46" s="93"/>
      <c r="H46" s="87" t="n">
        <v>0</v>
      </c>
      <c r="I46" s="93"/>
      <c r="J46" s="87" t="n">
        <v>0</v>
      </c>
      <c r="K46" s="93"/>
      <c r="L46" s="87" t="n">
        <v>0</v>
      </c>
      <c r="M46" s="93"/>
      <c r="N46" s="93"/>
      <c r="O46" s="87" t="n">
        <v>0</v>
      </c>
      <c r="P46" s="93"/>
      <c r="Q46" s="87" t="n">
        <v>0</v>
      </c>
      <c r="R46" s="93"/>
      <c r="S46" s="87" t="n">
        <v>0</v>
      </c>
      <c r="T46" s="93"/>
      <c r="U46" s="87" t="n">
        <v>0</v>
      </c>
      <c r="V46" s="93"/>
      <c r="W46" s="87" t="n">
        <v>0</v>
      </c>
      <c r="X46" s="93"/>
      <c r="Z46" s="89" t="n">
        <f aca="false">'Revenue Allocation'!$AC44</f>
        <v>0</v>
      </c>
    </row>
    <row r="47" customFormat="false" ht="12.75" hidden="false" customHeight="false" outlineLevel="0" collapsed="false">
      <c r="A47" s="94" t="s">
        <v>314</v>
      </c>
      <c r="B47" s="82" t="s">
        <v>231</v>
      </c>
      <c r="C47" s="90" t="n">
        <f aca="false">'Revenue Allocation'!$AG45</f>
        <v>7.72911785486637</v>
      </c>
      <c r="D47" s="90" t="n">
        <v>10.8055959504169</v>
      </c>
      <c r="E47" s="91" t="n">
        <f aca="false">(D47-$C47)/$C47</f>
        <v>0.398037415565291</v>
      </c>
      <c r="F47" s="90" t="n">
        <v>10.8653320282011</v>
      </c>
      <c r="G47" s="91" t="n">
        <f aca="false">(F47-$C47)/$C47</f>
        <v>0.405766121338173</v>
      </c>
      <c r="H47" s="90" t="n">
        <v>10.8399571997067</v>
      </c>
      <c r="I47" s="91" t="n">
        <f aca="false">(H47-$C47)/$C47</f>
        <v>0.402483103926502</v>
      </c>
      <c r="J47" s="90" t="n">
        <v>10.8297624180157</v>
      </c>
      <c r="K47" s="91" t="n">
        <f aca="false">(J47-$C47)/$C47</f>
        <v>0.401164094191831</v>
      </c>
      <c r="L47" s="90" t="n">
        <v>10.4197837753983</v>
      </c>
      <c r="M47" s="91" t="n">
        <f aca="false">(L47-$C47)/$C47</f>
        <v>0.348120700325185</v>
      </c>
      <c r="N47" s="91"/>
      <c r="O47" s="90" t="n">
        <v>12.469684631668</v>
      </c>
      <c r="P47" s="91" t="n">
        <f aca="false">(O47-$C47)/$C47</f>
        <v>0.613338658540039</v>
      </c>
      <c r="Q47" s="90" t="n">
        <v>12.6616787846039</v>
      </c>
      <c r="R47" s="91" t="n">
        <f aca="false">(Q47-$C47)/$C47</f>
        <v>0.638179029270712</v>
      </c>
      <c r="S47" s="90" t="n">
        <v>12.5801230667967</v>
      </c>
      <c r="T47" s="91" t="n">
        <f aca="false">(S47-$C47)/$C47</f>
        <v>0.627627279467101</v>
      </c>
      <c r="U47" s="90" t="n">
        <v>12.5473566290303</v>
      </c>
      <c r="V47" s="91" t="n">
        <f aca="false">(U47-$C47)/$C47</f>
        <v>0.623387929209837</v>
      </c>
      <c r="W47" s="90" t="n">
        <v>11.2296688073504</v>
      </c>
      <c r="X47" s="91" t="n">
        <f aca="false">(W47-$C47)/$C47</f>
        <v>0.452904331155982</v>
      </c>
      <c r="Z47" s="89" t="n">
        <f aca="false">'Revenue Allocation'!$AC45</f>
        <v>11.5560002514082</v>
      </c>
    </row>
    <row r="48" customFormat="false" ht="12.75" hidden="false" customHeight="false" outlineLevel="0" collapsed="false">
      <c r="A48" s="97" t="s">
        <v>315</v>
      </c>
      <c r="B48" s="84"/>
      <c r="C48" s="87" t="n">
        <f aca="false">'Revenue Allocation'!$AG46</f>
        <v>7.72911785486637</v>
      </c>
      <c r="D48" s="87" t="n">
        <v>10.8055959504169</v>
      </c>
      <c r="E48" s="88" t="n">
        <f aca="false">(D48-$C48)/$C48</f>
        <v>0.398037415565291</v>
      </c>
      <c r="F48" s="87" t="n">
        <v>10.8653320282011</v>
      </c>
      <c r="G48" s="88" t="n">
        <f aca="false">(F48-$C48)/$C48</f>
        <v>0.405766121338173</v>
      </c>
      <c r="H48" s="87" t="n">
        <v>10.8399571997067</v>
      </c>
      <c r="I48" s="88" t="n">
        <f aca="false">(H48-$C48)/$C48</f>
        <v>0.402483103926502</v>
      </c>
      <c r="J48" s="87" t="n">
        <v>10.8297624180157</v>
      </c>
      <c r="K48" s="88" t="n">
        <f aca="false">(J48-$C48)/$C48</f>
        <v>0.401164094191831</v>
      </c>
      <c r="L48" s="87" t="n">
        <v>10.4197837753983</v>
      </c>
      <c r="M48" s="88" t="n">
        <f aca="false">(L48-$C48)/$C48</f>
        <v>0.348120700325185</v>
      </c>
      <c r="N48" s="88"/>
      <c r="O48" s="87" t="n">
        <v>12.469684631668</v>
      </c>
      <c r="P48" s="88" t="n">
        <f aca="false">(O48-$C48)/$C48</f>
        <v>0.613338658540039</v>
      </c>
      <c r="Q48" s="87" t="n">
        <v>12.6616787846039</v>
      </c>
      <c r="R48" s="88" t="n">
        <f aca="false">(Q48-$C48)/$C48</f>
        <v>0.638179029270712</v>
      </c>
      <c r="S48" s="87" t="n">
        <v>12.5801230667967</v>
      </c>
      <c r="T48" s="88" t="n">
        <f aca="false">(S48-$C48)/$C48</f>
        <v>0.627627279467101</v>
      </c>
      <c r="U48" s="87" t="n">
        <v>12.5473566290303</v>
      </c>
      <c r="V48" s="88" t="n">
        <f aca="false">(U48-$C48)/$C48</f>
        <v>0.623387929209837</v>
      </c>
      <c r="W48" s="87" t="n">
        <v>11.2296688073504</v>
      </c>
      <c r="X48" s="88" t="n">
        <f aca="false">(W48-$C48)/$C48</f>
        <v>0.452904331155982</v>
      </c>
      <c r="Z48" s="89" t="n">
        <f aca="false">'Revenue Allocation'!$AC46</f>
        <v>11.5560002514082</v>
      </c>
    </row>
    <row r="49" customFormat="false" ht="12.75" hidden="false" customHeight="false" outlineLevel="0" collapsed="false">
      <c r="A49" s="94"/>
      <c r="B49" s="79"/>
      <c r="C49" s="87" t="n">
        <f aca="false">'Revenue Allocation'!$AG47</f>
        <v>0</v>
      </c>
      <c r="D49" s="87" t="n">
        <v>0</v>
      </c>
      <c r="E49" s="93"/>
      <c r="F49" s="87" t="n">
        <v>0</v>
      </c>
      <c r="G49" s="93"/>
      <c r="H49" s="87" t="n">
        <v>0</v>
      </c>
      <c r="I49" s="93"/>
      <c r="J49" s="87" t="n">
        <v>0</v>
      </c>
      <c r="K49" s="93"/>
      <c r="L49" s="87" t="n">
        <v>0</v>
      </c>
      <c r="M49" s="93"/>
      <c r="N49" s="93"/>
      <c r="O49" s="87" t="n">
        <v>0</v>
      </c>
      <c r="P49" s="93"/>
      <c r="Q49" s="87" t="n">
        <v>0</v>
      </c>
      <c r="R49" s="93"/>
      <c r="S49" s="87" t="n">
        <v>0</v>
      </c>
      <c r="T49" s="93"/>
      <c r="U49" s="87" t="n">
        <v>0</v>
      </c>
      <c r="V49" s="93"/>
      <c r="W49" s="87" t="n">
        <v>0</v>
      </c>
      <c r="X49" s="93"/>
      <c r="Z49" s="89" t="n">
        <f aca="false">'Revenue Allocation'!$AC47</f>
        <v>0</v>
      </c>
    </row>
    <row r="50" customFormat="false" ht="12.75" hidden="false" customHeight="false" outlineLevel="0" collapsed="false">
      <c r="A50" s="97" t="s">
        <v>316</v>
      </c>
      <c r="B50" s="98" t="s">
        <v>236</v>
      </c>
      <c r="C50" s="87" t="n">
        <f aca="false">'Revenue Allocation'!$AG48</f>
        <v>9.44488733021498</v>
      </c>
      <c r="D50" s="87" t="n">
        <v>12.5225197590876</v>
      </c>
      <c r="E50" s="88" t="n">
        <f aca="false">(D50-$C50)/$C50</f>
        <v>0.325851682637553</v>
      </c>
      <c r="F50" s="87" t="n">
        <v>12.3003667935959</v>
      </c>
      <c r="G50" s="88" t="n">
        <f aca="false">(F50-$C50)/$C50</f>
        <v>0.302330706926063</v>
      </c>
      <c r="H50" s="87" t="n">
        <v>12.2764349780357</v>
      </c>
      <c r="I50" s="88" t="n">
        <f aca="false">(H50-$C50)/$C50</f>
        <v>0.299796868805664</v>
      </c>
      <c r="J50" s="87" t="n">
        <v>12.3609184300833</v>
      </c>
      <c r="K50" s="88" t="n">
        <f aca="false">(J50-$C50)/$C50</f>
        <v>0.308741756033413</v>
      </c>
      <c r="L50" s="87" t="n">
        <v>11.8116835096165</v>
      </c>
      <c r="M50" s="88" t="n">
        <f aca="false">(L50-$C50)/$C50</f>
        <v>0.250590197283772</v>
      </c>
      <c r="N50" s="88"/>
      <c r="O50" s="87" t="n">
        <v>11.6420135970063</v>
      </c>
      <c r="P50" s="88" t="n">
        <f aca="false">(O50-$C50)/$C50</f>
        <v>0.232625990122991</v>
      </c>
      <c r="Q50" s="87" t="n">
        <v>10.9280050444883</v>
      </c>
      <c r="R50" s="88" t="n">
        <f aca="false">(Q50-$C50)/$C50</f>
        <v>0.157028629608819</v>
      </c>
      <c r="S50" s="87" t="n">
        <v>10.8510872282016</v>
      </c>
      <c r="T50" s="88" t="n">
        <f aca="false">(S50-$C50)/$C50</f>
        <v>0.148884772133606</v>
      </c>
      <c r="U50" s="87" t="n">
        <v>11.1226204358483</v>
      </c>
      <c r="V50" s="88" t="n">
        <f aca="false">(U50-$C50)/$C50</f>
        <v>0.177633998900777</v>
      </c>
      <c r="W50" s="87" t="n">
        <v>9.35735734477624</v>
      </c>
      <c r="X50" s="88" t="n">
        <f aca="false">(W50-$C50)/$C50</f>
        <v>-0.00926744622550707</v>
      </c>
      <c r="Z50" s="89" t="n">
        <f aca="false">'Revenue Allocation'!$AC48</f>
        <v>13.2717697267568</v>
      </c>
    </row>
    <row r="51" customFormat="false" ht="12.75" hidden="false" customHeight="false" outlineLevel="0" collapsed="false">
      <c r="A51" s="97" t="s">
        <v>316</v>
      </c>
      <c r="B51" s="98" t="s">
        <v>234</v>
      </c>
      <c r="C51" s="87" t="n">
        <f aca="false">'Revenue Allocation'!$AG49</f>
        <v>8.7242728350981</v>
      </c>
      <c r="D51" s="87" t="n">
        <v>11.5456336948959</v>
      </c>
      <c r="E51" s="88" t="n">
        <f aca="false">(D51-$C51)/$C51</f>
        <v>0.323392093888598</v>
      </c>
      <c r="F51" s="87" t="n">
        <v>11.3855468159408</v>
      </c>
      <c r="G51" s="88" t="n">
        <f aca="false">(F51-$C51)/$C51</f>
        <v>0.305042498228199</v>
      </c>
      <c r="H51" s="87" t="n">
        <v>11.3617308100851</v>
      </c>
      <c r="I51" s="88" t="n">
        <f aca="false">(H51-$C51)/$C51</f>
        <v>0.302312642536396</v>
      </c>
      <c r="J51" s="87" t="n">
        <v>11.4983567393807</v>
      </c>
      <c r="K51" s="88" t="n">
        <f aca="false">(J51-$C51)/$C51</f>
        <v>0.317973080016746</v>
      </c>
      <c r="L51" s="87" t="n">
        <v>10.8304291423682</v>
      </c>
      <c r="M51" s="88" t="n">
        <f aca="false">(L51-$C51)/$C51</f>
        <v>0.241413393079238</v>
      </c>
      <c r="N51" s="88"/>
      <c r="O51" s="87" t="n">
        <v>11.7343142413979</v>
      </c>
      <c r="P51" s="88" t="n">
        <f aca="false">(O51-$C51)/$C51</f>
        <v>0.345019173883502</v>
      </c>
      <c r="Q51" s="87" t="n">
        <v>11.2197885835171</v>
      </c>
      <c r="R51" s="88" t="n">
        <f aca="false">(Q51-$C51)/$C51</f>
        <v>0.286042836530675</v>
      </c>
      <c r="S51" s="87" t="n">
        <v>11.1432429842712</v>
      </c>
      <c r="T51" s="88" t="n">
        <f aca="false">(S51-$C51)/$C51</f>
        <v>0.27726897070911</v>
      </c>
      <c r="U51" s="87" t="n">
        <v>11.5823642077796</v>
      </c>
      <c r="V51" s="88" t="n">
        <f aca="false">(U51-$C51)/$C51</f>
        <v>0.327602245677517</v>
      </c>
      <c r="W51" s="87" t="n">
        <v>9.43561808771732</v>
      </c>
      <c r="X51" s="88" t="n">
        <f aca="false">(W51-$C51)/$C51</f>
        <v>0.0815363373045202</v>
      </c>
      <c r="Z51" s="89" t="n">
        <f aca="false">'Revenue Allocation'!$AC49</f>
        <v>12.5511552316448</v>
      </c>
    </row>
    <row r="52" customFormat="false" ht="12.75" hidden="false" customHeight="false" outlineLevel="0" collapsed="false">
      <c r="A52" s="97" t="s">
        <v>316</v>
      </c>
      <c r="B52" s="98" t="s">
        <v>231</v>
      </c>
      <c r="C52" s="90" t="n">
        <f aca="false">'Revenue Allocation'!$AG50</f>
        <v>9.79512597521183</v>
      </c>
      <c r="D52" s="90" t="n">
        <v>12.8716040707624</v>
      </c>
      <c r="E52" s="91" t="n">
        <f aca="false">(D52-$C52)/$C52</f>
        <v>0.314082545067423</v>
      </c>
      <c r="F52" s="90" t="n">
        <v>12.8689669960903</v>
      </c>
      <c r="G52" s="91" t="n">
        <f aca="false">(F52-$C52)/$C52</f>
        <v>0.313813321917184</v>
      </c>
      <c r="H52" s="90" t="n">
        <v>12.8678400009213</v>
      </c>
      <c r="I52" s="91" t="n">
        <f aca="false">(H52-$C52)/$C52</f>
        <v>0.313698265186739</v>
      </c>
      <c r="J52" s="90" t="n">
        <v>12.8957705383612</v>
      </c>
      <c r="K52" s="91" t="n">
        <f aca="false">(J52-$C52)/$C52</f>
        <v>0.316549738206131</v>
      </c>
      <c r="L52" s="90" t="n">
        <v>12.3468709357062</v>
      </c>
      <c r="M52" s="91" t="n">
        <f aca="false">(L52-$C52)/$C52</f>
        <v>0.260511704183485</v>
      </c>
      <c r="N52" s="91"/>
      <c r="O52" s="90" t="n">
        <v>12.6999001873952</v>
      </c>
      <c r="P52" s="91" t="n">
        <f aca="false">(O52-$C52)/$C52</f>
        <v>0.296553022343395</v>
      </c>
      <c r="Q52" s="90" t="n">
        <v>12.6914245234971</v>
      </c>
      <c r="R52" s="91" t="n">
        <f aca="false">(Q52-$C52)/$C52</f>
        <v>0.29568772832681</v>
      </c>
      <c r="S52" s="90" t="n">
        <v>12.687802315765</v>
      </c>
      <c r="T52" s="91" t="n">
        <f aca="false">(S52-$C52)/$C52</f>
        <v>0.295317931374604</v>
      </c>
      <c r="U52" s="90" t="n">
        <v>12.7775721847575</v>
      </c>
      <c r="V52" s="91" t="n">
        <f aca="false">(U52-$C52)/$C52</f>
        <v>0.304482680171062</v>
      </c>
      <c r="W52" s="90" t="n">
        <v>11.0133868185983</v>
      </c>
      <c r="X52" s="91" t="n">
        <f aca="false">(W52-$C52)/$C52</f>
        <v>0.124374188394251</v>
      </c>
      <c r="Z52" s="89" t="n">
        <f aca="false">'Revenue Allocation'!$AC50</f>
        <v>13.6220083717537</v>
      </c>
    </row>
    <row r="53" customFormat="false" ht="12.75" hidden="false" customHeight="false" outlineLevel="0" collapsed="false">
      <c r="A53" s="99" t="s">
        <v>309</v>
      </c>
      <c r="B53" s="84"/>
      <c r="C53" s="87" t="n">
        <f aca="false">'Revenue Allocation'!$AG51</f>
        <v>9.71856951672839</v>
      </c>
      <c r="D53" s="87" t="n">
        <v>12.7768911770678</v>
      </c>
      <c r="E53" s="88" t="n">
        <f aca="false">(D53-$C53)/$C53</f>
        <v>0.314688458530361</v>
      </c>
      <c r="F53" s="87" t="n">
        <v>12.7628323937626</v>
      </c>
      <c r="G53" s="88" t="n">
        <f aca="false">(F53-$C53)/$C53</f>
        <v>0.313241868753852</v>
      </c>
      <c r="H53" s="87" t="n">
        <v>12.7600681880002</v>
      </c>
      <c r="I53" s="88" t="n">
        <f aca="false">(H53-$C53)/$C53</f>
        <v>0.312957443586373</v>
      </c>
      <c r="J53" s="87" t="n">
        <v>12.795790153673</v>
      </c>
      <c r="K53" s="88" t="n">
        <f aca="false">(J53-$C53)/$C53</f>
        <v>0.316633083875963</v>
      </c>
      <c r="L53" s="87" t="n">
        <v>12.2384191688759</v>
      </c>
      <c r="M53" s="88" t="n">
        <f aca="false">(L53-$C53)/$C53</f>
        <v>0.259281949654226</v>
      </c>
      <c r="N53" s="88"/>
      <c r="O53" s="87" t="n">
        <v>12.6301375189599</v>
      </c>
      <c r="P53" s="88" t="n">
        <f aca="false">(O53-$C53)/$C53</f>
        <v>0.299588123254131</v>
      </c>
      <c r="Q53" s="87" t="n">
        <v>12.5849520248311</v>
      </c>
      <c r="R53" s="88" t="n">
        <f aca="false">(Q53-$C53)/$C53</f>
        <v>0.29493872561892</v>
      </c>
      <c r="S53" s="87" t="n">
        <v>12.576067756503</v>
      </c>
      <c r="T53" s="88" t="n">
        <f aca="false">(S53-$C53)/$C53</f>
        <v>0.294024571708426</v>
      </c>
      <c r="U53" s="87" t="n">
        <v>12.6908795887319</v>
      </c>
      <c r="V53" s="88" t="n">
        <f aca="false">(U53-$C53)/$C53</f>
        <v>0.305838227208989</v>
      </c>
      <c r="W53" s="87" t="n">
        <v>10.899466860166</v>
      </c>
      <c r="X53" s="88" t="n">
        <f aca="false">(W53-$C53)/$C53</f>
        <v>0.121509378659585</v>
      </c>
      <c r="Z53" s="89" t="n">
        <f aca="false">'Revenue Allocation'!$AC51</f>
        <v>13.5454519132706</v>
      </c>
    </row>
    <row r="54" customFormat="false" ht="12.75" hidden="false" customHeight="false" outlineLevel="0" collapsed="false">
      <c r="A54" s="94"/>
      <c r="B54" s="82"/>
      <c r="C54" s="87" t="n">
        <f aca="false">'Revenue Allocation'!$AG52</f>
        <v>0</v>
      </c>
      <c r="D54" s="87" t="n">
        <v>0</v>
      </c>
      <c r="E54" s="93"/>
      <c r="F54" s="87" t="n">
        <v>0</v>
      </c>
      <c r="G54" s="93"/>
      <c r="H54" s="87" t="n">
        <v>0</v>
      </c>
      <c r="I54" s="93"/>
      <c r="J54" s="87" t="n">
        <v>0</v>
      </c>
      <c r="K54" s="93"/>
      <c r="L54" s="87" t="n">
        <v>0</v>
      </c>
      <c r="M54" s="93"/>
      <c r="N54" s="93"/>
      <c r="O54" s="87" t="n">
        <v>0</v>
      </c>
      <c r="P54" s="93"/>
      <c r="Q54" s="87" t="n">
        <v>0</v>
      </c>
      <c r="R54" s="93"/>
      <c r="S54" s="87" t="n">
        <v>0</v>
      </c>
      <c r="T54" s="93"/>
      <c r="U54" s="87" t="n">
        <v>0</v>
      </c>
      <c r="V54" s="93"/>
      <c r="W54" s="87" t="n">
        <v>0</v>
      </c>
      <c r="X54" s="93"/>
      <c r="Z54" s="89" t="n">
        <f aca="false">'Revenue Allocation'!$AC52</f>
        <v>0</v>
      </c>
    </row>
    <row r="55" customFormat="false" ht="12.75" hidden="false" customHeight="false" outlineLevel="0" collapsed="false">
      <c r="A55" s="85" t="s">
        <v>317</v>
      </c>
      <c r="B55" s="82" t="s">
        <v>231</v>
      </c>
      <c r="C55" s="87" t="n">
        <f aca="false">'Revenue Allocation'!$AG53</f>
        <v>13.2318424441564</v>
      </c>
      <c r="D55" s="87" t="n">
        <v>16.308320539707</v>
      </c>
      <c r="E55" s="88" t="n">
        <f aca="false">(D55-$C55)/$C55</f>
        <v>0.23250564753431</v>
      </c>
      <c r="F55" s="87" t="n">
        <v>15.9736823801257</v>
      </c>
      <c r="G55" s="88" t="n">
        <f aca="false">(F55-$C55)/$C55</f>
        <v>0.207215279923484</v>
      </c>
      <c r="H55" s="87" t="n">
        <v>15.5239286024272</v>
      </c>
      <c r="I55" s="88" t="n">
        <f aca="false">(H55-$C55)/$C55</f>
        <v>0.173225018960461</v>
      </c>
      <c r="J55" s="87" t="n">
        <v>16.3324870073058</v>
      </c>
      <c r="K55" s="88" t="n">
        <f aca="false">(J55-$C55)/$C55</f>
        <v>0.234332034728747</v>
      </c>
      <c r="L55" s="87" t="n">
        <v>13.7780987395349</v>
      </c>
      <c r="M55" s="88" t="n">
        <f aca="false">(L55-$C55)/$C55</f>
        <v>0.04128346431602</v>
      </c>
      <c r="N55" s="88"/>
      <c r="O55" s="87" t="n">
        <v>18.0292737699965</v>
      </c>
      <c r="P55" s="88" t="n">
        <f aca="false">(O55-$C55)/$C55</f>
        <v>0.362567144075902</v>
      </c>
      <c r="Q55" s="87" t="n">
        <v>16.9537332863887</v>
      </c>
      <c r="R55" s="88" t="n">
        <f aca="false">(Q55-$C55)/$C55</f>
        <v>0.281282886940358</v>
      </c>
      <c r="S55" s="87" t="n">
        <v>15.508206583231</v>
      </c>
      <c r="T55" s="88" t="n">
        <f aca="false">(S55-$C55)/$C55</f>
        <v>0.172036823192364</v>
      </c>
      <c r="U55" s="87" t="n">
        <v>18.1069457673588</v>
      </c>
      <c r="V55" s="88" t="n">
        <f aca="false">(U55-$C55)/$C55</f>
        <v>0.368437225864596</v>
      </c>
      <c r="W55" s="87" t="n">
        <v>9.897039293219</v>
      </c>
      <c r="X55" s="88" t="n">
        <f aca="false">(W55-$C55)/$C55</f>
        <v>-0.252028632067801</v>
      </c>
      <c r="Z55" s="89" t="n">
        <f aca="false">'Revenue Allocation'!$AC53</f>
        <v>17.0587248406983</v>
      </c>
    </row>
    <row r="56" customFormat="false" ht="12.75" hidden="false" customHeight="false" outlineLevel="0" collapsed="false">
      <c r="A56" s="94"/>
      <c r="B56" s="82"/>
      <c r="C56" s="87" t="n">
        <f aca="false">'Revenue Allocation'!$AG54</f>
        <v>0</v>
      </c>
      <c r="D56" s="87" t="n">
        <v>0</v>
      </c>
      <c r="E56" s="93"/>
      <c r="F56" s="87" t="n">
        <v>0</v>
      </c>
      <c r="G56" s="93"/>
      <c r="H56" s="87" t="n">
        <v>0</v>
      </c>
      <c r="I56" s="93"/>
      <c r="J56" s="87" t="n">
        <v>0</v>
      </c>
      <c r="K56" s="93"/>
      <c r="L56" s="87" t="n">
        <v>0</v>
      </c>
      <c r="M56" s="93"/>
      <c r="N56" s="93"/>
      <c r="O56" s="87" t="n">
        <v>0</v>
      </c>
      <c r="P56" s="93"/>
      <c r="Q56" s="87" t="n">
        <v>0</v>
      </c>
      <c r="R56" s="93"/>
      <c r="S56" s="87" t="n">
        <v>0</v>
      </c>
      <c r="T56" s="93"/>
      <c r="U56" s="87" t="n">
        <v>0</v>
      </c>
      <c r="V56" s="93"/>
      <c r="W56" s="87" t="n">
        <v>0</v>
      </c>
      <c r="X56" s="93"/>
      <c r="Z56" s="89" t="n">
        <f aca="false">'Revenue Allocation'!$AC54</f>
        <v>0</v>
      </c>
    </row>
    <row r="57" customFormat="false" ht="12.75" hidden="false" customHeight="false" outlineLevel="0" collapsed="false">
      <c r="A57" s="85" t="s">
        <v>318</v>
      </c>
      <c r="B57" s="82"/>
      <c r="C57" s="87" t="n">
        <f aca="false">'Revenue Allocation'!$AG55</f>
        <v>0</v>
      </c>
      <c r="D57" s="87" t="n">
        <v>0</v>
      </c>
      <c r="E57" s="93"/>
      <c r="F57" s="87" t="n">
        <v>0</v>
      </c>
      <c r="G57" s="93"/>
      <c r="H57" s="87" t="n">
        <v>0</v>
      </c>
      <c r="I57" s="93"/>
      <c r="J57" s="87" t="n">
        <v>0</v>
      </c>
      <c r="K57" s="93"/>
      <c r="L57" s="87" t="n">
        <v>0</v>
      </c>
      <c r="M57" s="93"/>
      <c r="N57" s="93"/>
      <c r="O57" s="87" t="n">
        <v>0</v>
      </c>
      <c r="P57" s="93"/>
      <c r="Q57" s="87" t="n">
        <v>0</v>
      </c>
      <c r="R57" s="93"/>
      <c r="S57" s="87" t="n">
        <v>0</v>
      </c>
      <c r="T57" s="93"/>
      <c r="U57" s="87" t="n">
        <v>0</v>
      </c>
      <c r="V57" s="93"/>
      <c r="W57" s="87" t="n">
        <v>0</v>
      </c>
      <c r="X57" s="93"/>
      <c r="Z57" s="89" t="n">
        <f aca="false">'Revenue Allocation'!$AC55</f>
        <v>0</v>
      </c>
    </row>
    <row r="58" customFormat="false" ht="12.75" hidden="true" customHeight="false" outlineLevel="0" collapsed="false">
      <c r="A58" s="94" t="s">
        <v>319</v>
      </c>
      <c r="B58" s="82" t="s">
        <v>236</v>
      </c>
      <c r="C58" s="87" t="n">
        <f aca="false">'Revenue Allocation'!$AG56</f>
        <v>0</v>
      </c>
      <c r="D58" s="87" t="n">
        <v>0</v>
      </c>
      <c r="E58" s="93"/>
      <c r="F58" s="87" t="n">
        <v>0</v>
      </c>
      <c r="G58" s="93"/>
      <c r="H58" s="87" t="n">
        <v>0</v>
      </c>
      <c r="I58" s="93"/>
      <c r="J58" s="87" t="n">
        <v>0</v>
      </c>
      <c r="K58" s="93"/>
      <c r="L58" s="87" t="n">
        <v>0</v>
      </c>
      <c r="M58" s="93"/>
      <c r="N58" s="93"/>
      <c r="O58" s="87" t="n">
        <v>0</v>
      </c>
      <c r="P58" s="93"/>
      <c r="Q58" s="87" t="n">
        <v>0</v>
      </c>
      <c r="R58" s="93"/>
      <c r="S58" s="87" t="n">
        <v>0</v>
      </c>
      <c r="T58" s="93"/>
      <c r="U58" s="87" t="n">
        <v>0</v>
      </c>
      <c r="V58" s="93"/>
      <c r="W58" s="87" t="n">
        <v>0</v>
      </c>
      <c r="X58" s="93"/>
      <c r="Z58" s="89" t="n">
        <f aca="false">'Revenue Allocation'!$AC56</f>
        <v>0</v>
      </c>
    </row>
    <row r="59" customFormat="false" ht="12.75" hidden="true" customHeight="false" outlineLevel="0" collapsed="false">
      <c r="A59" s="94"/>
      <c r="B59" s="82" t="s">
        <v>234</v>
      </c>
      <c r="C59" s="87" t="n">
        <f aca="false">'Revenue Allocation'!$AG57</f>
        <v>0</v>
      </c>
      <c r="D59" s="87" t="n">
        <v>0</v>
      </c>
      <c r="E59" s="93"/>
      <c r="F59" s="87" t="n">
        <v>0</v>
      </c>
      <c r="G59" s="93"/>
      <c r="H59" s="87" t="n">
        <v>0</v>
      </c>
      <c r="I59" s="93"/>
      <c r="J59" s="87" t="n">
        <v>0</v>
      </c>
      <c r="K59" s="93"/>
      <c r="L59" s="87" t="n">
        <v>0</v>
      </c>
      <c r="M59" s="93"/>
      <c r="N59" s="93"/>
      <c r="O59" s="87" t="n">
        <v>0</v>
      </c>
      <c r="P59" s="93"/>
      <c r="Q59" s="87" t="n">
        <v>0</v>
      </c>
      <c r="R59" s="93"/>
      <c r="S59" s="87" t="n">
        <v>0</v>
      </c>
      <c r="T59" s="93"/>
      <c r="U59" s="87" t="n">
        <v>0</v>
      </c>
      <c r="V59" s="93"/>
      <c r="W59" s="87" t="n">
        <v>0</v>
      </c>
      <c r="X59" s="93"/>
      <c r="Z59" s="89" t="n">
        <f aca="false">'Revenue Allocation'!$AC57</f>
        <v>0</v>
      </c>
    </row>
    <row r="60" customFormat="false" ht="12.75" hidden="true" customHeight="false" outlineLevel="0" collapsed="false">
      <c r="A60" s="94"/>
      <c r="B60" s="82" t="s">
        <v>231</v>
      </c>
      <c r="C60" s="87" t="n">
        <f aca="false">'Revenue Allocation'!$AG58</f>
        <v>0</v>
      </c>
      <c r="D60" s="87" t="n">
        <v>0</v>
      </c>
      <c r="E60" s="93"/>
      <c r="F60" s="87" t="n">
        <v>0</v>
      </c>
      <c r="G60" s="93"/>
      <c r="H60" s="87" t="n">
        <v>0</v>
      </c>
      <c r="I60" s="93"/>
      <c r="J60" s="87" t="n">
        <v>0</v>
      </c>
      <c r="K60" s="93"/>
      <c r="L60" s="87" t="n">
        <v>0</v>
      </c>
      <c r="M60" s="93"/>
      <c r="N60" s="93"/>
      <c r="O60" s="87" t="n">
        <v>0</v>
      </c>
      <c r="P60" s="93"/>
      <c r="Q60" s="87" t="n">
        <v>0</v>
      </c>
      <c r="R60" s="93"/>
      <c r="S60" s="87" t="n">
        <v>0</v>
      </c>
      <c r="T60" s="93"/>
      <c r="U60" s="87" t="n">
        <v>0</v>
      </c>
      <c r="V60" s="93"/>
      <c r="W60" s="87" t="n">
        <v>0</v>
      </c>
      <c r="X60" s="93"/>
      <c r="Z60" s="89" t="n">
        <f aca="false">'Revenue Allocation'!$AC58</f>
        <v>0</v>
      </c>
    </row>
    <row r="61" customFormat="false" ht="12.75" hidden="true" customHeight="false" outlineLevel="0" collapsed="false">
      <c r="A61" s="94" t="s">
        <v>320</v>
      </c>
      <c r="B61" s="82"/>
      <c r="C61" s="87" t="n">
        <f aca="false">'Revenue Allocation'!$AG59</f>
        <v>0</v>
      </c>
      <c r="D61" s="87" t="n">
        <v>0</v>
      </c>
      <c r="E61" s="93"/>
      <c r="F61" s="87" t="n">
        <v>0</v>
      </c>
      <c r="G61" s="93"/>
      <c r="H61" s="87" t="n">
        <v>0</v>
      </c>
      <c r="I61" s="93"/>
      <c r="J61" s="87" t="n">
        <v>0</v>
      </c>
      <c r="K61" s="93"/>
      <c r="L61" s="87" t="n">
        <v>0</v>
      </c>
      <c r="M61" s="93"/>
      <c r="N61" s="93"/>
      <c r="O61" s="87" t="n">
        <v>0</v>
      </c>
      <c r="P61" s="93"/>
      <c r="Q61" s="87" t="n">
        <v>0</v>
      </c>
      <c r="R61" s="93"/>
      <c r="S61" s="87" t="n">
        <v>0</v>
      </c>
      <c r="T61" s="93"/>
      <c r="U61" s="87" t="n">
        <v>0</v>
      </c>
      <c r="V61" s="93"/>
      <c r="W61" s="87" t="n">
        <v>0</v>
      </c>
      <c r="X61" s="93"/>
      <c r="Z61" s="89" t="n">
        <f aca="false">'Revenue Allocation'!$AC59</f>
        <v>0</v>
      </c>
    </row>
    <row r="62" customFormat="false" ht="12.75" hidden="true" customHeight="false" outlineLevel="0" collapsed="false">
      <c r="A62" s="94"/>
      <c r="B62" s="82"/>
      <c r="C62" s="87" t="n">
        <f aca="false">'Revenue Allocation'!$AG60</f>
        <v>0</v>
      </c>
      <c r="D62" s="87" t="n">
        <v>0</v>
      </c>
      <c r="E62" s="93"/>
      <c r="F62" s="87" t="n">
        <v>0</v>
      </c>
      <c r="G62" s="93"/>
      <c r="H62" s="87" t="n">
        <v>0</v>
      </c>
      <c r="I62" s="93"/>
      <c r="J62" s="87" t="n">
        <v>0</v>
      </c>
      <c r="K62" s="93"/>
      <c r="L62" s="87" t="n">
        <v>0</v>
      </c>
      <c r="M62" s="93"/>
      <c r="N62" s="93"/>
      <c r="O62" s="87" t="n">
        <v>0</v>
      </c>
      <c r="P62" s="93"/>
      <c r="Q62" s="87" t="n">
        <v>0</v>
      </c>
      <c r="R62" s="93"/>
      <c r="S62" s="87" t="n">
        <v>0</v>
      </c>
      <c r="T62" s="93"/>
      <c r="U62" s="87" t="n">
        <v>0</v>
      </c>
      <c r="V62" s="93"/>
      <c r="W62" s="87" t="n">
        <v>0</v>
      </c>
      <c r="X62" s="93"/>
      <c r="Z62" s="89" t="n">
        <f aca="false">'Revenue Allocation'!$AC60</f>
        <v>0</v>
      </c>
    </row>
    <row r="63" customFormat="false" ht="12.75" hidden="true" customHeight="false" outlineLevel="0" collapsed="false">
      <c r="A63" s="94" t="s">
        <v>321</v>
      </c>
      <c r="B63" s="82" t="s">
        <v>236</v>
      </c>
      <c r="C63" s="87" t="n">
        <f aca="false">'Revenue Allocation'!$AG61</f>
        <v>0</v>
      </c>
      <c r="D63" s="87" t="n">
        <v>0</v>
      </c>
      <c r="E63" s="93"/>
      <c r="F63" s="87" t="n">
        <v>0</v>
      </c>
      <c r="G63" s="93"/>
      <c r="H63" s="87" t="n">
        <v>0</v>
      </c>
      <c r="I63" s="93"/>
      <c r="J63" s="87" t="n">
        <v>0</v>
      </c>
      <c r="K63" s="93"/>
      <c r="L63" s="87" t="n">
        <v>0</v>
      </c>
      <c r="M63" s="93"/>
      <c r="N63" s="93"/>
      <c r="O63" s="87" t="n">
        <v>0</v>
      </c>
      <c r="P63" s="93"/>
      <c r="Q63" s="87" t="n">
        <v>0</v>
      </c>
      <c r="R63" s="93"/>
      <c r="S63" s="87" t="n">
        <v>0</v>
      </c>
      <c r="T63" s="93"/>
      <c r="U63" s="87" t="n">
        <v>0</v>
      </c>
      <c r="V63" s="93"/>
      <c r="W63" s="87" t="n">
        <v>0</v>
      </c>
      <c r="X63" s="93"/>
      <c r="Z63" s="89" t="n">
        <f aca="false">'Revenue Allocation'!$AC61</f>
        <v>0</v>
      </c>
    </row>
    <row r="64" customFormat="false" ht="12.75" hidden="true" customHeight="false" outlineLevel="0" collapsed="false">
      <c r="A64" s="94"/>
      <c r="B64" s="82" t="s">
        <v>234</v>
      </c>
      <c r="C64" s="87" t="n">
        <f aca="false">'Revenue Allocation'!$AG62</f>
        <v>0</v>
      </c>
      <c r="D64" s="87" t="n">
        <v>0</v>
      </c>
      <c r="E64" s="93"/>
      <c r="F64" s="87" t="n">
        <v>0</v>
      </c>
      <c r="G64" s="93"/>
      <c r="H64" s="87" t="n">
        <v>0</v>
      </c>
      <c r="I64" s="93"/>
      <c r="J64" s="87" t="n">
        <v>0</v>
      </c>
      <c r="K64" s="93"/>
      <c r="L64" s="87" t="n">
        <v>0</v>
      </c>
      <c r="M64" s="93"/>
      <c r="N64" s="93"/>
      <c r="O64" s="87" t="n">
        <v>0</v>
      </c>
      <c r="P64" s="93"/>
      <c r="Q64" s="87" t="n">
        <v>0</v>
      </c>
      <c r="R64" s="93"/>
      <c r="S64" s="87" t="n">
        <v>0</v>
      </c>
      <c r="T64" s="93"/>
      <c r="U64" s="87" t="n">
        <v>0</v>
      </c>
      <c r="V64" s="93"/>
      <c r="W64" s="87" t="n">
        <v>0</v>
      </c>
      <c r="X64" s="93"/>
      <c r="Z64" s="89" t="n">
        <f aca="false">'Revenue Allocation'!$AC62</f>
        <v>0</v>
      </c>
    </row>
    <row r="65" customFormat="false" ht="12.75" hidden="true" customHeight="false" outlineLevel="0" collapsed="false">
      <c r="A65" s="94"/>
      <c r="B65" s="82" t="s">
        <v>231</v>
      </c>
      <c r="C65" s="87" t="n">
        <f aca="false">'Revenue Allocation'!$AG63</f>
        <v>0</v>
      </c>
      <c r="D65" s="87" t="n">
        <v>0</v>
      </c>
      <c r="E65" s="93"/>
      <c r="F65" s="87" t="n">
        <v>0</v>
      </c>
      <c r="G65" s="93"/>
      <c r="H65" s="87" t="n">
        <v>0</v>
      </c>
      <c r="I65" s="93"/>
      <c r="J65" s="87" t="n">
        <v>0</v>
      </c>
      <c r="K65" s="93"/>
      <c r="L65" s="87" t="n">
        <v>0</v>
      </c>
      <c r="M65" s="93"/>
      <c r="N65" s="93"/>
      <c r="O65" s="87" t="n">
        <v>0</v>
      </c>
      <c r="P65" s="93"/>
      <c r="Q65" s="87" t="n">
        <v>0</v>
      </c>
      <c r="R65" s="93"/>
      <c r="S65" s="87" t="n">
        <v>0</v>
      </c>
      <c r="T65" s="93"/>
      <c r="U65" s="87" t="n">
        <v>0</v>
      </c>
      <c r="V65" s="93"/>
      <c r="W65" s="87" t="n">
        <v>0</v>
      </c>
      <c r="X65" s="93"/>
      <c r="Z65" s="89" t="n">
        <f aca="false">'Revenue Allocation'!$AC63</f>
        <v>0</v>
      </c>
    </row>
    <row r="66" customFormat="false" ht="12.75" hidden="true" customHeight="false" outlineLevel="0" collapsed="false">
      <c r="A66" s="94" t="s">
        <v>322</v>
      </c>
      <c r="B66" s="82"/>
      <c r="C66" s="87" t="n">
        <f aca="false">'Revenue Allocation'!$AG64</f>
        <v>0</v>
      </c>
      <c r="D66" s="87" t="n">
        <v>0</v>
      </c>
      <c r="E66" s="93"/>
      <c r="F66" s="87" t="n">
        <v>0</v>
      </c>
      <c r="G66" s="93"/>
      <c r="H66" s="87" t="n">
        <v>0</v>
      </c>
      <c r="I66" s="93"/>
      <c r="J66" s="87" t="n">
        <v>0</v>
      </c>
      <c r="K66" s="93"/>
      <c r="L66" s="87" t="n">
        <v>0</v>
      </c>
      <c r="M66" s="93"/>
      <c r="N66" s="93"/>
      <c r="O66" s="87" t="n">
        <v>0</v>
      </c>
      <c r="P66" s="93"/>
      <c r="Q66" s="87" t="n">
        <v>0</v>
      </c>
      <c r="R66" s="93"/>
      <c r="S66" s="87" t="n">
        <v>0</v>
      </c>
      <c r="T66" s="93"/>
      <c r="U66" s="87" t="n">
        <v>0</v>
      </c>
      <c r="V66" s="93"/>
      <c r="W66" s="87" t="n">
        <v>0</v>
      </c>
      <c r="X66" s="93"/>
      <c r="Z66" s="89" t="n">
        <f aca="false">'Revenue Allocation'!$AC64</f>
        <v>0</v>
      </c>
    </row>
    <row r="67" customFormat="false" ht="12.75" hidden="true" customHeight="false" outlineLevel="0" collapsed="false">
      <c r="A67" s="94"/>
      <c r="B67" s="82"/>
      <c r="C67" s="87" t="n">
        <f aca="false">'Revenue Allocation'!$AG65</f>
        <v>0</v>
      </c>
      <c r="D67" s="87" t="n">
        <v>0</v>
      </c>
      <c r="E67" s="93"/>
      <c r="F67" s="87" t="n">
        <v>0</v>
      </c>
      <c r="G67" s="93"/>
      <c r="H67" s="87" t="n">
        <v>0</v>
      </c>
      <c r="I67" s="93"/>
      <c r="J67" s="87" t="n">
        <v>0</v>
      </c>
      <c r="K67" s="93"/>
      <c r="L67" s="87" t="n">
        <v>0</v>
      </c>
      <c r="M67" s="93"/>
      <c r="N67" s="93"/>
      <c r="O67" s="87" t="n">
        <v>0</v>
      </c>
      <c r="P67" s="93"/>
      <c r="Q67" s="87" t="n">
        <v>0</v>
      </c>
      <c r="R67" s="93"/>
      <c r="S67" s="87" t="n">
        <v>0</v>
      </c>
      <c r="T67" s="93"/>
      <c r="U67" s="87" t="n">
        <v>0</v>
      </c>
      <c r="V67" s="93"/>
      <c r="W67" s="87" t="n">
        <v>0</v>
      </c>
      <c r="X67" s="93"/>
      <c r="Z67" s="89" t="n">
        <f aca="false">'Revenue Allocation'!$AC65</f>
        <v>0</v>
      </c>
    </row>
    <row r="68" customFormat="false" ht="12.75" hidden="false" customHeight="false" outlineLevel="0" collapsed="false">
      <c r="A68" s="94"/>
      <c r="B68" s="82" t="s">
        <v>236</v>
      </c>
      <c r="C68" s="87" t="n">
        <f aca="false">'Revenue Allocation'!$AG66</f>
        <v>10.2428616654601</v>
      </c>
      <c r="D68" s="87" t="n">
        <v>13.3177928032469</v>
      </c>
      <c r="E68" s="88" t="n">
        <f aca="false">(D68-$C68)/$C68</f>
        <v>0.300202349520725</v>
      </c>
      <c r="F68" s="87" t="n">
        <v>13.1474772425679</v>
      </c>
      <c r="G68" s="88" t="n">
        <f aca="false">(F68-$C68)/$C68</f>
        <v>0.283574617326185</v>
      </c>
      <c r="H68" s="87" t="n">
        <v>12.4386312415321</v>
      </c>
      <c r="I68" s="88" t="n">
        <f aca="false">(H68-$C68)/$C68</f>
        <v>0.214370714726762</v>
      </c>
      <c r="J68" s="87" t="n">
        <v>13.1562063707492</v>
      </c>
      <c r="K68" s="88" t="n">
        <f aca="false">(J68-$C68)/$C68</f>
        <v>0.284426833090334</v>
      </c>
      <c r="L68" s="87" t="n">
        <v>11.2589055639006</v>
      </c>
      <c r="M68" s="88" t="n">
        <f aca="false">(L68-$C68)/$C68</f>
        <v>0.0991953158819593</v>
      </c>
      <c r="N68" s="88"/>
      <c r="O68" s="87" t="n">
        <v>16.6355495720514</v>
      </c>
      <c r="P68" s="88" t="n">
        <f aca="false">(O68-$C68)/$C68</f>
        <v>0.624111514475307</v>
      </c>
      <c r="Q68" s="87" t="n">
        <v>16.0881485203368</v>
      </c>
      <c r="R68" s="88" t="n">
        <f aca="false">(Q68-$C68)/$C68</f>
        <v>0.570669315449963</v>
      </c>
      <c r="S68" s="87" t="n">
        <v>13.8098890065038</v>
      </c>
      <c r="T68" s="88" t="n">
        <f aca="false">(S68-$C68)/$C68</f>
        <v>0.348245193340069</v>
      </c>
      <c r="U68" s="87" t="n">
        <v>16.116204288864</v>
      </c>
      <c r="V68" s="88" t="n">
        <f aca="false">(U68-$C68)/$C68</f>
        <v>0.573408371140018</v>
      </c>
      <c r="W68" s="87" t="n">
        <v>10.0182033020638</v>
      </c>
      <c r="X68" s="88" t="n">
        <f aca="false">(W68-$C68)/$C68</f>
        <v>-0.0219331638690199</v>
      </c>
      <c r="Z68" s="89" t="n">
        <f aca="false">'Revenue Allocation'!$AC66</f>
        <v>14.0697440620019</v>
      </c>
    </row>
    <row r="69" customFormat="false" ht="12.75" hidden="false" customHeight="false" outlineLevel="0" collapsed="false">
      <c r="A69" s="94"/>
      <c r="B69" s="82" t="s">
        <v>234</v>
      </c>
      <c r="C69" s="87" t="n">
        <f aca="false">'Revenue Allocation'!$AG67</f>
        <v>14.5513445201252</v>
      </c>
      <c r="D69" s="87" t="n">
        <v>17.6278226156758</v>
      </c>
      <c r="E69" s="88" t="n">
        <f aca="false">(D69-$C69)/$C69</f>
        <v>0.211422256637223</v>
      </c>
      <c r="F69" s="87" t="n">
        <v>17.4575070549968</v>
      </c>
      <c r="G69" s="88" t="n">
        <f aca="false">(F69-$C69)/$C69</f>
        <v>0.199717801393006</v>
      </c>
      <c r="H69" s="87" t="n">
        <v>16.7486610539609</v>
      </c>
      <c r="I69" s="88" t="n">
        <f aca="false">(H69-$C69)/$C69</f>
        <v>0.151004364634259</v>
      </c>
      <c r="J69" s="87" t="n">
        <v>17.5805456601605</v>
      </c>
      <c r="K69" s="88" t="n">
        <f aca="false">(J69-$C69)/$C69</f>
        <v>0.208173281571734</v>
      </c>
      <c r="L69" s="87" t="n">
        <v>16.462843611215</v>
      </c>
      <c r="M69" s="88" t="n">
        <f aca="false">(L69-$C69)/$C69</f>
        <v>0.131362369191804</v>
      </c>
      <c r="N69" s="88"/>
      <c r="O69" s="87" t="n">
        <v>19.4822559799635</v>
      </c>
      <c r="P69" s="88" t="n">
        <f aca="false">(O69-$C69)/$C69</f>
        <v>0.338862945140127</v>
      </c>
      <c r="Q69" s="87" t="n">
        <v>18.9348549282489</v>
      </c>
      <c r="R69" s="88" t="n">
        <f aca="false">(Q69-$C69)/$C69</f>
        <v>0.301244355946703</v>
      </c>
      <c r="S69" s="87" t="n">
        <v>16.6565954144159</v>
      </c>
      <c r="T69" s="88" t="n">
        <f aca="false">(S69-$C69)/$C69</f>
        <v>0.144677413924122</v>
      </c>
      <c r="U69" s="87" t="n">
        <v>19.3303059463452</v>
      </c>
      <c r="V69" s="88" t="n">
        <f aca="false">(U69-$C69)/$C69</f>
        <v>0.328420608804253</v>
      </c>
      <c r="W69" s="87" t="n">
        <v>15.7379666753052</v>
      </c>
      <c r="X69" s="88" t="n">
        <f aca="false">(W69-$C69)/$C69</f>
        <v>0.081547251770364</v>
      </c>
      <c r="Z69" s="89" t="n">
        <f aca="false">'Revenue Allocation'!$AC67</f>
        <v>18.3782269166671</v>
      </c>
    </row>
    <row r="70" customFormat="false" ht="12.75" hidden="false" customHeight="false" outlineLevel="0" collapsed="false">
      <c r="A70" s="94"/>
      <c r="B70" s="82" t="s">
        <v>231</v>
      </c>
      <c r="C70" s="90" t="n">
        <f aca="false">'Revenue Allocation'!$AG68</f>
        <v>11.9852865883156</v>
      </c>
      <c r="D70" s="90" t="n">
        <v>15.0617646838661</v>
      </c>
      <c r="E70" s="91" t="n">
        <f aca="false">(D70-$C70)/$C70</f>
        <v>0.256687904196618</v>
      </c>
      <c r="F70" s="90" t="n">
        <v>14.8914491231871</v>
      </c>
      <c r="G70" s="91" t="n">
        <f aca="false">(F70-$C70)/$C70</f>
        <v>0.24247751720053</v>
      </c>
      <c r="H70" s="90" t="n">
        <v>14.1826031221513</v>
      </c>
      <c r="I70" s="91" t="n">
        <f aca="false">(H70-$C70)/$C70</f>
        <v>0.183334500818518</v>
      </c>
      <c r="J70" s="90" t="n">
        <v>15.0859311514649</v>
      </c>
      <c r="K70" s="91" t="n">
        <f aca="false">(J70-$C70)/$C70</f>
        <v>0.258704248772172</v>
      </c>
      <c r="L70" s="90" t="n">
        <v>12.9964582635516</v>
      </c>
      <c r="M70" s="91" t="n">
        <f aca="false">(L70-$C70)/$C70</f>
        <v>0.0843677510575221</v>
      </c>
      <c r="N70" s="91"/>
      <c r="O70" s="90" t="n">
        <v>18.0547461750581</v>
      </c>
      <c r="P70" s="91" t="n">
        <f aca="false">(O70-$C70)/$C70</f>
        <v>0.5064092161684</v>
      </c>
      <c r="Q70" s="90" t="n">
        <v>17.5073451233435</v>
      </c>
      <c r="R70" s="91" t="n">
        <f aca="false">(Q70-$C70)/$C70</f>
        <v>0.4607364616889</v>
      </c>
      <c r="S70" s="90" t="n">
        <v>15.2290856095105</v>
      </c>
      <c r="T70" s="91" t="n">
        <f aca="false">(S70-$C70)/$C70</f>
        <v>0.270648431916286</v>
      </c>
      <c r="U70" s="90" t="n">
        <v>18.1324181724204</v>
      </c>
      <c r="V70" s="91" t="n">
        <f aca="false">(U70-$C70)/$C70</f>
        <v>0.512889828608493</v>
      </c>
      <c r="W70" s="90" t="n">
        <v>11.4167683996514</v>
      </c>
      <c r="X70" s="91" t="n">
        <f aca="false">(W70-$C70)/$C70</f>
        <v>-0.0474346762152856</v>
      </c>
      <c r="Z70" s="89" t="n">
        <f aca="false">'Revenue Allocation'!$AC68</f>
        <v>15.8121689848574</v>
      </c>
    </row>
    <row r="71" customFormat="false" ht="12.75" hidden="false" customHeight="false" outlineLevel="0" collapsed="false">
      <c r="A71" s="95" t="s">
        <v>323</v>
      </c>
      <c r="B71" s="98"/>
      <c r="C71" s="87" t="n">
        <f aca="false">'Revenue Allocation'!$AG69</f>
        <v>11.089756378185</v>
      </c>
      <c r="D71" s="87" t="n">
        <v>14.1650323089253</v>
      </c>
      <c r="E71" s="88" t="n">
        <f aca="false">(D71-$C71)/$C71</f>
        <v>0.277307798825025</v>
      </c>
      <c r="F71" s="87" t="n">
        <v>13.9947167482463</v>
      </c>
      <c r="G71" s="88" t="n">
        <f aca="false">(F71-$C71)/$C71</f>
        <v>0.261949881584027</v>
      </c>
      <c r="H71" s="87" t="n">
        <v>13.2858707472104</v>
      </c>
      <c r="I71" s="88" t="n">
        <f aca="false">(H71-$C71)/$C71</f>
        <v>0.198030893928874</v>
      </c>
      <c r="J71" s="87" t="n">
        <v>14.0320809245649</v>
      </c>
      <c r="K71" s="88" t="n">
        <f aca="false">(J71-$C71)/$C71</f>
        <v>0.265319132904292</v>
      </c>
      <c r="L71" s="87" t="n">
        <v>12.2655960363654</v>
      </c>
      <c r="M71" s="88" t="n">
        <f aca="false">(L71-$C71)/$C71</f>
        <v>0.106029349796485</v>
      </c>
      <c r="N71" s="88"/>
      <c r="O71" s="87" t="n">
        <v>17.206951749691</v>
      </c>
      <c r="P71" s="88" t="n">
        <f aca="false">(O71-$C71)/$C71</f>
        <v>0.551607732658522</v>
      </c>
      <c r="Q71" s="87" t="n">
        <v>16.6595506979764</v>
      </c>
      <c r="R71" s="88" t="n">
        <f aca="false">(Q71-$C71)/$C71</f>
        <v>0.502246769888285</v>
      </c>
      <c r="S71" s="87" t="n">
        <v>14.3812911841434</v>
      </c>
      <c r="T71" s="88" t="n">
        <f aca="false">(S71-$C71)/$C71</f>
        <v>0.296808576645855</v>
      </c>
      <c r="U71" s="87" t="n">
        <v>16.7796406611702</v>
      </c>
      <c r="V71" s="88" t="n">
        <f aca="false">(U71-$C71)/$C71</f>
        <v>0.513075678937177</v>
      </c>
      <c r="W71" s="87" t="n">
        <v>11.1020872903369</v>
      </c>
      <c r="X71" s="88" t="n">
        <f aca="false">(W71-$C71)/$C71</f>
        <v>0.00111191911989549</v>
      </c>
      <c r="Z71" s="89" t="n">
        <f aca="false">'Revenue Allocation'!$AC69</f>
        <v>14.9166387747269</v>
      </c>
    </row>
    <row r="72" customFormat="false" ht="12.75" hidden="false" customHeight="false" outlineLevel="0" collapsed="false">
      <c r="A72" s="85"/>
      <c r="B72" s="82"/>
      <c r="C72" s="87" t="n">
        <f aca="false">'Revenue Allocation'!$AG70</f>
        <v>0</v>
      </c>
      <c r="D72" s="87" t="n">
        <v>0</v>
      </c>
      <c r="E72" s="93"/>
      <c r="F72" s="87" t="n">
        <v>0</v>
      </c>
      <c r="G72" s="93"/>
      <c r="H72" s="87" t="n">
        <v>0</v>
      </c>
      <c r="I72" s="93"/>
      <c r="J72" s="87" t="n">
        <v>0</v>
      </c>
      <c r="K72" s="93"/>
      <c r="L72" s="87" t="n">
        <v>0</v>
      </c>
      <c r="M72" s="93"/>
      <c r="N72" s="93"/>
      <c r="O72" s="87" t="n">
        <v>0</v>
      </c>
      <c r="P72" s="93"/>
      <c r="Q72" s="87" t="n">
        <v>0</v>
      </c>
      <c r="R72" s="93"/>
      <c r="S72" s="87" t="n">
        <v>0</v>
      </c>
      <c r="T72" s="93"/>
      <c r="U72" s="87" t="n">
        <v>0</v>
      </c>
      <c r="V72" s="93"/>
      <c r="W72" s="87" t="n">
        <v>0</v>
      </c>
      <c r="X72" s="93"/>
      <c r="Z72" s="89" t="n">
        <f aca="false">'Revenue Allocation'!$AC70</f>
        <v>0</v>
      </c>
    </row>
    <row r="73" customFormat="false" ht="12.75" hidden="false" customHeight="false" outlineLevel="0" collapsed="false">
      <c r="A73" s="94" t="s">
        <v>324</v>
      </c>
      <c r="B73" s="79" t="s">
        <v>231</v>
      </c>
      <c r="C73" s="87" t="n">
        <f aca="false">'Revenue Allocation'!$AG71</f>
        <v>22.0825773687292</v>
      </c>
      <c r="D73" s="87" t="n">
        <v>25.1590554642798</v>
      </c>
      <c r="E73" s="88" t="n">
        <f aca="false">(D73-$C73)/$C73</f>
        <v>0.139316984796671</v>
      </c>
      <c r="F73" s="87" t="n">
        <v>25.0779436001477</v>
      </c>
      <c r="G73" s="88" t="n">
        <f aca="false">(F73-$C73)/$C73</f>
        <v>0.135643868983347</v>
      </c>
      <c r="H73" s="87" t="n">
        <v>25.837779699041</v>
      </c>
      <c r="I73" s="88" t="n">
        <f aca="false">(H73-$C73)/$C73</f>
        <v>0.170052719282193</v>
      </c>
      <c r="J73" s="87" t="n">
        <v>25.1832219318786</v>
      </c>
      <c r="K73" s="88" t="n">
        <f aca="false">(J73-$C73)/$C73</f>
        <v>0.14041135286772</v>
      </c>
      <c r="L73" s="87" t="n">
        <v>25.9544381513554</v>
      </c>
      <c r="M73" s="88" t="n">
        <f aca="false">(L73-$C73)/$C73</f>
        <v>0.175335547023104</v>
      </c>
      <c r="N73" s="88"/>
      <c r="O73" s="87" t="n">
        <v>22.1383007568779</v>
      </c>
      <c r="P73" s="88" t="n">
        <f aca="false">(O73-$C73)/$C73</f>
        <v>0.00252340961918731</v>
      </c>
      <c r="Q73" s="87" t="n">
        <v>21.8776039681911</v>
      </c>
      <c r="R73" s="88" t="n">
        <f aca="false">(Q73-$C73)/$C73</f>
        <v>-0.00928213211327325</v>
      </c>
      <c r="S73" s="87" t="n">
        <v>24.3197477042462</v>
      </c>
      <c r="T73" s="88" t="n">
        <f aca="false">(S73-$C73)/$C73</f>
        <v>0.101309294570163</v>
      </c>
      <c r="U73" s="87" t="n">
        <v>22.2159727542402</v>
      </c>
      <c r="V73" s="88" t="n">
        <f aca="false">(U73-$C73)/$C73</f>
        <v>0.006040752548202</v>
      </c>
      <c r="W73" s="87" t="n">
        <v>24.6946926548643</v>
      </c>
      <c r="X73" s="88" t="n">
        <f aca="false">(W73-$C73)/$C73</f>
        <v>0.118288515082212</v>
      </c>
      <c r="Z73" s="89" t="n">
        <f aca="false">'Revenue Allocation'!$AC71</f>
        <v>25.9094597652711</v>
      </c>
    </row>
    <row r="74" customFormat="false" ht="12.75" hidden="false" customHeight="false" outlineLevel="0" collapsed="false">
      <c r="A74" s="94" t="s">
        <v>325</v>
      </c>
      <c r="B74" s="79" t="s">
        <v>231</v>
      </c>
      <c r="C74" s="87" t="n">
        <f aca="false">'Revenue Allocation'!$AG72</f>
        <v>16.0251741658057</v>
      </c>
      <c r="D74" s="87" t="n">
        <v>19.1016522613562</v>
      </c>
      <c r="E74" s="88" t="n">
        <f aca="false">(D74-$C74)/$C74</f>
        <v>0.191977825870692</v>
      </c>
      <c r="F74" s="87" t="n">
        <v>18.8037910643864</v>
      </c>
      <c r="G74" s="88" t="n">
        <f aca="false">(F74-$C74)/$C74</f>
        <v>0.173390745699959</v>
      </c>
      <c r="H74" s="87" t="n">
        <v>19.9100241607722</v>
      </c>
      <c r="I74" s="88" t="n">
        <f aca="false">(H74-$C74)/$C74</f>
        <v>0.242421701927958</v>
      </c>
      <c r="J74" s="87" t="n">
        <v>19.1258187289551</v>
      </c>
      <c r="K74" s="88" t="n">
        <f aca="false">(J74-$C74)/$C74</f>
        <v>0.193485857380914</v>
      </c>
      <c r="L74" s="87" t="n">
        <v>19.0632623289553</v>
      </c>
      <c r="M74" s="88" t="n">
        <f aca="false">(L74-$C74)/$C74</f>
        <v>0.189582224300081</v>
      </c>
      <c r="N74" s="88"/>
      <c r="O74" s="87" t="n">
        <v>18.343814529487</v>
      </c>
      <c r="P74" s="88" t="n">
        <f aca="false">(O74-$C74)/$C74</f>
        <v>0.14468737373406</v>
      </c>
      <c r="Q74" s="87" t="n">
        <v>17.3864766806362</v>
      </c>
      <c r="R74" s="88" t="n">
        <f aca="false">(Q74-$C74)/$C74</f>
        <v>0.0849477516278919</v>
      </c>
      <c r="S74" s="87" t="n">
        <v>20.9419542775683</v>
      </c>
      <c r="T74" s="88" t="n">
        <f aca="false">(S74-$C74)/$C74</f>
        <v>0.306816017154686</v>
      </c>
      <c r="U74" s="87" t="n">
        <v>18.4214865268493</v>
      </c>
      <c r="V74" s="88" t="n">
        <f aca="false">(U74-$C74)/$C74</f>
        <v>0.149534247568857</v>
      </c>
      <c r="W74" s="87" t="n">
        <v>18.2204277450514</v>
      </c>
      <c r="X74" s="88" t="n">
        <f aca="false">(W74-$C74)/$C74</f>
        <v>0.136987814081295</v>
      </c>
      <c r="Z74" s="89" t="n">
        <f aca="false">'Revenue Allocation'!$AC72</f>
        <v>19.8520565623476</v>
      </c>
    </row>
    <row r="75" customFormat="false" ht="12.75" hidden="false" customHeight="false" outlineLevel="0" collapsed="false">
      <c r="A75" s="94" t="s">
        <v>326</v>
      </c>
      <c r="B75" s="79" t="s">
        <v>231</v>
      </c>
      <c r="C75" s="87" t="n">
        <f aca="false">'Revenue Allocation'!$AG73</f>
        <v>15.8031791287685</v>
      </c>
      <c r="D75" s="87" t="n">
        <v>18.8796572243191</v>
      </c>
      <c r="E75" s="88" t="n">
        <f aca="false">(D75-$C75)/$C75</f>
        <v>0.194674632900291</v>
      </c>
      <c r="F75" s="87" t="n">
        <v>18.7304688549275</v>
      </c>
      <c r="G75" s="88" t="n">
        <f aca="false">(F75-$C75)/$C75</f>
        <v>0.185234230549858</v>
      </c>
      <c r="H75" s="87" t="n">
        <v>19.7609559351034</v>
      </c>
      <c r="I75" s="88" t="n">
        <f aca="false">(H75-$C75)/$C75</f>
        <v>0.25044181136503</v>
      </c>
      <c r="J75" s="87" t="n">
        <v>18.9038236919179</v>
      </c>
      <c r="K75" s="88" t="n">
        <f aca="false">(J75-$C75)/$C75</f>
        <v>0.196203848471532</v>
      </c>
      <c r="L75" s="87" t="n">
        <v>19.7404702359873</v>
      </c>
      <c r="M75" s="88" t="n">
        <f aca="false">(L75-$C75)/$C75</f>
        <v>0.249145508959729</v>
      </c>
      <c r="N75" s="88"/>
      <c r="O75" s="87" t="n">
        <v>17.82999657582</v>
      </c>
      <c r="P75" s="88" t="n">
        <f aca="false">(O75-$C75)/$C75</f>
        <v>0.128253779226094</v>
      </c>
      <c r="Q75" s="87" t="n">
        <v>17.3504991653488</v>
      </c>
      <c r="R75" s="88" t="n">
        <f aca="false">(Q75-$C75)/$C75</f>
        <v>0.0979119469552518</v>
      </c>
      <c r="S75" s="87" t="n">
        <v>20.6625260243024</v>
      </c>
      <c r="T75" s="88" t="n">
        <f aca="false">(S75-$C75)/$C75</f>
        <v>0.307491730362521</v>
      </c>
      <c r="U75" s="87" t="n">
        <v>17.9076685731823</v>
      </c>
      <c r="V75" s="88" t="n">
        <f aca="false">(U75-$C75)/$C75</f>
        <v>0.133168739483737</v>
      </c>
      <c r="W75" s="87" t="n">
        <v>20.5966841646595</v>
      </c>
      <c r="X75" s="88" t="n">
        <f aca="false">(W75-$C75)/$C75</f>
        <v>0.30332536237375</v>
      </c>
      <c r="Z75" s="89" t="n">
        <f aca="false">'Revenue Allocation'!$AC73</f>
        <v>19.6300615253104</v>
      </c>
    </row>
    <row r="76" customFormat="false" ht="12.75" hidden="false" customHeight="false" outlineLevel="0" collapsed="false">
      <c r="A76" s="94" t="s">
        <v>327</v>
      </c>
      <c r="B76" s="79" t="s">
        <v>231</v>
      </c>
      <c r="C76" s="87" t="n">
        <f aca="false">'Revenue Allocation'!$AG74</f>
        <v>15.2534058478126</v>
      </c>
      <c r="D76" s="87" t="n">
        <v>18.3297371138289</v>
      </c>
      <c r="E76" s="88" t="n">
        <f aca="false">(D76-$C76)/$C76</f>
        <v>0.201681597979469</v>
      </c>
      <c r="F76" s="87" t="n">
        <v>18.0029238399096</v>
      </c>
      <c r="G76" s="88" t="n">
        <f aca="false">(F76-$C76)/$C76</f>
        <v>0.180256004431382</v>
      </c>
      <c r="H76" s="87" t="n">
        <v>19.0088136520267</v>
      </c>
      <c r="I76" s="88" t="n">
        <f aca="false">(H76-$C76)/$C76</f>
        <v>0.246201264273879</v>
      </c>
      <c r="J76" s="87" t="n">
        <v>18.3539035814277</v>
      </c>
      <c r="K76" s="88" t="n">
        <f aca="false">(J76-$C76)/$C76</f>
        <v>0.203265930543614</v>
      </c>
      <c r="L76" s="87" t="n">
        <v>18.1361070645956</v>
      </c>
      <c r="M76" s="88" t="n">
        <f aca="false">(L76-$C76)/$C76</f>
        <v>0.18898738062466</v>
      </c>
      <c r="N76" s="88"/>
      <c r="O76" s="87" t="n">
        <v>17.7575844426211</v>
      </c>
      <c r="P76" s="88" t="n">
        <f aca="false">(O76-$C76)/$C76</f>
        <v>0.164171767262558</v>
      </c>
      <c r="Q76" s="87" t="n">
        <v>16.7071934557701</v>
      </c>
      <c r="R76" s="88" t="n">
        <f aca="false">(Q76-$C76)/$C76</f>
        <v>0.0953090491698888</v>
      </c>
      <c r="S76" s="87" t="n">
        <v>19.9401637073826</v>
      </c>
      <c r="T76" s="88" t="n">
        <f aca="false">(S76-$C76)/$C76</f>
        <v>0.307259762595386</v>
      </c>
      <c r="U76" s="87" t="n">
        <v>17.8352564399834</v>
      </c>
      <c r="V76" s="88" t="n">
        <f aca="false">(U76-$C76)/$C76</f>
        <v>0.169263875748837</v>
      </c>
      <c r="W76" s="87" t="n">
        <v>17.135249688408</v>
      </c>
      <c r="X76" s="88" t="n">
        <f aca="false">(W76-$C76)/$C76</f>
        <v>0.123372042897894</v>
      </c>
      <c r="Z76" s="89" t="n">
        <f aca="false">'Revenue Allocation'!$AC74</f>
        <v>19.0802882443545</v>
      </c>
    </row>
    <row r="77" customFormat="false" ht="12.75" hidden="false" customHeight="false" outlineLevel="0" collapsed="false">
      <c r="A77" s="94" t="s">
        <v>328</v>
      </c>
      <c r="B77" s="79" t="s">
        <v>231</v>
      </c>
      <c r="C77" s="87" t="n">
        <f aca="false">'Revenue Allocation'!$AG75</f>
        <v>12.3505570798772</v>
      </c>
      <c r="D77" s="87" t="n">
        <v>15.4132221378477</v>
      </c>
      <c r="E77" s="88" t="n">
        <f aca="false">(D77-$C77)/$C77</f>
        <v>0.247977887812077</v>
      </c>
      <c r="F77" s="87" t="n">
        <v>15.2945650238153</v>
      </c>
      <c r="G77" s="88" t="n">
        <f aca="false">(F77-$C77)/$C77</f>
        <v>0.23837045769658</v>
      </c>
      <c r="H77" s="87" t="n">
        <v>16.0101405341513</v>
      </c>
      <c r="I77" s="88" t="n">
        <f aca="false">(H77-$C77)/$C77</f>
        <v>0.296309181084357</v>
      </c>
      <c r="J77" s="87" t="n">
        <v>15.4373857134695</v>
      </c>
      <c r="K77" s="88" t="n">
        <f aca="false">(J77-$C77)/$C77</f>
        <v>0.249934364387634</v>
      </c>
      <c r="L77" s="87" t="n">
        <v>15.8058378863497</v>
      </c>
      <c r="M77" s="88" t="n">
        <f aca="false">(L77-$C77)/$C77</f>
        <v>0.279767202736321</v>
      </c>
      <c r="N77" s="88"/>
      <c r="O77" s="87" t="n">
        <v>15.3277875207542</v>
      </c>
      <c r="P77" s="88" t="n">
        <f aca="false">(O77-$C77)/$C77</f>
        <v>0.241060417082542</v>
      </c>
      <c r="Q77" s="87" t="n">
        <v>14.9464187911103</v>
      </c>
      <c r="R77" s="88" t="n">
        <f aca="false">(Q77-$C77)/$C77</f>
        <v>0.210181750867131</v>
      </c>
      <c r="S77" s="87" t="n">
        <v>17.2463072180838</v>
      </c>
      <c r="T77" s="88" t="n">
        <f aca="false">(S77-$C77)/$C77</f>
        <v>0.396399134593143</v>
      </c>
      <c r="U77" s="87" t="n">
        <v>15.4054502231864</v>
      </c>
      <c r="V77" s="88" t="n">
        <f aca="false">(U77-$C77)/$C77</f>
        <v>0.24734861136641</v>
      </c>
      <c r="W77" s="87" t="n">
        <v>16.589670303472</v>
      </c>
      <c r="X77" s="88" t="n">
        <f aca="false">(W77-$C77)/$C77</f>
        <v>0.343232551874243</v>
      </c>
      <c r="Z77" s="89" t="n">
        <f aca="false">'Revenue Allocation'!$AC75</f>
        <v>16.1774394764191</v>
      </c>
    </row>
    <row r="78" customFormat="false" ht="12.75" hidden="false" customHeight="false" outlineLevel="0" collapsed="false">
      <c r="A78" s="94" t="s">
        <v>329</v>
      </c>
      <c r="B78" s="79"/>
      <c r="C78" s="87" t="n">
        <f aca="false">'Revenue Allocation'!$AG76</f>
        <v>17.2452235911535</v>
      </c>
      <c r="D78" s="87" t="n">
        <v>20.4036683974807</v>
      </c>
      <c r="E78" s="88" t="n">
        <f aca="false">(D78-$C78)/$C78</f>
        <v>0.183148962356597</v>
      </c>
      <c r="F78" s="87" t="n">
        <v>20.2688055325142</v>
      </c>
      <c r="G78" s="88" t="n">
        <f aca="false">(F78-$C78)/$C78</f>
        <v>0.175328659867988</v>
      </c>
      <c r="H78" s="87" t="n">
        <v>21.0706275353555</v>
      </c>
      <c r="I78" s="88" t="n">
        <f aca="false">(H78-$C78)/$C78</f>
        <v>0.221823969053343</v>
      </c>
      <c r="J78" s="87" t="n">
        <v>20.4279323394885</v>
      </c>
      <c r="K78" s="88" t="n">
        <f aca="false">(J78-$C78)/$C78</f>
        <v>0.184555957277798</v>
      </c>
      <c r="L78" s="87" t="n">
        <v>21.8355187245798</v>
      </c>
      <c r="M78" s="88" t="n">
        <f aca="false">(L78-$C78)/$C78</f>
        <v>0.266177768537662</v>
      </c>
      <c r="N78" s="88"/>
      <c r="O78" s="87" t="n">
        <v>17.8649995797514</v>
      </c>
      <c r="P78" s="88" t="n">
        <f aca="false">(O78-$C78)/$C78</f>
        <v>0.0359389940827355</v>
      </c>
      <c r="Q78" s="87" t="n">
        <v>17.4315449157994</v>
      </c>
      <c r="R78" s="88" t="n">
        <f aca="false">(Q78-$C78)/$C78</f>
        <v>0.0108042278292905</v>
      </c>
      <c r="S78" s="87" t="n">
        <v>20.0086330332526</v>
      </c>
      <c r="T78" s="88" t="n">
        <f aca="false">(S78-$C78)/$C78</f>
        <v>0.160242018753338</v>
      </c>
      <c r="U78" s="87" t="n">
        <v>17.9429848637784</v>
      </c>
      <c r="V78" s="88" t="n">
        <f aca="false">(U78-$C78)/$C78</f>
        <v>0.0404611322629015</v>
      </c>
      <c r="W78" s="87" t="n">
        <v>22.4670240326385</v>
      </c>
      <c r="X78" s="88" t="n">
        <f aca="false">(W78-$C78)/$C78</f>
        <v>0.302796911497497</v>
      </c>
      <c r="Z78" s="89" t="n">
        <f aca="false">'Revenue Allocation'!$AC76</f>
        <v>21.0721059876954</v>
      </c>
    </row>
    <row r="79" customFormat="false" ht="12.75" hidden="false" customHeight="false" outlineLevel="0" collapsed="false">
      <c r="A79" s="94" t="s">
        <v>330</v>
      </c>
      <c r="B79" s="79" t="s">
        <v>231</v>
      </c>
      <c r="C79" s="87" t="n">
        <f aca="false">'Revenue Allocation'!$AG77</f>
        <v>15.0708336377313</v>
      </c>
      <c r="D79" s="87" t="n">
        <v>18.1473117332818</v>
      </c>
      <c r="E79" s="88" t="n">
        <f aca="false">(D79-$C79)/$C79</f>
        <v>0.204134566773287</v>
      </c>
      <c r="F79" s="87" t="n">
        <v>18.0106431809495</v>
      </c>
      <c r="G79" s="88" t="n">
        <f aca="false">(F79-$C79)/$C79</f>
        <v>0.195066153199258</v>
      </c>
      <c r="H79" s="87" t="n">
        <v>18.5995048583339</v>
      </c>
      <c r="I79" s="88" t="n">
        <f aca="false">(H79-$C79)/$C79</f>
        <v>0.234139086491423</v>
      </c>
      <c r="J79" s="87" t="n">
        <v>18.1714782008806</v>
      </c>
      <c r="K79" s="88" t="n">
        <f aca="false">(J79-$C79)/$C79</f>
        <v>0.205738092376431</v>
      </c>
      <c r="L79" s="87" t="n">
        <v>19.0139186774757</v>
      </c>
      <c r="M79" s="88" t="n">
        <f aca="false">(L79-$C79)/$C79</f>
        <v>0.261636823451663</v>
      </c>
      <c r="N79" s="88"/>
      <c r="O79" s="87" t="n">
        <v>16.3358710793089</v>
      </c>
      <c r="P79" s="88" t="n">
        <f aca="false">(O79-$C79)/$C79</f>
        <v>0.0839394470131022</v>
      </c>
      <c r="Q79" s="87" t="n">
        <v>15.8966128636486</v>
      </c>
      <c r="R79" s="88" t="n">
        <f aca="false">(Q79-$C79)/$C79</f>
        <v>0.0547932016083007</v>
      </c>
      <c r="S79" s="87" t="n">
        <v>17.7892379428226</v>
      </c>
      <c r="T79" s="88" t="n">
        <f aca="false">(S79-$C79)/$C79</f>
        <v>0.180375178336888</v>
      </c>
      <c r="U79" s="87" t="n">
        <v>16.4135430766712</v>
      </c>
      <c r="V79" s="88" t="n">
        <f aca="false">(U79-$C79)/$C79</f>
        <v>0.0890932426974933</v>
      </c>
      <c r="W79" s="87" t="n">
        <v>19.1211805999641</v>
      </c>
      <c r="X79" s="88" t="n">
        <f aca="false">(W79-$C79)/$C79</f>
        <v>0.268754009207058</v>
      </c>
      <c r="Z79" s="89" t="n">
        <f aca="false">'Revenue Allocation'!$AC77</f>
        <v>18.8977160342731</v>
      </c>
    </row>
    <row r="80" customFormat="false" ht="12.75" hidden="false" customHeight="false" outlineLevel="0" collapsed="false">
      <c r="A80" s="94" t="s">
        <v>331</v>
      </c>
      <c r="B80" s="79" t="s">
        <v>231</v>
      </c>
      <c r="C80" s="87" t="n">
        <f aca="false">'Revenue Allocation'!$AG78</f>
        <v>14.2462459583439</v>
      </c>
      <c r="D80" s="87" t="n">
        <v>17.3227240538945</v>
      </c>
      <c r="E80" s="88" t="n">
        <f aca="false">(D80-$C80)/$C80</f>
        <v>0.215950089907628</v>
      </c>
      <c r="F80" s="87" t="n">
        <v>17.1860555015622</v>
      </c>
      <c r="G80" s="88" t="n">
        <f aca="false">(F80-$C80)/$C80</f>
        <v>0.206356787031071</v>
      </c>
      <c r="H80" s="87" t="n">
        <v>17.7749171789465</v>
      </c>
      <c r="I80" s="88" t="n">
        <f aca="false">(H80-$C80)/$C80</f>
        <v>0.247691302741821</v>
      </c>
      <c r="J80" s="87" t="n">
        <v>17.3468905214933</v>
      </c>
      <c r="K80" s="88" t="n">
        <f aca="false">(J80-$C80)/$C80</f>
        <v>0.217646429256919</v>
      </c>
      <c r="L80" s="87" t="n">
        <v>18.1893309980884</v>
      </c>
      <c r="M80" s="88" t="n">
        <f aca="false">(L80-$C80)/$C80</f>
        <v>0.276780637599131</v>
      </c>
      <c r="N80" s="88"/>
      <c r="O80" s="87" t="n">
        <v>16.1874118768228</v>
      </c>
      <c r="P80" s="88" t="n">
        <f aca="false">(O80-$C80)/$C80</f>
        <v>0.136258065749734</v>
      </c>
      <c r="Q80" s="87" t="n">
        <v>15.7481536611626</v>
      </c>
      <c r="R80" s="88" t="n">
        <f aca="false">(Q80-$C80)/$C80</f>
        <v>0.105424805047606</v>
      </c>
      <c r="S80" s="87" t="n">
        <v>17.6407787403366</v>
      </c>
      <c r="T80" s="88" t="n">
        <f aca="false">(S80-$C80)/$C80</f>
        <v>0.238275598492281</v>
      </c>
      <c r="U80" s="87" t="n">
        <v>16.2650838741852</v>
      </c>
      <c r="V80" s="88" t="n">
        <f aca="false">(U80-$C80)/$C80</f>
        <v>0.141710168541545</v>
      </c>
      <c r="W80" s="87" t="n">
        <v>18.9727213974781</v>
      </c>
      <c r="X80" s="88" t="n">
        <f aca="false">(W80-$C80)/$C80</f>
        <v>0.33176988892052</v>
      </c>
      <c r="Z80" s="89" t="n">
        <f aca="false">'Revenue Allocation'!$AC78</f>
        <v>18.0731283548858</v>
      </c>
    </row>
    <row r="81" customFormat="false" ht="12.75" hidden="true" customHeight="false" outlineLevel="0" collapsed="false">
      <c r="A81" s="94" t="s">
        <v>332</v>
      </c>
      <c r="B81" s="79" t="s">
        <v>231</v>
      </c>
      <c r="C81" s="87" t="n">
        <f aca="false">'Revenue Allocation'!$AG79</f>
        <v>0</v>
      </c>
      <c r="D81" s="87" t="n">
        <v>0</v>
      </c>
      <c r="E81" s="88" t="e">
        <f aca="false">(D81-$C81)/$C81</f>
        <v>#DIV/0!</v>
      </c>
      <c r="F81" s="87" t="n">
        <v>0</v>
      </c>
      <c r="G81" s="88" t="e">
        <f aca="false">(F81-$C81)/$C81</f>
        <v>#DIV/0!</v>
      </c>
      <c r="H81" s="87" t="n">
        <v>0</v>
      </c>
      <c r="I81" s="88" t="e">
        <f aca="false">(H81-$C81)/$C81</f>
        <v>#DIV/0!</v>
      </c>
      <c r="J81" s="87" t="n">
        <v>0</v>
      </c>
      <c r="K81" s="88" t="e">
        <f aca="false">(J81-$C81)/$C81</f>
        <v>#DIV/0!</v>
      </c>
      <c r="L81" s="87" t="n">
        <v>0</v>
      </c>
      <c r="M81" s="88" t="e">
        <f aca="false">(L81-$C81)/$C81</f>
        <v>#DIV/0!</v>
      </c>
      <c r="N81" s="88"/>
      <c r="O81" s="87" t="n">
        <v>0</v>
      </c>
      <c r="P81" s="88" t="e">
        <f aca="false">(O81-$C81)/$C81</f>
        <v>#DIV/0!</v>
      </c>
      <c r="Q81" s="87" t="n">
        <v>0</v>
      </c>
      <c r="R81" s="88" t="e">
        <f aca="false">(Q81-$C81)/$C81</f>
        <v>#DIV/0!</v>
      </c>
      <c r="S81" s="87" t="n">
        <v>0</v>
      </c>
      <c r="T81" s="88" t="e">
        <f aca="false">(S81-$C81)/$C81</f>
        <v>#DIV/0!</v>
      </c>
      <c r="U81" s="87" t="n">
        <v>0</v>
      </c>
      <c r="V81" s="88" t="e">
        <f aca="false">(U81-$C81)/$C81</f>
        <v>#DIV/0!</v>
      </c>
      <c r="W81" s="87" t="n">
        <v>0</v>
      </c>
      <c r="X81" s="88" t="e">
        <f aca="false">(W81-$C81)/$C81</f>
        <v>#DIV/0!</v>
      </c>
      <c r="Z81" s="89" t="n">
        <f aca="false">'Revenue Allocation'!$AC79</f>
        <v>0</v>
      </c>
    </row>
    <row r="82" customFormat="false" ht="12.75" hidden="true" customHeight="false" outlineLevel="0" collapsed="false">
      <c r="A82" s="94" t="s">
        <v>332</v>
      </c>
      <c r="B82" s="79" t="s">
        <v>234</v>
      </c>
      <c r="C82" s="87" t="n">
        <f aca="false">'Revenue Allocation'!$AG80</f>
        <v>0</v>
      </c>
      <c r="D82" s="87" t="n">
        <v>0</v>
      </c>
      <c r="E82" s="88" t="e">
        <f aca="false">(D82-$C82)/$C82</f>
        <v>#DIV/0!</v>
      </c>
      <c r="F82" s="87" t="n">
        <v>0</v>
      </c>
      <c r="G82" s="88" t="e">
        <f aca="false">(F82-$C82)/$C82</f>
        <v>#DIV/0!</v>
      </c>
      <c r="H82" s="87" t="n">
        <v>0</v>
      </c>
      <c r="I82" s="88" t="e">
        <f aca="false">(H82-$C82)/$C82</f>
        <v>#DIV/0!</v>
      </c>
      <c r="J82" s="87" t="n">
        <v>0</v>
      </c>
      <c r="K82" s="88" t="e">
        <f aca="false">(J82-$C82)/$C82</f>
        <v>#DIV/0!</v>
      </c>
      <c r="L82" s="87" t="n">
        <v>0</v>
      </c>
      <c r="M82" s="88" t="e">
        <f aca="false">(L82-$C82)/$C82</f>
        <v>#DIV/0!</v>
      </c>
      <c r="N82" s="88"/>
      <c r="O82" s="87" t="n">
        <v>0</v>
      </c>
      <c r="P82" s="88" t="e">
        <f aca="false">(O82-$C82)/$C82</f>
        <v>#DIV/0!</v>
      </c>
      <c r="Q82" s="87" t="n">
        <v>0</v>
      </c>
      <c r="R82" s="88" t="e">
        <f aca="false">(Q82-$C82)/$C82</f>
        <v>#DIV/0!</v>
      </c>
      <c r="S82" s="87" t="n">
        <v>0</v>
      </c>
      <c r="T82" s="88" t="e">
        <f aca="false">(S82-$C82)/$C82</f>
        <v>#DIV/0!</v>
      </c>
      <c r="U82" s="87" t="n">
        <v>0</v>
      </c>
      <c r="V82" s="88" t="e">
        <f aca="false">(U82-$C82)/$C82</f>
        <v>#DIV/0!</v>
      </c>
      <c r="W82" s="87" t="n">
        <v>0</v>
      </c>
      <c r="X82" s="88" t="e">
        <f aca="false">(W82-$C82)/$C82</f>
        <v>#DIV/0!</v>
      </c>
      <c r="Z82" s="89" t="n">
        <f aca="false">'Revenue Allocation'!$AC80</f>
        <v>0</v>
      </c>
    </row>
    <row r="83" customFormat="false" ht="12.75" hidden="false" customHeight="false" outlineLevel="0" collapsed="false">
      <c r="A83" s="94" t="s">
        <v>333</v>
      </c>
      <c r="B83" s="79"/>
      <c r="C83" s="87" t="n">
        <f aca="false">'Revenue Allocation'!$AG81</f>
        <v>13.8881591100735</v>
      </c>
      <c r="D83" s="87" t="n">
        <v>16.6981302561636</v>
      </c>
      <c r="E83" s="88" t="n">
        <f aca="false">(D83-$C83)/$C83</f>
        <v>0.202328553685122</v>
      </c>
      <c r="F83" s="87" t="n">
        <v>16.561324844455</v>
      </c>
      <c r="G83" s="88" t="n">
        <f aca="false">(F83-$C83)/$C83</f>
        <v>0.192478046456315</v>
      </c>
      <c r="H83" s="87" t="n">
        <v>17.1501570440508</v>
      </c>
      <c r="I83" s="88" t="n">
        <f aca="false">(H83-$C83)/$C83</f>
        <v>0.234876192598571</v>
      </c>
      <c r="J83" s="87" t="n">
        <v>16.7222284415284</v>
      </c>
      <c r="K83" s="88" t="n">
        <f aca="false">(J83-$C83)/$C83</f>
        <v>0.204063714203795</v>
      </c>
      <c r="L83" s="87" t="n">
        <v>17.5647372003575</v>
      </c>
      <c r="M83" s="88" t="n">
        <f aca="false">(L83-$C83)/$C83</f>
        <v>0.264727532363682</v>
      </c>
      <c r="N83" s="88"/>
      <c r="O83" s="87" t="n">
        <v>15.2995276267963</v>
      </c>
      <c r="P83" s="88" t="n">
        <f aca="false">(O83-$C83)/$C83</f>
        <v>0.101623872936411</v>
      </c>
      <c r="Q83" s="87" t="n">
        <v>14.8598295396046</v>
      </c>
      <c r="R83" s="88" t="n">
        <f aca="false">(Q83-$C83)/$C83</f>
        <v>0.069963947117099</v>
      </c>
      <c r="S83" s="87" t="n">
        <v>16.7523598759823</v>
      </c>
      <c r="T83" s="88" t="n">
        <f aca="false">(S83-$C83)/$C83</f>
        <v>0.206233291482904</v>
      </c>
      <c r="U83" s="87" t="n">
        <v>15.3769801623165</v>
      </c>
      <c r="V83" s="88" t="n">
        <f aca="false">(U83-$C83)/$C83</f>
        <v>0.107200748525632</v>
      </c>
      <c r="W83" s="87" t="n">
        <v>18.0848371474516</v>
      </c>
      <c r="X83" s="88" t="n">
        <f aca="false">(W83-$C83)/$C83</f>
        <v>0.302176696286122</v>
      </c>
      <c r="Z83" s="89" t="n">
        <f aca="false">'Revenue Allocation'!$AC81</f>
        <v>17.7150415066154</v>
      </c>
    </row>
    <row r="84" customFormat="false" ht="12.75" hidden="false" customHeight="false" outlineLevel="0" collapsed="false">
      <c r="A84" s="94" t="s">
        <v>334</v>
      </c>
      <c r="B84" s="79" t="s">
        <v>231</v>
      </c>
      <c r="C84" s="87" t="n">
        <f aca="false">'Revenue Allocation'!$AG82</f>
        <v>14.6790086267268</v>
      </c>
      <c r="D84" s="87" t="n">
        <v>17.7619941778902</v>
      </c>
      <c r="E84" s="88" t="n">
        <f aca="false">(D84-$C84)/$C84</f>
        <v>0.210026823306723</v>
      </c>
      <c r="F84" s="87" t="n">
        <v>17.6253256255579</v>
      </c>
      <c r="G84" s="88" t="n">
        <f aca="false">(F84-$C84)/$C84</f>
        <v>0.20071634766033</v>
      </c>
      <c r="H84" s="87" t="n">
        <v>18.2141873029422</v>
      </c>
      <c r="I84" s="88" t="n">
        <f aca="false">(H84-$C84)/$C84</f>
        <v>0.240832250059366</v>
      </c>
      <c r="J84" s="87" t="n">
        <v>17.786160645489</v>
      </c>
      <c r="K84" s="88" t="n">
        <f aca="false">(J84-$C84)/$C84</f>
        <v>0.211673151625845</v>
      </c>
      <c r="L84" s="87" t="n">
        <v>18.6286011220841</v>
      </c>
      <c r="M84" s="88" t="n">
        <f aca="false">(L84-$C84)/$C84</f>
        <v>0.269063980803589</v>
      </c>
      <c r="N84" s="88"/>
      <c r="O84" s="87" t="n">
        <v>17.5299874088766</v>
      </c>
      <c r="P84" s="88" t="n">
        <f aca="false">(O84-$C84)/$C84</f>
        <v>0.194221480118142</v>
      </c>
      <c r="Q84" s="87" t="n">
        <v>17.0907291932164</v>
      </c>
      <c r="R84" s="88" t="n">
        <f aca="false">(Q84-$C84)/$C84</f>
        <v>0.164297237491806</v>
      </c>
      <c r="S84" s="87" t="n">
        <v>18.9833542723903</v>
      </c>
      <c r="T84" s="88" t="n">
        <f aca="false">(S84-$C84)/$C84</f>
        <v>0.293231358814412</v>
      </c>
      <c r="U84" s="87" t="n">
        <v>17.6076594062389</v>
      </c>
      <c r="V84" s="88" t="n">
        <f aca="false">(U84-$C84)/$C84</f>
        <v>0.1995128454506</v>
      </c>
      <c r="W84" s="87" t="n">
        <v>20.3152969295319</v>
      </c>
      <c r="X84" s="88" t="n">
        <f aca="false">(W84-$C84)/$C84</f>
        <v>0.383969275182715</v>
      </c>
      <c r="Z84" s="89" t="n">
        <f aca="false">'Revenue Allocation'!$AC82</f>
        <v>18.5058910232686</v>
      </c>
    </row>
    <row r="85" customFormat="false" ht="12.75" hidden="true" customHeight="false" outlineLevel="0" collapsed="false">
      <c r="A85" s="97" t="s">
        <v>335</v>
      </c>
      <c r="B85" s="79" t="s">
        <v>231</v>
      </c>
      <c r="C85" s="87" t="n">
        <f aca="false">'Revenue Allocation'!$AG83</f>
        <v>0</v>
      </c>
      <c r="D85" s="87" t="n">
        <v>0</v>
      </c>
      <c r="E85" s="88" t="e">
        <f aca="false">(D85-$C85)/$C85</f>
        <v>#DIV/0!</v>
      </c>
      <c r="F85" s="87" t="n">
        <v>0</v>
      </c>
      <c r="G85" s="88" t="e">
        <f aca="false">(F85-$C85)/$C85</f>
        <v>#DIV/0!</v>
      </c>
      <c r="H85" s="87" t="n">
        <v>0</v>
      </c>
      <c r="I85" s="88" t="e">
        <f aca="false">(H85-$C85)/$C85</f>
        <v>#DIV/0!</v>
      </c>
      <c r="J85" s="87" t="n">
        <v>0</v>
      </c>
      <c r="K85" s="88" t="e">
        <f aca="false">(J85-$C85)/$C85</f>
        <v>#DIV/0!</v>
      </c>
      <c r="L85" s="87" t="n">
        <v>0</v>
      </c>
      <c r="M85" s="88" t="e">
        <f aca="false">(L85-$C85)/$C85</f>
        <v>#DIV/0!</v>
      </c>
      <c r="N85" s="88"/>
      <c r="O85" s="87" t="n">
        <v>0</v>
      </c>
      <c r="P85" s="88" t="e">
        <f aca="false">(O85-$C85)/$C85</f>
        <v>#DIV/0!</v>
      </c>
      <c r="Q85" s="87" t="n">
        <v>0</v>
      </c>
      <c r="R85" s="88" t="e">
        <f aca="false">(Q85-$C85)/$C85</f>
        <v>#DIV/0!</v>
      </c>
      <c r="S85" s="87" t="n">
        <v>0</v>
      </c>
      <c r="T85" s="88" t="e">
        <f aca="false">(S85-$C85)/$C85</f>
        <v>#DIV/0!</v>
      </c>
      <c r="U85" s="87" t="n">
        <v>0</v>
      </c>
      <c r="V85" s="88" t="e">
        <f aca="false">(U85-$C85)/$C85</f>
        <v>#DIV/0!</v>
      </c>
      <c r="W85" s="87" t="n">
        <v>0</v>
      </c>
      <c r="X85" s="88" t="e">
        <f aca="false">(W85-$C85)/$C85</f>
        <v>#DIV/0!</v>
      </c>
      <c r="Z85" s="89" t="n">
        <f aca="false">'Revenue Allocation'!$AC83</f>
        <v>0</v>
      </c>
    </row>
    <row r="86" customFormat="false" ht="12.75" hidden="true" customHeight="false" outlineLevel="0" collapsed="false">
      <c r="A86" s="97" t="s">
        <v>335</v>
      </c>
      <c r="B86" s="79" t="s">
        <v>234</v>
      </c>
      <c r="C86" s="87" t="n">
        <f aca="false">'Revenue Allocation'!$AG84</f>
        <v>0</v>
      </c>
      <c r="D86" s="87" t="n">
        <v>0</v>
      </c>
      <c r="E86" s="88" t="e">
        <f aca="false">(D86-$C86)/$C86</f>
        <v>#DIV/0!</v>
      </c>
      <c r="F86" s="87" t="n">
        <v>0</v>
      </c>
      <c r="G86" s="88" t="e">
        <f aca="false">(F86-$C86)/$C86</f>
        <v>#DIV/0!</v>
      </c>
      <c r="H86" s="87" t="n">
        <v>0</v>
      </c>
      <c r="I86" s="88" t="e">
        <f aca="false">(H86-$C86)/$C86</f>
        <v>#DIV/0!</v>
      </c>
      <c r="J86" s="87" t="n">
        <v>0</v>
      </c>
      <c r="K86" s="88" t="e">
        <f aca="false">(J86-$C86)/$C86</f>
        <v>#DIV/0!</v>
      </c>
      <c r="L86" s="87" t="n">
        <v>0</v>
      </c>
      <c r="M86" s="88" t="e">
        <f aca="false">(L86-$C86)/$C86</f>
        <v>#DIV/0!</v>
      </c>
      <c r="N86" s="88"/>
      <c r="O86" s="87" t="n">
        <v>0</v>
      </c>
      <c r="P86" s="88" t="e">
        <f aca="false">(O86-$C86)/$C86</f>
        <v>#DIV/0!</v>
      </c>
      <c r="Q86" s="87" t="n">
        <v>0</v>
      </c>
      <c r="R86" s="88" t="e">
        <f aca="false">(Q86-$C86)/$C86</f>
        <v>#DIV/0!</v>
      </c>
      <c r="S86" s="87" t="n">
        <v>0</v>
      </c>
      <c r="T86" s="88" t="e">
        <f aca="false">(S86-$C86)/$C86</f>
        <v>#DIV/0!</v>
      </c>
      <c r="U86" s="87" t="n">
        <v>0</v>
      </c>
      <c r="V86" s="88" t="e">
        <f aca="false">(U86-$C86)/$C86</f>
        <v>#DIV/0!</v>
      </c>
      <c r="W86" s="87" t="n">
        <v>0</v>
      </c>
      <c r="X86" s="88" t="e">
        <f aca="false">(W86-$C86)/$C86</f>
        <v>#DIV/0!</v>
      </c>
      <c r="Z86" s="89" t="n">
        <f aca="false">'Revenue Allocation'!$AC84</f>
        <v>0</v>
      </c>
    </row>
    <row r="87" customFormat="false" ht="12.75" hidden="true" customHeight="false" outlineLevel="0" collapsed="false">
      <c r="A87" s="97" t="s">
        <v>335</v>
      </c>
      <c r="B87" s="79" t="s">
        <v>236</v>
      </c>
      <c r="C87" s="87" t="n">
        <f aca="false">'Revenue Allocation'!$AG85</f>
        <v>0</v>
      </c>
      <c r="D87" s="87" t="n">
        <v>0</v>
      </c>
      <c r="E87" s="88" t="e">
        <f aca="false">(D87-$C87)/$C87</f>
        <v>#DIV/0!</v>
      </c>
      <c r="F87" s="87" t="n">
        <v>0</v>
      </c>
      <c r="G87" s="88" t="e">
        <f aca="false">(F87-$C87)/$C87</f>
        <v>#DIV/0!</v>
      </c>
      <c r="H87" s="87" t="n">
        <v>0</v>
      </c>
      <c r="I87" s="88" t="e">
        <f aca="false">(H87-$C87)/$C87</f>
        <v>#DIV/0!</v>
      </c>
      <c r="J87" s="87" t="n">
        <v>0</v>
      </c>
      <c r="K87" s="88" t="e">
        <f aca="false">(J87-$C87)/$C87</f>
        <v>#DIV/0!</v>
      </c>
      <c r="L87" s="87" t="n">
        <v>0</v>
      </c>
      <c r="M87" s="88" t="e">
        <f aca="false">(L87-$C87)/$C87</f>
        <v>#DIV/0!</v>
      </c>
      <c r="N87" s="88"/>
      <c r="O87" s="87" t="n">
        <v>0</v>
      </c>
      <c r="P87" s="88" t="e">
        <f aca="false">(O87-$C87)/$C87</f>
        <v>#DIV/0!</v>
      </c>
      <c r="Q87" s="87" t="n">
        <v>0</v>
      </c>
      <c r="R87" s="88" t="e">
        <f aca="false">(Q87-$C87)/$C87</f>
        <v>#DIV/0!</v>
      </c>
      <c r="S87" s="87" t="n">
        <v>0</v>
      </c>
      <c r="T87" s="88" t="e">
        <f aca="false">(S87-$C87)/$C87</f>
        <v>#DIV/0!</v>
      </c>
      <c r="U87" s="87" t="n">
        <v>0</v>
      </c>
      <c r="V87" s="88" t="e">
        <f aca="false">(U87-$C87)/$C87</f>
        <v>#DIV/0!</v>
      </c>
      <c r="W87" s="87" t="n">
        <v>0</v>
      </c>
      <c r="X87" s="88" t="e">
        <f aca="false">(W87-$C87)/$C87</f>
        <v>#DIV/0!</v>
      </c>
      <c r="Z87" s="89" t="n">
        <f aca="false">'Revenue Allocation'!$AC85</f>
        <v>0</v>
      </c>
    </row>
    <row r="88" customFormat="false" ht="12.75" hidden="false" customHeight="false" outlineLevel="0" collapsed="false">
      <c r="A88" s="97" t="s">
        <v>336</v>
      </c>
      <c r="B88" s="84"/>
      <c r="C88" s="87" t="n">
        <f aca="false">'Revenue Allocation'!$AG86</f>
        <v>9.76430969037827</v>
      </c>
      <c r="D88" s="87" t="n">
        <v>12.8407877859288</v>
      </c>
      <c r="E88" s="88" t="n">
        <f aca="false">(D88-$C88)/$C88</f>
        <v>0.315073793550619</v>
      </c>
      <c r="F88" s="87" t="n">
        <v>12.757288249463</v>
      </c>
      <c r="G88" s="88" t="n">
        <f aca="false">(F88-$C88)/$C88</f>
        <v>0.306522289234027</v>
      </c>
      <c r="H88" s="87" t="n">
        <v>13.4536568481312</v>
      </c>
      <c r="I88" s="88" t="n">
        <f aca="false">(H88-$C88)/$C88</f>
        <v>0.377840039361758</v>
      </c>
      <c r="J88" s="87" t="n">
        <v>12.8560043578494</v>
      </c>
      <c r="K88" s="88" t="n">
        <f aca="false">(J88-$C88)/$C88</f>
        <v>0.316632180410837</v>
      </c>
      <c r="L88" s="87" t="n">
        <v>13.2213329625456</v>
      </c>
      <c r="M88" s="88" t="n">
        <f aca="false">(L88-$C88)/$C88</f>
        <v>0.354046868830257</v>
      </c>
      <c r="N88" s="88"/>
      <c r="O88" s="87" t="n">
        <v>13.8163054274462</v>
      </c>
      <c r="P88" s="88" t="n">
        <f aca="false">(O88-$C88)/$C88</f>
        <v>0.414980256214192</v>
      </c>
      <c r="Q88" s="87" t="n">
        <v>13.5479345639922</v>
      </c>
      <c r="R88" s="88" t="n">
        <f aca="false">(Q88-$C88)/$C88</f>
        <v>0.38749537792132</v>
      </c>
      <c r="S88" s="87" t="n">
        <v>15.7860912055363</v>
      </c>
      <c r="T88" s="88" t="n">
        <f aca="false">(S88-$C88)/$C88</f>
        <v>0.61671349087707</v>
      </c>
      <c r="U88" s="87" t="n">
        <v>13.8652121006803</v>
      </c>
      <c r="V88" s="88" t="n">
        <f aca="false">(U88-$C88)/$C88</f>
        <v>0.419988974166098</v>
      </c>
      <c r="W88" s="87" t="n">
        <v>15.0393929073834</v>
      </c>
      <c r="X88" s="88" t="n">
        <f aca="false">(W88-$C88)/$C88</f>
        <v>0.540241285280326</v>
      </c>
      <c r="Z88" s="89" t="n">
        <f aca="false">'Revenue Allocation'!$AC86</f>
        <v>13.5911920869201</v>
      </c>
    </row>
    <row r="89" customFormat="false" ht="12.75" hidden="false" customHeight="false" outlineLevel="0" collapsed="false">
      <c r="A89" s="94" t="s">
        <v>337</v>
      </c>
      <c r="B89" s="79" t="s">
        <v>231</v>
      </c>
      <c r="C89" s="90" t="n">
        <f aca="false">'Revenue Allocation'!$AG87</f>
        <v>9.61919960192099</v>
      </c>
      <c r="D89" s="90" t="n">
        <v>12.6956776974715</v>
      </c>
      <c r="E89" s="91" t="n">
        <f aca="false">(D89-$C89)/$C89</f>
        <v>0.31982682789285</v>
      </c>
      <c r="F89" s="90" t="n">
        <v>12.6247381847001</v>
      </c>
      <c r="G89" s="91" t="n">
        <f aca="false">(F89-$C89)/$C89</f>
        <v>0.312452044573326</v>
      </c>
      <c r="H89" s="90" t="n">
        <v>13.324374844241</v>
      </c>
      <c r="I89" s="91" t="n">
        <f aca="false">(H89-$C89)/$C89</f>
        <v>0.385185399581491</v>
      </c>
      <c r="J89" s="90" t="n">
        <v>12.7198441650704</v>
      </c>
      <c r="K89" s="91" t="n">
        <f aca="false">(J89-$C89)/$C89</f>
        <v>0.322339143740209</v>
      </c>
      <c r="L89" s="90" t="n">
        <v>13.0762228740884</v>
      </c>
      <c r="M89" s="91" t="n">
        <f aca="false">(L89-$C89)/$C89</f>
        <v>0.359387830093159</v>
      </c>
      <c r="N89" s="91"/>
      <c r="O89" s="90" t="n">
        <v>13.7550517832909</v>
      </c>
      <c r="P89" s="91" t="n">
        <f aca="false">(O89-$C89)/$C89</f>
        <v>0.429958037313622</v>
      </c>
      <c r="Q89" s="90" t="n">
        <v>13.527049340388</v>
      </c>
      <c r="R89" s="91" t="n">
        <f aca="false">(Q89-$C89)/$C89</f>
        <v>0.406255187561193</v>
      </c>
      <c r="S89" s="90" t="n">
        <v>15.7757096608189</v>
      </c>
      <c r="T89" s="91" t="n">
        <f aca="false">(S89-$C89)/$C89</f>
        <v>0.64002311145185</v>
      </c>
      <c r="U89" s="90" t="n">
        <v>13.8327237806532</v>
      </c>
      <c r="V89" s="91" t="n">
        <f aca="false">(U89-$C89)/$C89</f>
        <v>0.438032721338976</v>
      </c>
      <c r="W89" s="90" t="n">
        <v>14.9781392632281</v>
      </c>
      <c r="X89" s="91" t="n">
        <f aca="false">(W89-$C89)/$C89</f>
        <v>0.557108687113316</v>
      </c>
      <c r="Z89" s="89" t="n">
        <f aca="false">'Revenue Allocation'!$AC87</f>
        <v>13.4460819984629</v>
      </c>
    </row>
    <row r="90" customFormat="false" ht="12.75" hidden="false" customHeight="false" outlineLevel="0" collapsed="false">
      <c r="A90" s="100" t="s">
        <v>338</v>
      </c>
      <c r="B90" s="84"/>
      <c r="C90" s="87" t="n">
        <f aca="false">'Revenue Allocation'!$AG88</f>
        <v>17.4826449454671</v>
      </c>
      <c r="D90" s="87" t="n">
        <v>20.5564554471587</v>
      </c>
      <c r="E90" s="88" t="n">
        <f aca="false">(D90-$C90)/$C90</f>
        <v>0.175820678809162</v>
      </c>
      <c r="F90" s="87" t="n">
        <v>20.3774836909206</v>
      </c>
      <c r="G90" s="88" t="n">
        <f aca="false">(F90-$C90)/$C90</f>
        <v>0.165583568989885</v>
      </c>
      <c r="H90" s="87" t="n">
        <v>21.2422666491308</v>
      </c>
      <c r="I90" s="88" t="n">
        <f aca="false">(H90-$C90)/$C90</f>
        <v>0.215048793554462</v>
      </c>
      <c r="J90" s="87" t="n">
        <v>20.5806213887557</v>
      </c>
      <c r="K90" s="88" t="n">
        <f aca="false">(J90-$C90)/$C90</f>
        <v>0.177202960590459</v>
      </c>
      <c r="L90" s="87" t="n">
        <v>20.9376157536659</v>
      </c>
      <c r="M90" s="88" t="n">
        <f aca="false">(L90-$C90)/$C90</f>
        <v>0.197622889384054</v>
      </c>
      <c r="N90" s="88"/>
      <c r="O90" s="87" t="n">
        <v>19.0709375958861</v>
      </c>
      <c r="P90" s="88" t="n">
        <f aca="false">(O90-$C90)/$C90</f>
        <v>0.0908496772298042</v>
      </c>
      <c r="Q90" s="87" t="n">
        <v>18.4957151840207</v>
      </c>
      <c r="R90" s="88" t="n">
        <f aca="false">(Q90-$C90)/$C90</f>
        <v>0.0579471951591747</v>
      </c>
      <c r="S90" s="87" t="n">
        <v>21.2751623404752</v>
      </c>
      <c r="T90" s="88" t="n">
        <f aca="false">(S90-$C90)/$C90</f>
        <v>0.21693041338069</v>
      </c>
      <c r="U90" s="87" t="n">
        <v>19.1486079026575</v>
      </c>
      <c r="V90" s="88" t="n">
        <f aca="false">(U90-$C90)/$C90</f>
        <v>0.0952923863858643</v>
      </c>
      <c r="W90" s="87" t="n">
        <v>20.2960021279938</v>
      </c>
      <c r="X90" s="88" t="n">
        <f aca="false">(W90-$C90)/$C90</f>
        <v>0.160922857571167</v>
      </c>
      <c r="Z90" s="89" t="n">
        <f aca="false">'Revenue Allocation'!$AC88</f>
        <v>21.309527342009</v>
      </c>
    </row>
    <row r="91" customFormat="false" ht="12.75" hidden="false" customHeight="false" outlineLevel="0" collapsed="false">
      <c r="A91" s="100" t="s">
        <v>339</v>
      </c>
      <c r="B91" s="84"/>
      <c r="C91" s="90" t="n">
        <f aca="false">'Revenue Allocation'!$AG89</f>
        <v>11.0430488929317</v>
      </c>
      <c r="D91" s="90" t="n">
        <v>14.0906195538475</v>
      </c>
      <c r="E91" s="91" t="n">
        <f aca="false">(D91-$C91)/$C91</f>
        <v>0.275971852562059</v>
      </c>
      <c r="F91" s="90" t="n">
        <v>13.9952702797043</v>
      </c>
      <c r="G91" s="91" t="n">
        <f aca="false">(F91-$C91)/$C91</f>
        <v>0.267337527470534</v>
      </c>
      <c r="H91" s="90" t="n">
        <v>14.6840596280965</v>
      </c>
      <c r="I91" s="91" t="n">
        <f aca="false">(H91-$C91)/$C91</f>
        <v>0.329710641550752</v>
      </c>
      <c r="J91" s="90" t="n">
        <v>14.1084366176673</v>
      </c>
      <c r="K91" s="91" t="n">
        <f aca="false">(J91-$C91)/$C91</f>
        <v>0.27758527146408</v>
      </c>
      <c r="L91" s="90" t="n">
        <v>14.6340796543002</v>
      </c>
      <c r="M91" s="91" t="n">
        <f aca="false">(L91-$C91)/$C91</f>
        <v>0.32518471992522</v>
      </c>
      <c r="N91" s="91"/>
      <c r="O91" s="90" t="n">
        <v>14.4232436203578</v>
      </c>
      <c r="P91" s="91" t="n">
        <f aca="false">(O91-$C91)/$C91</f>
        <v>0.306092525732606</v>
      </c>
      <c r="Q91" s="90" t="n">
        <v>14.1167872241359</v>
      </c>
      <c r="R91" s="91" t="n">
        <f aca="false">(Q91-$C91)/$C91</f>
        <v>0.278341458143105</v>
      </c>
      <c r="S91" s="90" t="n">
        <v>16.3305838509185</v>
      </c>
      <c r="T91" s="91" t="n">
        <f aca="false">(S91-$C91)/$C91</f>
        <v>0.478811151635048</v>
      </c>
      <c r="U91" s="90" t="n">
        <v>14.480508378989</v>
      </c>
      <c r="V91" s="91" t="n">
        <f aca="false">(U91-$C91)/$C91</f>
        <v>0.311278118876893</v>
      </c>
      <c r="W91" s="90" t="n">
        <v>16.1699462079943</v>
      </c>
      <c r="X91" s="91" t="n">
        <f aca="false">(W91-$C91)/$C91</f>
        <v>0.464264657774375</v>
      </c>
      <c r="Z91" s="89" t="n">
        <f aca="false">'Revenue Allocation'!$AC89</f>
        <v>14.8699312894736</v>
      </c>
    </row>
    <row r="92" customFormat="false" ht="12.75" hidden="false" customHeight="false" outlineLevel="0" collapsed="false">
      <c r="A92" s="95" t="s">
        <v>340</v>
      </c>
      <c r="B92" s="98"/>
      <c r="C92" s="87" t="n">
        <f aca="false">'Revenue Allocation'!$AG90</f>
        <v>11.9073880131909</v>
      </c>
      <c r="D92" s="87" t="n">
        <v>14.9587506330851</v>
      </c>
      <c r="E92" s="88" t="n">
        <f aca="false">(D92-$C92)/$C92</f>
        <v>0.256257931337581</v>
      </c>
      <c r="F92" s="87" t="n">
        <v>14.8521738429908</v>
      </c>
      <c r="G92" s="88" t="n">
        <f aca="false">(F92-$C92)/$C92</f>
        <v>0.247307455382967</v>
      </c>
      <c r="H92" s="87" t="n">
        <v>15.5645928542683</v>
      </c>
      <c r="I92" s="88" t="n">
        <f aca="false">(H92-$C92)/$C92</f>
        <v>0.307137454244874</v>
      </c>
      <c r="J92" s="87" t="n">
        <v>14.9774201246818</v>
      </c>
      <c r="K92" s="88" t="n">
        <f aca="false">(J92-$C92)/$C92</f>
        <v>0.257825822765665</v>
      </c>
      <c r="L92" s="87" t="n">
        <v>15.4804196615708</v>
      </c>
      <c r="M92" s="88" t="n">
        <f aca="false">(L92-$C92)/$C92</f>
        <v>0.300068465428503</v>
      </c>
      <c r="N92" s="88"/>
      <c r="O92" s="87" t="n">
        <v>15.0472631057759</v>
      </c>
      <c r="P92" s="88" t="n">
        <f aca="false">(O92-$C92)/$C92</f>
        <v>0.263691339285044</v>
      </c>
      <c r="Q92" s="87" t="n">
        <v>14.7047210224018</v>
      </c>
      <c r="R92" s="88" t="n">
        <f aca="false">(Q92-$C92)/$C92</f>
        <v>0.234924150125291</v>
      </c>
      <c r="S92" s="87" t="n">
        <v>16.9944643346398</v>
      </c>
      <c r="T92" s="88" t="n">
        <f aca="false">(S92-$C92)/$C92</f>
        <v>0.427220169176773</v>
      </c>
      <c r="U92" s="87" t="n">
        <v>15.1072676015148</v>
      </c>
      <c r="V92" s="88" t="n">
        <f aca="false">(U92-$C92)/$C92</f>
        <v>0.268730605299762</v>
      </c>
      <c r="W92" s="87" t="n">
        <v>16.7239283130041</v>
      </c>
      <c r="X92" s="88" t="n">
        <f aca="false">(W92-$C92)/$C92</f>
        <v>0.404500155237862</v>
      </c>
      <c r="Z92" s="89" t="n">
        <f aca="false">'Revenue Allocation'!$AC90</f>
        <v>15.7342704097327</v>
      </c>
    </row>
    <row r="93" customFormat="false" ht="12.75" hidden="false" customHeight="false" outlineLevel="0" collapsed="false">
      <c r="A93" s="85"/>
      <c r="B93" s="82"/>
      <c r="C93" s="87" t="n">
        <f aca="false">'Revenue Allocation'!$AG91</f>
        <v>0</v>
      </c>
      <c r="D93" s="87" t="n">
        <v>0</v>
      </c>
      <c r="E93" s="93"/>
      <c r="F93" s="87" t="n">
        <v>0</v>
      </c>
      <c r="G93" s="93"/>
      <c r="H93" s="87" t="n">
        <v>0</v>
      </c>
      <c r="I93" s="93"/>
      <c r="J93" s="87" t="n">
        <v>0</v>
      </c>
      <c r="K93" s="93"/>
      <c r="L93" s="87" t="n">
        <v>0</v>
      </c>
      <c r="M93" s="93"/>
      <c r="N93" s="93"/>
      <c r="O93" s="87" t="n">
        <v>0</v>
      </c>
      <c r="P93" s="93"/>
      <c r="Q93" s="87" t="n">
        <v>0</v>
      </c>
      <c r="R93" s="93"/>
      <c r="S93" s="87" t="n">
        <v>0</v>
      </c>
      <c r="T93" s="93"/>
      <c r="U93" s="87" t="n">
        <v>0</v>
      </c>
      <c r="V93" s="93"/>
      <c r="W93" s="87" t="n">
        <v>0</v>
      </c>
      <c r="X93" s="93"/>
      <c r="Z93" s="89" t="n">
        <f aca="false">'Revenue Allocation'!$AC91</f>
        <v>0</v>
      </c>
    </row>
    <row r="94" customFormat="false" ht="12.75" hidden="false" customHeight="false" outlineLevel="0" collapsed="false">
      <c r="A94" s="85" t="s">
        <v>341</v>
      </c>
      <c r="B94" s="82"/>
      <c r="C94" s="87" t="n">
        <f aca="false">'Revenue Allocation'!$AG92</f>
        <v>0</v>
      </c>
      <c r="D94" s="87" t="n">
        <v>0</v>
      </c>
      <c r="E94" s="93"/>
      <c r="F94" s="87" t="n">
        <v>0</v>
      </c>
      <c r="G94" s="93"/>
      <c r="H94" s="87" t="n">
        <v>0</v>
      </c>
      <c r="I94" s="93"/>
      <c r="J94" s="87" t="n">
        <v>0</v>
      </c>
      <c r="K94" s="93"/>
      <c r="L94" s="87" t="n">
        <v>0</v>
      </c>
      <c r="M94" s="93"/>
      <c r="N94" s="93"/>
      <c r="O94" s="87" t="n">
        <v>0</v>
      </c>
      <c r="P94" s="93"/>
      <c r="Q94" s="87" t="n">
        <v>0</v>
      </c>
      <c r="R94" s="93"/>
      <c r="S94" s="87" t="n">
        <v>0</v>
      </c>
      <c r="T94" s="93"/>
      <c r="U94" s="87" t="n">
        <v>0</v>
      </c>
      <c r="V94" s="93"/>
      <c r="W94" s="87" t="n">
        <v>0</v>
      </c>
      <c r="X94" s="93"/>
      <c r="Z94" s="89" t="n">
        <f aca="false">'Revenue Allocation'!$AC92</f>
        <v>0</v>
      </c>
    </row>
    <row r="95" customFormat="false" ht="12.75" hidden="false" customHeight="false" outlineLevel="0" collapsed="false">
      <c r="A95" s="94" t="s">
        <v>342</v>
      </c>
      <c r="B95" s="82" t="s">
        <v>236</v>
      </c>
      <c r="C95" s="87" t="n">
        <f aca="false">'Revenue Allocation'!$AG93</f>
        <v>6.17287863737614</v>
      </c>
      <c r="D95" s="87" t="n">
        <v>9.2493567329267</v>
      </c>
      <c r="E95" s="88" t="n">
        <f aca="false">(D95-$C95)/$C95</f>
        <v>0.498386292081429</v>
      </c>
      <c r="F95" s="87" t="n">
        <v>8.99061996426697</v>
      </c>
      <c r="G95" s="88" t="n">
        <f aca="false">(F95-$C95)/$C95</f>
        <v>0.456471201268999</v>
      </c>
      <c r="H95" s="87" t="n">
        <v>8.91450398069978</v>
      </c>
      <c r="I95" s="88" t="n">
        <f aca="false">(H95-$C95)/$C95</f>
        <v>0.444140490098635</v>
      </c>
      <c r="J95" s="87" t="n">
        <v>9.08777030042901</v>
      </c>
      <c r="K95" s="88" t="n">
        <f aca="false">(J95-$C95)/$C95</f>
        <v>0.47220945595844</v>
      </c>
      <c r="L95" s="87" t="n">
        <v>8.1287900274181</v>
      </c>
      <c r="M95" s="88" t="n">
        <f aca="false">(L95-$C95)/$C95</f>
        <v>0.316855636558139</v>
      </c>
      <c r="N95" s="88"/>
      <c r="O95" s="87" t="n">
        <v>10.3500750362705</v>
      </c>
      <c r="P95" s="88" t="n">
        <f aca="false">(O95-$C95)/$C95</f>
        <v>0.676701526837397</v>
      </c>
      <c r="Q95" s="87" t="n">
        <v>9.51848467120388</v>
      </c>
      <c r="R95" s="88" t="n">
        <f aca="false">(Q95-$C95)/$C95</f>
        <v>0.541984741700644</v>
      </c>
      <c r="S95" s="87" t="n">
        <v>9.27384484328173</v>
      </c>
      <c r="T95" s="88" t="n">
        <f aca="false">(S95-$C95)/$C95</f>
        <v>0.50235334081081</v>
      </c>
      <c r="U95" s="87" t="n">
        <v>9.83072975308317</v>
      </c>
      <c r="V95" s="88" t="n">
        <f aca="false">(U95-$C95)/$C95</f>
        <v>0.592568124304131</v>
      </c>
      <c r="W95" s="87" t="n">
        <v>6.74852864399517</v>
      </c>
      <c r="X95" s="88" t="n">
        <f aca="false">(W95-$C95)/$C95</f>
        <v>0.0932547099069025</v>
      </c>
      <c r="Z95" s="89" t="n">
        <f aca="false">'Revenue Allocation'!$AC93</f>
        <v>9.99976103391802</v>
      </c>
    </row>
    <row r="96" customFormat="false" ht="12.75" hidden="false" customHeight="false" outlineLevel="0" collapsed="false">
      <c r="A96" s="94" t="s">
        <v>343</v>
      </c>
      <c r="B96" s="82" t="s">
        <v>236</v>
      </c>
      <c r="C96" s="90" t="n">
        <f aca="false">'Revenue Allocation'!$AG94</f>
        <v>5.03914089304177</v>
      </c>
      <c r="D96" s="90" t="n">
        <v>8.11589272210766</v>
      </c>
      <c r="E96" s="91" t="n">
        <f aca="false">(D96-$C96)/$C96</f>
        <v>0.610570709248154</v>
      </c>
      <c r="F96" s="90" t="n">
        <v>7.857147226458</v>
      </c>
      <c r="G96" s="91" t="n">
        <f aca="false">(F96-$C96)/$C96</f>
        <v>0.559223564736488</v>
      </c>
      <c r="H96" s="90" t="n">
        <v>7.78102867555789</v>
      </c>
      <c r="I96" s="91" t="n">
        <f aca="false">(H96-$C96)/$C96</f>
        <v>0.544118102810386</v>
      </c>
      <c r="J96" s="90" t="n">
        <v>7.9543008394253</v>
      </c>
      <c r="K96" s="91" t="n">
        <f aca="false">(J96-$C96)/$C96</f>
        <v>0.578503361636285</v>
      </c>
      <c r="L96" s="90" t="n">
        <v>6.99528822075577</v>
      </c>
      <c r="M96" s="91" t="n">
        <f aca="false">(L96-$C96)/$C96</f>
        <v>0.388190639879731</v>
      </c>
      <c r="N96" s="91"/>
      <c r="O96" s="90" t="n">
        <v>9.24322239296761</v>
      </c>
      <c r="P96" s="91" t="n">
        <f aca="false">(O96-$C96)/$C96</f>
        <v>0.834285365136543</v>
      </c>
      <c r="Q96" s="90" t="n">
        <v>8.41160397900484</v>
      </c>
      <c r="R96" s="91" t="n">
        <f aca="false">(Q96-$C96)/$C96</f>
        <v>0.669253580629169</v>
      </c>
      <c r="S96" s="90" t="n">
        <v>8.1669558995716</v>
      </c>
      <c r="T96" s="91" t="n">
        <f aca="false">(S96-$C96)/$C96</f>
        <v>0.620704019379342</v>
      </c>
      <c r="U96" s="90" t="n">
        <v>8.72385959266785</v>
      </c>
      <c r="V96" s="91" t="n">
        <f aca="false">(U96-$C96)/$C96</f>
        <v>0.731219622121316</v>
      </c>
      <c r="W96" s="90" t="n">
        <v>5.64155452333409</v>
      </c>
      <c r="X96" s="91" t="n">
        <f aca="false">(W96-$C96)/$C96</f>
        <v>0.119546891638642</v>
      </c>
      <c r="Z96" s="89" t="n">
        <f aca="false">'Revenue Allocation'!$AC94</f>
        <v>8.86602328958364</v>
      </c>
    </row>
    <row r="97" customFormat="false" ht="12.75" hidden="false" customHeight="false" outlineLevel="0" collapsed="false">
      <c r="A97" s="97" t="s">
        <v>344</v>
      </c>
      <c r="B97" s="98" t="s">
        <v>236</v>
      </c>
      <c r="C97" s="87" t="n">
        <f aca="false">'Revenue Allocation'!$AG95</f>
        <v>5.6955507096272</v>
      </c>
      <c r="D97" s="87" t="n">
        <v>8.77202880517779</v>
      </c>
      <c r="E97" s="88" t="n">
        <f aca="false">(D97-$C97)/$C97</f>
        <v>0.540154631640871</v>
      </c>
      <c r="F97" s="87" t="n">
        <v>8.51329203651806</v>
      </c>
      <c r="G97" s="88" t="n">
        <f aca="false">(F97-$C97)/$C97</f>
        <v>0.494726756120004</v>
      </c>
      <c r="H97" s="87" t="n">
        <v>8.43717605295086</v>
      </c>
      <c r="I97" s="88" t="n">
        <f aca="false">(H97-$C97)/$C97</f>
        <v>0.481362643069701</v>
      </c>
      <c r="J97" s="87" t="n">
        <v>8.6104423726801</v>
      </c>
      <c r="K97" s="88" t="n">
        <f aca="false">(J97-$C97)/$C97</f>
        <v>0.511783989233183</v>
      </c>
      <c r="L97" s="87" t="n">
        <v>7.65146209966918</v>
      </c>
      <c r="M97" s="88" t="n">
        <f aca="false">(L97-$C97)/$C97</f>
        <v>0.343410407484547</v>
      </c>
      <c r="N97" s="88"/>
      <c r="O97" s="87" t="n">
        <v>9.88393505713845</v>
      </c>
      <c r="P97" s="88" t="n">
        <f aca="false">(O97-$C97)/$C97</f>
        <v>0.735378291063516</v>
      </c>
      <c r="Q97" s="87" t="n">
        <v>9.0523446920718</v>
      </c>
      <c r="R97" s="88" t="n">
        <f aca="false">(Q97-$C97)/$C97</f>
        <v>0.589371274804138</v>
      </c>
      <c r="S97" s="87" t="n">
        <v>8.80770486414965</v>
      </c>
      <c r="T97" s="88" t="n">
        <f aca="false">(S97-$C97)/$C97</f>
        <v>0.546418478771853</v>
      </c>
      <c r="U97" s="87" t="n">
        <v>9.36458977395109</v>
      </c>
      <c r="V97" s="88" t="n">
        <f aca="false">(U97-$C97)/$C97</f>
        <v>0.644193907030289</v>
      </c>
      <c r="W97" s="87" t="n">
        <v>6.28238866486308</v>
      </c>
      <c r="X97" s="88" t="n">
        <f aca="false">(W97-$C97)/$C97</f>
        <v>0.103034453585664</v>
      </c>
      <c r="Z97" s="89" t="n">
        <f aca="false">'Revenue Allocation'!$AC95</f>
        <v>9.52243310616908</v>
      </c>
    </row>
    <row r="98" customFormat="false" ht="12.75" hidden="false" customHeight="false" outlineLevel="0" collapsed="false">
      <c r="A98" s="94"/>
      <c r="B98" s="82"/>
      <c r="C98" s="87" t="n">
        <f aca="false">'Revenue Allocation'!$AG96</f>
        <v>0</v>
      </c>
      <c r="D98" s="87" t="n">
        <v>0</v>
      </c>
      <c r="E98" s="93"/>
      <c r="F98" s="87" t="n">
        <v>0</v>
      </c>
      <c r="G98" s="93"/>
      <c r="H98" s="87" t="n">
        <v>0</v>
      </c>
      <c r="I98" s="93"/>
      <c r="J98" s="87" t="n">
        <v>0</v>
      </c>
      <c r="K98" s="93"/>
      <c r="L98" s="87" t="n">
        <v>0</v>
      </c>
      <c r="M98" s="93"/>
      <c r="N98" s="93"/>
      <c r="O98" s="87" t="n">
        <v>0</v>
      </c>
      <c r="P98" s="93"/>
      <c r="Q98" s="87" t="n">
        <v>0</v>
      </c>
      <c r="R98" s="93"/>
      <c r="S98" s="87" t="n">
        <v>0</v>
      </c>
      <c r="T98" s="93"/>
      <c r="U98" s="87" t="n">
        <v>0</v>
      </c>
      <c r="V98" s="93"/>
      <c r="W98" s="87" t="n">
        <v>0</v>
      </c>
      <c r="X98" s="93"/>
      <c r="Z98" s="89" t="n">
        <f aca="false">'Revenue Allocation'!$AC96</f>
        <v>0</v>
      </c>
    </row>
    <row r="99" customFormat="false" ht="12.75" hidden="false" customHeight="false" outlineLevel="0" collapsed="false">
      <c r="A99" s="94" t="s">
        <v>342</v>
      </c>
      <c r="B99" s="82" t="s">
        <v>234</v>
      </c>
      <c r="C99" s="87" t="n">
        <f aca="false">'Revenue Allocation'!$AG97</f>
        <v>7.96401996035666</v>
      </c>
      <c r="D99" s="87" t="n">
        <v>11.0404980559072</v>
      </c>
      <c r="E99" s="88" t="n">
        <f aca="false">(D99-$C99)/$C99</f>
        <v>0.386297135223752</v>
      </c>
      <c r="F99" s="87" t="n">
        <v>10.8701824952282</v>
      </c>
      <c r="G99" s="88" t="n">
        <f aca="false">(F99-$C99)/$C99</f>
        <v>0.364911508175254</v>
      </c>
      <c r="H99" s="87" t="n">
        <v>10.8011195349885</v>
      </c>
      <c r="I99" s="88" t="n">
        <f aca="false">(H99-$C99)/$C99</f>
        <v>0.356239636358824</v>
      </c>
      <c r="J99" s="87" t="n">
        <v>10.993221100392</v>
      </c>
      <c r="K99" s="88" t="n">
        <f aca="false">(J99-$C99)/$C99</f>
        <v>0.380360817164461</v>
      </c>
      <c r="L99" s="87" t="n">
        <v>10.2527077757017</v>
      </c>
      <c r="M99" s="88" t="n">
        <f aca="false">(L99-$C99)/$C99</f>
        <v>0.287378462979466</v>
      </c>
      <c r="N99" s="88"/>
      <c r="O99" s="87" t="n">
        <v>11.2878970310584</v>
      </c>
      <c r="P99" s="88" t="n">
        <f aca="false">(O99-$C99)/$C99</f>
        <v>0.417361720242713</v>
      </c>
      <c r="Q99" s="87" t="n">
        <v>10.7404959793438</v>
      </c>
      <c r="R99" s="88" t="n">
        <f aca="false">(Q99-$C99)/$C99</f>
        <v>0.348627456084733</v>
      </c>
      <c r="S99" s="87" t="n">
        <v>10.5185248516382</v>
      </c>
      <c r="T99" s="88" t="n">
        <f aca="false">(S99-$C99)/$C99</f>
        <v>0.320755711813551</v>
      </c>
      <c r="U99" s="87" t="n">
        <v>11.1359469974401</v>
      </c>
      <c r="V99" s="88" t="n">
        <f aca="false">(U99-$C99)/$C99</f>
        <v>0.398282155603912</v>
      </c>
      <c r="W99" s="87" t="n">
        <v>8.75590743365571</v>
      </c>
      <c r="X99" s="88" t="n">
        <f aca="false">(W99-$C99)/$C99</f>
        <v>0.0994331351805885</v>
      </c>
      <c r="Z99" s="89" t="n">
        <f aca="false">'Revenue Allocation'!$AC97</f>
        <v>11.7909023568985</v>
      </c>
    </row>
    <row r="100" customFormat="false" ht="12.75" hidden="false" customHeight="false" outlineLevel="0" collapsed="false">
      <c r="A100" s="94" t="s">
        <v>343</v>
      </c>
      <c r="B100" s="82" t="s">
        <v>234</v>
      </c>
      <c r="C100" s="90" t="n">
        <f aca="false">'Revenue Allocation'!$AG98</f>
        <v>6.9108390778972</v>
      </c>
      <c r="D100" s="90" t="n">
        <v>10.0064024133523</v>
      </c>
      <c r="E100" s="91" t="n">
        <f aca="false">(D100-$C100)/$C100</f>
        <v>0.447928724799218</v>
      </c>
      <c r="F100" s="90" t="n">
        <v>9.83576138855931</v>
      </c>
      <c r="G100" s="91" t="n">
        <f aca="false">(F100-$C100)/$C100</f>
        <v>0.423236929364603</v>
      </c>
      <c r="H100" s="90" t="n">
        <v>9.76656645262066</v>
      </c>
      <c r="I100" s="91" t="n">
        <f aca="false">(H100-$C100)/$C100</f>
        <v>0.413224406260142</v>
      </c>
      <c r="J100" s="90" t="n">
        <v>9.95903511405182</v>
      </c>
      <c r="K100" s="91" t="n">
        <f aca="false">(J100-$C100)/$C100</f>
        <v>0.44107466572382</v>
      </c>
      <c r="L100" s="90" t="n">
        <v>9.21710670719198</v>
      </c>
      <c r="M100" s="91" t="n">
        <f aca="false">(L100-$C100)/$C100</f>
        <v>0.333717455044044</v>
      </c>
      <c r="N100" s="91"/>
      <c r="O100" s="90" t="n">
        <v>10.1526409316732</v>
      </c>
      <c r="P100" s="91" t="n">
        <f aca="false">(O100-$C100)/$C100</f>
        <v>0.469089471949101</v>
      </c>
      <c r="Q100" s="90" t="n">
        <v>9.60419382522596</v>
      </c>
      <c r="R100" s="91" t="n">
        <f aca="false">(Q100-$C100)/$C100</f>
        <v>0.389729049825927</v>
      </c>
      <c r="S100" s="90" t="n">
        <v>9.38179852232385</v>
      </c>
      <c r="T100" s="91" t="n">
        <f aca="false">(S100-$C100)/$C100</f>
        <v>0.357548398475877</v>
      </c>
      <c r="U100" s="90" t="n">
        <v>10.000400529501</v>
      </c>
      <c r="V100" s="91" t="n">
        <f aca="false">(U100-$C100)/$C100</f>
        <v>0.447060250829028</v>
      </c>
      <c r="W100" s="90" t="n">
        <v>7.61581283479531</v>
      </c>
      <c r="X100" s="91" t="n">
        <f aca="false">(W100-$C100)/$C100</f>
        <v>0.10200986435248</v>
      </c>
      <c r="Z100" s="89" t="n">
        <f aca="false">'Revenue Allocation'!$AC98</f>
        <v>10.7377214744391</v>
      </c>
    </row>
    <row r="101" customFormat="false" ht="12.75" hidden="false" customHeight="false" outlineLevel="0" collapsed="false">
      <c r="A101" s="97" t="s">
        <v>344</v>
      </c>
      <c r="B101" s="98" t="s">
        <v>234</v>
      </c>
      <c r="C101" s="87" t="n">
        <f aca="false">'Revenue Allocation'!$AG99</f>
        <v>7.78745382510027</v>
      </c>
      <c r="D101" s="87" t="n">
        <v>10.8639319206508</v>
      </c>
      <c r="E101" s="88" t="n">
        <f aca="false">(D101-$C101)/$C101</f>
        <v>0.395055709432851</v>
      </c>
      <c r="F101" s="87" t="n">
        <v>10.6936163599718</v>
      </c>
      <c r="G101" s="88" t="n">
        <f aca="false">(F101-$C101)/$C101</f>
        <v>0.373185202781495</v>
      </c>
      <c r="H101" s="87" t="n">
        <v>10.6245533997321</v>
      </c>
      <c r="I101" s="88" t="n">
        <f aca="false">(H101-$C101)/$C101</f>
        <v>0.364316712285012</v>
      </c>
      <c r="J101" s="87" t="n">
        <v>10.8166549651356</v>
      </c>
      <c r="K101" s="88" t="n">
        <f aca="false">(J101-$C101)/$C101</f>
        <v>0.388984796323506</v>
      </c>
      <c r="L101" s="87" t="n">
        <v>10.0761416404454</v>
      </c>
      <c r="M101" s="88" t="n">
        <f aca="false">(L101-$C101)/$C101</f>
        <v>0.293894238957573</v>
      </c>
      <c r="N101" s="88"/>
      <c r="O101" s="87" t="n">
        <v>11.0943245493805</v>
      </c>
      <c r="P101" s="88" t="n">
        <f aca="false">(O101-$C101)/$C101</f>
        <v>0.424640813101401</v>
      </c>
      <c r="Q101" s="87" t="n">
        <v>10.5469234976659</v>
      </c>
      <c r="R101" s="88" t="n">
        <f aca="false">(Q101-$C101)/$C101</f>
        <v>0.354348126427585</v>
      </c>
      <c r="S101" s="87" t="n">
        <v>10.3249523699602</v>
      </c>
      <c r="T101" s="88" t="n">
        <f aca="false">(S101-$C101)/$C101</f>
        <v>0.325844441822715</v>
      </c>
      <c r="U101" s="87" t="n">
        <v>10.9423745157621</v>
      </c>
      <c r="V101" s="88" t="n">
        <f aca="false">(U101-$C101)/$C101</f>
        <v>0.405128654566532</v>
      </c>
      <c r="W101" s="87" t="n">
        <v>8.56233495197775</v>
      </c>
      <c r="X101" s="88" t="n">
        <f aca="false">(W101-$C101)/$C101</f>
        <v>0.0995037844564688</v>
      </c>
      <c r="Z101" s="89" t="n">
        <f aca="false">'Revenue Allocation'!$AC99</f>
        <v>11.6143362216421</v>
      </c>
    </row>
    <row r="102" customFormat="false" ht="12.75" hidden="false" customHeight="false" outlineLevel="0" collapsed="false">
      <c r="A102" s="94"/>
      <c r="B102" s="82"/>
      <c r="C102" s="87" t="n">
        <f aca="false">'Revenue Allocation'!$AG100</f>
        <v>0</v>
      </c>
      <c r="D102" s="87" t="n">
        <v>0</v>
      </c>
      <c r="E102" s="93"/>
      <c r="F102" s="87" t="n">
        <v>0</v>
      </c>
      <c r="G102" s="93"/>
      <c r="H102" s="87" t="n">
        <v>0</v>
      </c>
      <c r="I102" s="93"/>
      <c r="J102" s="87" t="n">
        <v>0</v>
      </c>
      <c r="K102" s="93"/>
      <c r="L102" s="87" t="n">
        <v>0</v>
      </c>
      <c r="M102" s="93"/>
      <c r="N102" s="93"/>
      <c r="O102" s="87" t="n">
        <v>0</v>
      </c>
      <c r="P102" s="93"/>
      <c r="Q102" s="87" t="n">
        <v>0</v>
      </c>
      <c r="R102" s="93"/>
      <c r="S102" s="87" t="n">
        <v>0</v>
      </c>
      <c r="T102" s="93"/>
      <c r="U102" s="87" t="n">
        <v>0</v>
      </c>
      <c r="V102" s="93"/>
      <c r="W102" s="87" t="n">
        <v>0</v>
      </c>
      <c r="X102" s="93"/>
      <c r="Z102" s="89" t="n">
        <f aca="false">'Revenue Allocation'!$AC100</f>
        <v>0</v>
      </c>
    </row>
    <row r="103" customFormat="false" ht="12.75" hidden="false" customHeight="false" outlineLevel="0" collapsed="false">
      <c r="A103" s="94" t="s">
        <v>342</v>
      </c>
      <c r="B103" s="82" t="s">
        <v>231</v>
      </c>
      <c r="C103" s="87" t="n">
        <f aca="false">'Revenue Allocation'!$AG101</f>
        <v>9.29641730156618</v>
      </c>
      <c r="D103" s="87" t="n">
        <v>12.3728953971166</v>
      </c>
      <c r="E103" s="88" t="n">
        <f aca="false">(D103-$C103)/$C103</f>
        <v>0.330931583184433</v>
      </c>
      <c r="F103" s="87" t="n">
        <v>12.4279365435036</v>
      </c>
      <c r="G103" s="88" t="n">
        <f aca="false">(F103-$C103)/$C103</f>
        <v>0.336852266884562</v>
      </c>
      <c r="H103" s="87" t="n">
        <v>12.3663894477653</v>
      </c>
      <c r="I103" s="88" t="n">
        <f aca="false">(H103-$C103)/$C103</f>
        <v>0.330231749136508</v>
      </c>
      <c r="J103" s="87" t="n">
        <v>12.3970618647154</v>
      </c>
      <c r="K103" s="88" t="n">
        <f aca="false">(J103-$C103)/$C103</f>
        <v>0.333531129527382</v>
      </c>
      <c r="L103" s="87" t="n">
        <v>11.8113326697532</v>
      </c>
      <c r="M103" s="88" t="n">
        <f aca="false">(L103-$C103)/$C103</f>
        <v>0.270525223492643</v>
      </c>
      <c r="N103" s="88"/>
      <c r="O103" s="87" t="n">
        <v>12.2052551431055</v>
      </c>
      <c r="P103" s="88" t="n">
        <f aca="false">(O103-$C103)/$C103</f>
        <v>0.312898802536467</v>
      </c>
      <c r="Q103" s="87" t="n">
        <v>12.3821595979874</v>
      </c>
      <c r="R103" s="88" t="n">
        <f aca="false">(Q103-$C103)/$C103</f>
        <v>0.331928117717063</v>
      </c>
      <c r="S103" s="87" t="n">
        <v>12.1843447606182</v>
      </c>
      <c r="T103" s="88" t="n">
        <f aca="false">(S103-$C103)/$C103</f>
        <v>0.310649507801841</v>
      </c>
      <c r="U103" s="87" t="n">
        <v>12.2829271404678</v>
      </c>
      <c r="V103" s="88" t="n">
        <f aca="false">(U103-$C103)/$C103</f>
        <v>0.321253848877731</v>
      </c>
      <c r="W103" s="87" t="n">
        <v>10.4003699855959</v>
      </c>
      <c r="X103" s="88" t="n">
        <f aca="false">(W103-$C103)/$C103</f>
        <v>0.118750336631699</v>
      </c>
      <c r="Z103" s="89" t="n">
        <f aca="false">'Revenue Allocation'!$AC101</f>
        <v>13.1232996981079</v>
      </c>
    </row>
    <row r="104" customFormat="false" ht="12.75" hidden="false" customHeight="false" outlineLevel="0" collapsed="false">
      <c r="A104" s="94" t="s">
        <v>343</v>
      </c>
      <c r="B104" s="82" t="s">
        <v>231</v>
      </c>
      <c r="C104" s="90" t="n">
        <f aca="false">'Revenue Allocation'!$AG102</f>
        <v>8.27138818966056</v>
      </c>
      <c r="D104" s="90" t="n">
        <v>11.3478662852111</v>
      </c>
      <c r="E104" s="91" t="n">
        <f aca="false">(D104-$C104)/$C104</f>
        <v>0.371942172826108</v>
      </c>
      <c r="F104" s="90" t="n">
        <v>11.4029074315981</v>
      </c>
      <c r="G104" s="91" t="n">
        <f aca="false">(F104-$C104)/$C104</f>
        <v>0.378596575342942</v>
      </c>
      <c r="H104" s="90" t="n">
        <v>11.3413603358598</v>
      </c>
      <c r="I104" s="91" t="n">
        <f aca="false">(H104-$C104)/$C104</f>
        <v>0.371155612069657</v>
      </c>
      <c r="J104" s="90" t="n">
        <v>11.3720327528099</v>
      </c>
      <c r="K104" s="91" t="n">
        <f aca="false">(J104-$C104)/$C104</f>
        <v>0.374863867110633</v>
      </c>
      <c r="L104" s="90" t="n">
        <v>10.7863035578477</v>
      </c>
      <c r="M104" s="91" t="n">
        <f aca="false">(L104-$C104)/$C104</f>
        <v>0.304049974504988</v>
      </c>
      <c r="N104" s="91"/>
      <c r="O104" s="90" t="n">
        <v>11.0603185850826</v>
      </c>
      <c r="P104" s="91" t="n">
        <f aca="false">(O104-$C104)/$C104</f>
        <v>0.337178032450254</v>
      </c>
      <c r="Q104" s="90" t="n">
        <v>11.2372230399644</v>
      </c>
      <c r="R104" s="91" t="n">
        <f aca="false">(Q104-$C104)/$C104</f>
        <v>0.358565549373107</v>
      </c>
      <c r="S104" s="90" t="n">
        <v>11.0394082025953</v>
      </c>
      <c r="T104" s="91" t="n">
        <f aca="false">(S104-$C104)/$C104</f>
        <v>0.334649994591574</v>
      </c>
      <c r="U104" s="90" t="n">
        <v>11.1379905824449</v>
      </c>
      <c r="V104" s="91" t="n">
        <f aca="false">(U104-$C104)/$C104</f>
        <v>0.346568475212862</v>
      </c>
      <c r="W104" s="90" t="n">
        <v>9.25543342757289</v>
      </c>
      <c r="X104" s="91" t="n">
        <f aca="false">(W104-$C104)/$C104</f>
        <v>0.118969780567477</v>
      </c>
      <c r="Z104" s="89" t="n">
        <f aca="false">'Revenue Allocation'!$AC102</f>
        <v>12.0982705862024</v>
      </c>
    </row>
    <row r="105" customFormat="false" ht="12.75" hidden="false" customHeight="false" outlineLevel="0" collapsed="false">
      <c r="A105" s="97" t="s">
        <v>344</v>
      </c>
      <c r="B105" s="98" t="s">
        <v>231</v>
      </c>
      <c r="C105" s="87" t="n">
        <f aca="false">'Revenue Allocation'!$AG103</f>
        <v>9.24424047997013</v>
      </c>
      <c r="D105" s="87" t="n">
        <v>12.3207188892373</v>
      </c>
      <c r="E105" s="88" t="n">
        <f aca="false">(D105-$C105)/$C105</f>
        <v>0.332799478327411</v>
      </c>
      <c r="F105" s="87" t="n">
        <v>12.3757600356243</v>
      </c>
      <c r="G105" s="88" t="n">
        <f aca="false">(F105-$C105)/$C105</f>
        <v>0.338753579857574</v>
      </c>
      <c r="H105" s="87" t="n">
        <v>12.314212939886</v>
      </c>
      <c r="I105" s="88" t="n">
        <f aca="false">(H105-$C105)/$C105</f>
        <v>0.332095694239853</v>
      </c>
      <c r="J105" s="87" t="n">
        <v>12.3448853568361</v>
      </c>
      <c r="K105" s="88" t="n">
        <f aca="false">(J105-$C105)/$C105</f>
        <v>0.335413697164662</v>
      </c>
      <c r="L105" s="87" t="n">
        <v>11.7591561618739</v>
      </c>
      <c r="M105" s="88" t="n">
        <f aca="false">(L105-$C105)/$C105</f>
        <v>0.272052169927097</v>
      </c>
      <c r="N105" s="88"/>
      <c r="O105" s="87" t="n">
        <v>12.1469750507187</v>
      </c>
      <c r="P105" s="88" t="n">
        <f aca="false">(O105-$C105)/$C105</f>
        <v>0.31400465803957</v>
      </c>
      <c r="Q105" s="87" t="n">
        <v>12.3238795056005</v>
      </c>
      <c r="R105" s="88" t="n">
        <f aca="false">(Q105-$C105)/$C105</f>
        <v>0.333141379467918</v>
      </c>
      <c r="S105" s="87" t="n">
        <v>12.1260646682314</v>
      </c>
      <c r="T105" s="88" t="n">
        <f aca="false">(S105-$C105)/$C105</f>
        <v>0.311742667718936</v>
      </c>
      <c r="U105" s="87" t="n">
        <v>12.224647048081</v>
      </c>
      <c r="V105" s="88" t="n">
        <f aca="false">(U105-$C105)/$C105</f>
        <v>0.322406862366752</v>
      </c>
      <c r="W105" s="87" t="n">
        <v>10.342089893209</v>
      </c>
      <c r="X105" s="88" t="n">
        <f aca="false">(W105-$C105)/$C105</f>
        <v>0.118760369293469</v>
      </c>
      <c r="Z105" s="89" t="n">
        <f aca="false">'Revenue Allocation'!$AC103</f>
        <v>13.0711231902282</v>
      </c>
    </row>
    <row r="106" customFormat="false" ht="12.75" hidden="false" customHeight="false" outlineLevel="0" collapsed="false">
      <c r="A106" s="94"/>
      <c r="B106" s="79"/>
      <c r="C106" s="87" t="n">
        <f aca="false">'Revenue Allocation'!$AG104</f>
        <v>0</v>
      </c>
      <c r="D106" s="87" t="n">
        <v>0</v>
      </c>
      <c r="E106" s="93"/>
      <c r="F106" s="87" t="n">
        <v>0</v>
      </c>
      <c r="G106" s="93"/>
      <c r="H106" s="87" t="n">
        <v>0</v>
      </c>
      <c r="I106" s="93"/>
      <c r="J106" s="87" t="n">
        <v>0</v>
      </c>
      <c r="K106" s="93"/>
      <c r="L106" s="87" t="n">
        <v>0</v>
      </c>
      <c r="M106" s="93"/>
      <c r="N106" s="93"/>
      <c r="O106" s="87" t="n">
        <v>0</v>
      </c>
      <c r="P106" s="93"/>
      <c r="Q106" s="87" t="n">
        <v>0</v>
      </c>
      <c r="R106" s="93"/>
      <c r="S106" s="87" t="n">
        <v>0</v>
      </c>
      <c r="T106" s="93"/>
      <c r="U106" s="87" t="n">
        <v>0</v>
      </c>
      <c r="V106" s="93"/>
      <c r="W106" s="87" t="n">
        <v>0</v>
      </c>
      <c r="X106" s="93"/>
      <c r="Z106" s="89" t="n">
        <f aca="false">'Revenue Allocation'!$AC104</f>
        <v>0</v>
      </c>
    </row>
    <row r="107" customFormat="false" ht="12.75" hidden="false" customHeight="false" outlineLevel="0" collapsed="false">
      <c r="A107" s="100" t="s">
        <v>345</v>
      </c>
      <c r="B107" s="84"/>
      <c r="C107" s="87" t="n">
        <f aca="false">'Revenue Allocation'!$AG105</f>
        <v>7.18443870750591</v>
      </c>
      <c r="D107" s="87" t="n">
        <v>10.2646525686199</v>
      </c>
      <c r="E107" s="88" t="n">
        <f aca="false">(D107-$C107)/$C107</f>
        <v>0.428734099700231</v>
      </c>
      <c r="F107" s="87" t="n">
        <v>10.0999388123614</v>
      </c>
      <c r="G107" s="88" t="n">
        <f aca="false">(F107-$C107)/$C107</f>
        <v>0.405807638362835</v>
      </c>
      <c r="H107" s="87" t="n">
        <v>10.0292309856102</v>
      </c>
      <c r="I107" s="88" t="n">
        <f aca="false">(H107-$C107)/$C107</f>
        <v>0.395965835874163</v>
      </c>
      <c r="J107" s="87" t="n">
        <v>10.1822710754614</v>
      </c>
      <c r="K107" s="88" t="n">
        <f aca="false">(J107-$C107)/$C107</f>
        <v>0.417267442872543</v>
      </c>
      <c r="L107" s="87" t="n">
        <v>9.37740734799748</v>
      </c>
      <c r="M107" s="88" t="n">
        <f aca="false">(L107-$C107)/$C107</f>
        <v>0.305238687359178</v>
      </c>
      <c r="N107" s="88"/>
      <c r="O107" s="87" t="n">
        <v>10.7940081053236</v>
      </c>
      <c r="P107" s="88" t="n">
        <f aca="false">(O107-$C107)/$C107</f>
        <v>0.502414947746244</v>
      </c>
      <c r="Q107" s="87" t="n">
        <v>10.2646114779789</v>
      </c>
      <c r="R107" s="88" t="n">
        <f aca="false">(Q107-$C107)/$C107</f>
        <v>0.428728380305475</v>
      </c>
      <c r="S107" s="87" t="n">
        <v>10.037353683249</v>
      </c>
      <c r="T107" s="88" t="n">
        <f aca="false">(S107-$C107)/$C107</f>
        <v>0.39709643187053</v>
      </c>
      <c r="U107" s="87" t="n">
        <v>10.5292306779587</v>
      </c>
      <c r="V107" s="88" t="n">
        <f aca="false">(U107-$C107)/$C107</f>
        <v>0.465560652213275</v>
      </c>
      <c r="W107" s="87" t="n">
        <v>7.94236633541569</v>
      </c>
      <c r="X107" s="88" t="n">
        <f aca="false">(W107-$C107)/$C107</f>
        <v>0.105495733037285</v>
      </c>
      <c r="Z107" s="89" t="n">
        <f aca="false">'Revenue Allocation'!$AC105</f>
        <v>11.0159680703087</v>
      </c>
    </row>
    <row r="108" customFormat="false" ht="12.75" hidden="false" customHeight="false" outlineLevel="0" collapsed="false">
      <c r="A108" s="92"/>
      <c r="B108" s="79"/>
      <c r="C108" s="87" t="n">
        <f aca="false">'Revenue Allocation'!$AG106</f>
        <v>0</v>
      </c>
      <c r="D108" s="87" t="n">
        <v>0</v>
      </c>
      <c r="E108" s="93"/>
      <c r="F108" s="87" t="n">
        <v>0</v>
      </c>
      <c r="G108" s="93"/>
      <c r="H108" s="87" t="n">
        <v>0</v>
      </c>
      <c r="I108" s="93"/>
      <c r="J108" s="87" t="n">
        <v>0</v>
      </c>
      <c r="K108" s="93"/>
      <c r="L108" s="87" t="n">
        <v>0</v>
      </c>
      <c r="M108" s="93"/>
      <c r="N108" s="93"/>
      <c r="O108" s="87" t="n">
        <v>0</v>
      </c>
      <c r="P108" s="93"/>
      <c r="Q108" s="87" t="n">
        <v>0</v>
      </c>
      <c r="R108" s="93"/>
      <c r="S108" s="87" t="n">
        <v>0</v>
      </c>
      <c r="T108" s="93"/>
      <c r="U108" s="87" t="n">
        <v>0</v>
      </c>
      <c r="V108" s="93"/>
      <c r="W108" s="87" t="n">
        <v>0</v>
      </c>
      <c r="X108" s="93"/>
      <c r="Z108" s="89" t="n">
        <f aca="false">'Revenue Allocation'!$AC106</f>
        <v>0</v>
      </c>
    </row>
    <row r="109" customFormat="false" ht="12.75" hidden="false" customHeight="false" outlineLevel="0" collapsed="false">
      <c r="A109" s="94" t="s">
        <v>346</v>
      </c>
      <c r="B109" s="82" t="s">
        <v>236</v>
      </c>
      <c r="C109" s="87" t="n">
        <f aca="false">'Revenue Allocation'!$AG107</f>
        <v>7.44956686035839</v>
      </c>
      <c r="D109" s="87" t="n">
        <v>10.556379379413</v>
      </c>
      <c r="E109" s="88" t="n">
        <f aca="false">(D109-$C109)/$C109</f>
        <v>0.417046061508219</v>
      </c>
      <c r="F109" s="87" t="n">
        <v>10.2968969716505</v>
      </c>
      <c r="G109" s="88" t="n">
        <f aca="false">(F109-$C109)/$C109</f>
        <v>0.382214183007566</v>
      </c>
      <c r="H109" s="87" t="n">
        <v>10.2205616336638</v>
      </c>
      <c r="I109" s="88" t="n">
        <f aca="false">(H109-$C109)/$C109</f>
        <v>0.371967233162347</v>
      </c>
      <c r="J109" s="87" t="n">
        <v>10.3943272799629</v>
      </c>
      <c r="K109" s="88" t="n">
        <f aca="false">(J109-$C109)/$C109</f>
        <v>0.395292837127824</v>
      </c>
      <c r="L109" s="87" t="n">
        <v>9.43258337504127</v>
      </c>
      <c r="M109" s="88" t="n">
        <f aca="false">(L109-$C109)/$C109</f>
        <v>0.266192189674162</v>
      </c>
      <c r="N109" s="88"/>
      <c r="O109" s="87" t="n">
        <v>10.7959581341361</v>
      </c>
      <c r="P109" s="88" t="n">
        <f aca="false">(O109-$C109)/$C109</f>
        <v>0.449206153391939</v>
      </c>
      <c r="Q109" s="87" t="n">
        <v>9.96197125504903</v>
      </c>
      <c r="R109" s="88" t="n">
        <f aca="false">(Q109-$C109)/$C109</f>
        <v>0.337255097079533</v>
      </c>
      <c r="S109" s="87" t="n">
        <v>9.71662641321356</v>
      </c>
      <c r="T109" s="88" t="n">
        <f aca="false">(S109-$C109)/$C109</f>
        <v>0.30432098877036</v>
      </c>
      <c r="U109" s="87" t="n">
        <v>10.2751161786628</v>
      </c>
      <c r="V109" s="88" t="n">
        <f aca="false">(U109-$C109)/$C109</f>
        <v>0.379290416646925</v>
      </c>
      <c r="W109" s="87" t="n">
        <v>7.18403264562935</v>
      </c>
      <c r="X109" s="88" t="n">
        <f aca="false">(W109-$C109)/$C109</f>
        <v>-0.0356442488142547</v>
      </c>
      <c r="Z109" s="89" t="n">
        <f aca="false">'Revenue Allocation'!$AC107</f>
        <v>11.2764492569003</v>
      </c>
    </row>
    <row r="110" customFormat="false" ht="12.75" hidden="false" customHeight="false" outlineLevel="0" collapsed="false">
      <c r="A110" s="92"/>
      <c r="B110" s="82" t="s">
        <v>231</v>
      </c>
      <c r="C110" s="90" t="n">
        <f aca="false">'Revenue Allocation'!$AG108</f>
        <v>8.21483935390874</v>
      </c>
      <c r="D110" s="90" t="n">
        <v>11.2913174494593</v>
      </c>
      <c r="E110" s="91" t="n">
        <f aca="false">(D110-$C110)/$C110</f>
        <v>0.374502526831121</v>
      </c>
      <c r="F110" s="90" t="n">
        <v>11.3463585958463</v>
      </c>
      <c r="G110" s="91" t="n">
        <f aca="false">(F110-$C110)/$C110</f>
        <v>0.38120273653891</v>
      </c>
      <c r="H110" s="90" t="n">
        <v>11.2848115001079</v>
      </c>
      <c r="I110" s="91" t="n">
        <f aca="false">(H110-$C110)/$C110</f>
        <v>0.373710551593253</v>
      </c>
      <c r="J110" s="90" t="n">
        <v>11.3154839170581</v>
      </c>
      <c r="K110" s="91" t="n">
        <f aca="false">(J110-$C110)/$C110</f>
        <v>0.377444333305683</v>
      </c>
      <c r="L110" s="90" t="n">
        <v>10.7297547220959</v>
      </c>
      <c r="M110" s="91" t="n">
        <f aca="false">(L110-$C110)/$C110</f>
        <v>0.306142976124118</v>
      </c>
      <c r="N110" s="91"/>
      <c r="O110" s="90" t="n">
        <v>11.7918220707928</v>
      </c>
      <c r="P110" s="91" t="n">
        <f aca="false">(O110-$C110)/$C110</f>
        <v>0.435429417762386</v>
      </c>
      <c r="Q110" s="90" t="n">
        <v>11.9687265256746</v>
      </c>
      <c r="R110" s="91" t="n">
        <f aca="false">(Q110-$C110)/$C110</f>
        <v>0.456964160836537</v>
      </c>
      <c r="S110" s="90" t="n">
        <v>11.7709116883055</v>
      </c>
      <c r="T110" s="91" t="n">
        <f aca="false">(S110-$C110)/$C110</f>
        <v>0.432883977542992</v>
      </c>
      <c r="U110" s="90" t="n">
        <v>11.8694940681551</v>
      </c>
      <c r="V110" s="91" t="n">
        <f aca="false">(U110-$C110)/$C110</f>
        <v>0.444884501911459</v>
      </c>
      <c r="W110" s="90" t="n">
        <v>9.98693691328308</v>
      </c>
      <c r="X110" s="91" t="n">
        <f aca="false">(W110-$C110)/$C110</f>
        <v>0.215719076543007</v>
      </c>
      <c r="Z110" s="89" t="n">
        <f aca="false">'Revenue Allocation'!$AC108</f>
        <v>12.0417217504506</v>
      </c>
    </row>
    <row r="111" customFormat="false" ht="12.75" hidden="false" customHeight="false" outlineLevel="0" collapsed="false">
      <c r="A111" s="97" t="s">
        <v>347</v>
      </c>
      <c r="B111" s="84"/>
      <c r="C111" s="87" t="n">
        <f aca="false">'Revenue Allocation'!$AG109</f>
        <v>8.20736686615097</v>
      </c>
      <c r="D111" s="87" t="n">
        <v>11.2841615822967</v>
      </c>
      <c r="E111" s="88" t="n">
        <f aca="false">(D111-$C111)/$C111</f>
        <v>0.374882074400156</v>
      </c>
      <c r="F111" s="87" t="n">
        <v>11.3361403090531</v>
      </c>
      <c r="G111" s="88" t="n">
        <f aca="false">(F111-$C111)/$C111</f>
        <v>0.381215253799112</v>
      </c>
      <c r="H111" s="87" t="n">
        <v>11.2744492247239</v>
      </c>
      <c r="I111" s="88" t="n">
        <f aca="false">(H111-$C111)/$C111</f>
        <v>0.373698703688057</v>
      </c>
      <c r="J111" s="87" t="n">
        <v>11.3065148966745</v>
      </c>
      <c r="K111" s="88" t="n">
        <f aca="false">(J111-$C111)/$C111</f>
        <v>0.377605641500576</v>
      </c>
      <c r="L111" s="87" t="n">
        <v>10.7171245615083</v>
      </c>
      <c r="M111" s="88" t="n">
        <f aca="false">(L111-$C111)/$C111</f>
        <v>0.305793287455954</v>
      </c>
      <c r="N111" s="88"/>
      <c r="O111" s="87" t="n">
        <v>11.7821256482871</v>
      </c>
      <c r="P111" s="88" t="n">
        <f aca="false">(O111-$C111)/$C111</f>
        <v>0.435554891164815</v>
      </c>
      <c r="Q111" s="87" t="n">
        <v>11.9491873634926</v>
      </c>
      <c r="R111" s="88" t="n">
        <f aca="false">(Q111-$C111)/$C111</f>
        <v>0.45590998408683</v>
      </c>
      <c r="S111" s="87" t="n">
        <v>11.7509097410099</v>
      </c>
      <c r="T111" s="88" t="n">
        <f aca="false">(S111-$C111)/$C111</f>
        <v>0.431751490173218</v>
      </c>
      <c r="U111" s="87" t="n">
        <v>11.8539700983825</v>
      </c>
      <c r="V111" s="88" t="n">
        <f aca="false">(U111-$C111)/$C111</f>
        <v>0.444308545201135</v>
      </c>
      <c r="W111" s="87" t="n">
        <v>9.95964589186762</v>
      </c>
      <c r="X111" s="88" t="n">
        <f aca="false">(W111-$C111)/$C111</f>
        <v>0.213500755393724</v>
      </c>
      <c r="Z111" s="89" t="n">
        <f aca="false">'Revenue Allocation'!$AC109</f>
        <v>12.0342492626928</v>
      </c>
    </row>
    <row r="112" customFormat="false" ht="12.75" hidden="false" customHeight="false" outlineLevel="0" collapsed="false">
      <c r="A112" s="94"/>
      <c r="B112" s="79"/>
      <c r="C112" s="87" t="n">
        <f aca="false">'Revenue Allocation'!$AG110</f>
        <v>0</v>
      </c>
      <c r="D112" s="87" t="n">
        <v>0</v>
      </c>
      <c r="E112" s="93"/>
      <c r="F112" s="87" t="n">
        <v>0</v>
      </c>
      <c r="G112" s="93"/>
      <c r="H112" s="87" t="n">
        <v>0</v>
      </c>
      <c r="I112" s="93"/>
      <c r="J112" s="87" t="n">
        <v>0</v>
      </c>
      <c r="K112" s="93"/>
      <c r="L112" s="87" t="n">
        <v>0</v>
      </c>
      <c r="M112" s="93"/>
      <c r="N112" s="93"/>
      <c r="O112" s="87" t="n">
        <v>0</v>
      </c>
      <c r="P112" s="93"/>
      <c r="Q112" s="87" t="n">
        <v>0</v>
      </c>
      <c r="R112" s="93"/>
      <c r="S112" s="87" t="n">
        <v>0</v>
      </c>
      <c r="T112" s="93"/>
      <c r="U112" s="87" t="n">
        <v>0</v>
      </c>
      <c r="V112" s="93"/>
      <c r="W112" s="87" t="n">
        <v>0</v>
      </c>
      <c r="X112" s="93"/>
      <c r="Z112" s="89" t="n">
        <f aca="false">'Revenue Allocation'!$AC110</f>
        <v>0</v>
      </c>
    </row>
    <row r="113" customFormat="false" ht="12.75" hidden="false" customHeight="false" outlineLevel="0" collapsed="false">
      <c r="A113" s="100" t="s">
        <v>348</v>
      </c>
      <c r="B113" s="84" t="s">
        <v>236</v>
      </c>
      <c r="C113" s="87" t="n">
        <f aca="false">'Revenue Allocation'!$AG111</f>
        <v>5.69641706123722</v>
      </c>
      <c r="D113" s="87" t="n">
        <v>8.77289515678778</v>
      </c>
      <c r="E113" s="88" t="n">
        <f aca="false">(D113-$C113)/$C113</f>
        <v>0.540072481083816</v>
      </c>
      <c r="F113" s="87" t="n">
        <v>8.51415838812805</v>
      </c>
      <c r="G113" s="88" t="n">
        <f aca="false">(F113-$C113)/$C113</f>
        <v>0.494651514557265</v>
      </c>
      <c r="H113" s="87" t="n">
        <v>8.43804240456086</v>
      </c>
      <c r="I113" s="88" t="n">
        <f aca="false">(H113-$C113)/$C113</f>
        <v>0.481289434016298</v>
      </c>
      <c r="J113" s="87" t="n">
        <v>8.61130872429009</v>
      </c>
      <c r="K113" s="88" t="n">
        <f aca="false">(J113-$C113)/$C113</f>
        <v>0.51170615348515</v>
      </c>
      <c r="L113" s="87" t="n">
        <v>7.65232845127918</v>
      </c>
      <c r="M113" s="88" t="n">
        <f aca="false">(L113-$C113)/$C113</f>
        <v>0.343358179188016</v>
      </c>
      <c r="N113" s="88"/>
      <c r="O113" s="87" t="n">
        <v>9.88437020475609</v>
      </c>
      <c r="P113" s="88" t="n">
        <f aca="false">(O113-$C113)/$C113</f>
        <v>0.735190752098703</v>
      </c>
      <c r="Q113" s="87" t="n">
        <v>9.05277983968944</v>
      </c>
      <c r="R113" s="88" t="n">
        <f aca="false">(Q113-$C113)/$C113</f>
        <v>0.589205941624514</v>
      </c>
      <c r="S113" s="87" t="n">
        <v>8.80814001176729</v>
      </c>
      <c r="T113" s="88" t="n">
        <f aca="false">(S113-$C113)/$C113</f>
        <v>0.546259678158858</v>
      </c>
      <c r="U113" s="87" t="n">
        <v>9.36502492156873</v>
      </c>
      <c r="V113" s="88" t="n">
        <f aca="false">(U113-$C113)/$C113</f>
        <v>0.644020236034951</v>
      </c>
      <c r="W113" s="87" t="n">
        <v>6.28282381248073</v>
      </c>
      <c r="X113" s="88" t="n">
        <f aca="false">(W113-$C113)/$C113</f>
        <v>0.102943085967822</v>
      </c>
      <c r="Z113" s="89" t="n">
        <f aca="false">'Revenue Allocation'!$AC111</f>
        <v>9.5232994577791</v>
      </c>
    </row>
    <row r="114" customFormat="false" ht="12.75" hidden="false" customHeight="false" outlineLevel="0" collapsed="false">
      <c r="A114" s="100"/>
      <c r="B114" s="84" t="s">
        <v>234</v>
      </c>
      <c r="C114" s="87" t="n">
        <f aca="false">'Revenue Allocation'!$AG112</f>
        <v>7.78745382510027</v>
      </c>
      <c r="D114" s="87" t="n">
        <v>10.8639319206508</v>
      </c>
      <c r="E114" s="88" t="n">
        <f aca="false">(D114-$C114)/$C114</f>
        <v>0.395055709432851</v>
      </c>
      <c r="F114" s="87" t="n">
        <v>10.6936163599718</v>
      </c>
      <c r="G114" s="88" t="n">
        <f aca="false">(F114-$C114)/$C114</f>
        <v>0.373185202781495</v>
      </c>
      <c r="H114" s="87" t="n">
        <v>10.6245533997321</v>
      </c>
      <c r="I114" s="88" t="n">
        <f aca="false">(H114-$C114)/$C114</f>
        <v>0.364316712285012</v>
      </c>
      <c r="J114" s="87" t="n">
        <v>10.8166549651356</v>
      </c>
      <c r="K114" s="88" t="n">
        <f aca="false">(J114-$C114)/$C114</f>
        <v>0.388984796323506</v>
      </c>
      <c r="L114" s="87" t="n">
        <v>10.0761416404454</v>
      </c>
      <c r="M114" s="88" t="n">
        <f aca="false">(L114-$C114)/$C114</f>
        <v>0.293894238957573</v>
      </c>
      <c r="N114" s="88"/>
      <c r="O114" s="87" t="n">
        <v>11.0943245493805</v>
      </c>
      <c r="P114" s="88" t="n">
        <f aca="false">(O114-$C114)/$C114</f>
        <v>0.424640813101401</v>
      </c>
      <c r="Q114" s="87" t="n">
        <v>10.5469234976659</v>
      </c>
      <c r="R114" s="88" t="n">
        <f aca="false">(Q114-$C114)/$C114</f>
        <v>0.354348126427585</v>
      </c>
      <c r="S114" s="87" t="n">
        <v>10.3249523699602</v>
      </c>
      <c r="T114" s="88" t="n">
        <f aca="false">(S114-$C114)/$C114</f>
        <v>0.325844441822715</v>
      </c>
      <c r="U114" s="87" t="n">
        <v>10.9423745157621</v>
      </c>
      <c r="V114" s="88" t="n">
        <f aca="false">(U114-$C114)/$C114</f>
        <v>0.405128654566532</v>
      </c>
      <c r="W114" s="87" t="n">
        <v>8.56233495197775</v>
      </c>
      <c r="X114" s="88" t="n">
        <f aca="false">(W114-$C114)/$C114</f>
        <v>0.0995037844564688</v>
      </c>
      <c r="Z114" s="89" t="n">
        <f aca="false">'Revenue Allocation'!$AC112</f>
        <v>11.6143362216421</v>
      </c>
    </row>
    <row r="115" customFormat="false" ht="12.75" hidden="false" customHeight="false" outlineLevel="0" collapsed="false">
      <c r="A115" s="100"/>
      <c r="B115" s="84" t="s">
        <v>231</v>
      </c>
      <c r="C115" s="90" t="n">
        <f aca="false">'Revenue Allocation'!$AG113</f>
        <v>9.14163091946488</v>
      </c>
      <c r="D115" s="90" t="n">
        <v>12.2181092974609</v>
      </c>
      <c r="E115" s="91" t="n">
        <f aca="false">(D115-$C115)/$C115</f>
        <v>0.33653495805058</v>
      </c>
      <c r="F115" s="90" t="n">
        <v>12.2731504438479</v>
      </c>
      <c r="G115" s="91" t="n">
        <f aca="false">(F115-$C115)/$C115</f>
        <v>0.34255589095324</v>
      </c>
      <c r="H115" s="90" t="n">
        <v>12.2116033481095</v>
      </c>
      <c r="I115" s="91" t="n">
        <f aca="false">(H115-$C115)/$C115</f>
        <v>0.335823274390555</v>
      </c>
      <c r="J115" s="90" t="n">
        <v>12.2422757650597</v>
      </c>
      <c r="K115" s="91" t="n">
        <f aca="false">(J115-$C115)/$C115</f>
        <v>0.339178519993926</v>
      </c>
      <c r="L115" s="90" t="n">
        <v>11.6565465700975</v>
      </c>
      <c r="M115" s="91" t="n">
        <f aca="false">(L115-$C115)/$C115</f>
        <v>0.275105795977574</v>
      </c>
      <c r="N115" s="91"/>
      <c r="O115" s="90" t="n">
        <v>12.1115737962807</v>
      </c>
      <c r="P115" s="91" t="n">
        <f aca="false">(O115-$C115)/$C115</f>
        <v>0.324881074611324</v>
      </c>
      <c r="Q115" s="90" t="n">
        <v>12.2884782511626</v>
      </c>
      <c r="R115" s="91" t="n">
        <f aca="false">(Q115-$C115)/$C115</f>
        <v>0.344232594754756</v>
      </c>
      <c r="S115" s="90" t="n">
        <v>12.0906634137934</v>
      </c>
      <c r="T115" s="91" t="n">
        <f aca="false">(S115-$C115)/$C115</f>
        <v>0.322593694747543</v>
      </c>
      <c r="U115" s="90" t="n">
        <v>12.1892457936431</v>
      </c>
      <c r="V115" s="91" t="n">
        <f aca="false">(U115-$C115)/$C115</f>
        <v>0.333377588859884</v>
      </c>
      <c r="W115" s="90" t="n">
        <v>10.3066886387711</v>
      </c>
      <c r="X115" s="91" t="n">
        <f aca="false">(W115-$C115)/$C115</f>
        <v>0.12744528077867</v>
      </c>
      <c r="Z115" s="89" t="n">
        <f aca="false">'Revenue Allocation'!$AC113</f>
        <v>12.9685135984522</v>
      </c>
    </row>
    <row r="116" customFormat="false" ht="12.75" hidden="false" customHeight="false" outlineLevel="0" collapsed="false">
      <c r="A116" s="100" t="s">
        <v>348</v>
      </c>
      <c r="B116" s="84"/>
      <c r="C116" s="87" t="n">
        <f aca="false">'Revenue Allocation'!$AG114</f>
        <v>7.19754938825167</v>
      </c>
      <c r="D116" s="87" t="n">
        <v>10.2740275431598</v>
      </c>
      <c r="E116" s="88" t="n">
        <f aca="false">(D116-$C116)/$C116</f>
        <v>0.427434115273974</v>
      </c>
      <c r="F116" s="87" t="n">
        <v>10.1140933504352</v>
      </c>
      <c r="G116" s="88" t="n">
        <f aca="false">(F116-$C116)/$C116</f>
        <v>0.405213469871303</v>
      </c>
      <c r="H116" s="87" t="n">
        <v>10.0436602471938</v>
      </c>
      <c r="I116" s="88" t="n">
        <f aca="false">(H116-$C116)/$C116</f>
        <v>0.395427763731326</v>
      </c>
      <c r="J116" s="87" t="n">
        <v>10.1939594645143</v>
      </c>
      <c r="K116" s="88" t="n">
        <f aca="false">(J116-$C116)/$C116</f>
        <v>0.41630976248021</v>
      </c>
      <c r="L116" s="87" t="n">
        <v>9.39460984619259</v>
      </c>
      <c r="M116" s="88" t="n">
        <f aca="false">(L116-$C116)/$C116</f>
        <v>0.305251181954669</v>
      </c>
      <c r="N116" s="88"/>
      <c r="O116" s="87" t="n">
        <v>10.8020902839194</v>
      </c>
      <c r="P116" s="88" t="n">
        <f aca="false">(O116-$C116)/$C116</f>
        <v>0.500801134001429</v>
      </c>
      <c r="Q116" s="87" t="n">
        <v>10.2880553657151</v>
      </c>
      <c r="R116" s="88" t="n">
        <f aca="false">(Q116-$C116)/$C116</f>
        <v>0.429383087319688</v>
      </c>
      <c r="S116" s="87" t="n">
        <v>10.0616805433785</v>
      </c>
      <c r="T116" s="88" t="n">
        <f aca="false">(S116-$C116)/$C116</f>
        <v>0.397931434802219</v>
      </c>
      <c r="U116" s="87" t="n">
        <v>10.5447482637038</v>
      </c>
      <c r="V116" s="88" t="n">
        <f aca="false">(U116-$C116)/$C116</f>
        <v>0.465047017380061</v>
      </c>
      <c r="W116" s="87" t="n">
        <v>7.97560648938473</v>
      </c>
      <c r="X116" s="88" t="n">
        <f aca="false">(W116-$C116)/$C116</f>
        <v>0.108100279576137</v>
      </c>
      <c r="Z116" s="89" t="n">
        <f aca="false">'Revenue Allocation'!$AC114</f>
        <v>11.0244318441511</v>
      </c>
    </row>
    <row r="117" customFormat="false" ht="12.75" hidden="false" customHeight="false" outlineLevel="0" collapsed="false">
      <c r="A117" s="92"/>
      <c r="B117" s="79"/>
      <c r="C117" s="87" t="n">
        <f aca="false">'Revenue Allocation'!$AG115</f>
        <v>0</v>
      </c>
      <c r="D117" s="87" t="n">
        <v>0</v>
      </c>
      <c r="E117" s="93"/>
      <c r="F117" s="87" t="n">
        <v>0</v>
      </c>
      <c r="G117" s="93"/>
      <c r="H117" s="87" t="n">
        <v>0</v>
      </c>
      <c r="I117" s="93"/>
      <c r="J117" s="87" t="n">
        <v>0</v>
      </c>
      <c r="K117" s="93"/>
      <c r="L117" s="87" t="n">
        <v>0</v>
      </c>
      <c r="M117" s="93"/>
      <c r="N117" s="93"/>
      <c r="O117" s="87" t="n">
        <v>0</v>
      </c>
      <c r="P117" s="93"/>
      <c r="Q117" s="87" t="n">
        <v>0</v>
      </c>
      <c r="R117" s="93"/>
      <c r="S117" s="87" t="n">
        <v>0</v>
      </c>
      <c r="T117" s="93"/>
      <c r="U117" s="87" t="n">
        <v>0</v>
      </c>
      <c r="V117" s="93"/>
      <c r="W117" s="87" t="n">
        <v>0</v>
      </c>
      <c r="X117" s="93"/>
      <c r="Z117" s="89" t="n">
        <f aca="false">'Revenue Allocation'!$AC115</f>
        <v>0</v>
      </c>
    </row>
    <row r="118" customFormat="false" ht="12.75" hidden="false" customHeight="false" outlineLevel="0" collapsed="false">
      <c r="A118" s="94" t="s">
        <v>349</v>
      </c>
      <c r="B118" s="82" t="s">
        <v>236</v>
      </c>
      <c r="C118" s="87" t="n">
        <f aca="false">'Revenue Allocation'!$AG116</f>
        <v>5.9119697670595</v>
      </c>
      <c r="D118" s="87" t="n">
        <v>8.98845643584069</v>
      </c>
      <c r="E118" s="88" t="n">
        <f aca="false">(D118-$C118)/$C118</f>
        <v>0.520382679546649</v>
      </c>
      <c r="F118" s="87" t="n">
        <v>8.72971894615844</v>
      </c>
      <c r="G118" s="88" t="n">
        <f aca="false">(F118-$C118)/$C118</f>
        <v>0.476617657079197</v>
      </c>
      <c r="H118" s="87" t="n">
        <v>8.65360275047861</v>
      </c>
      <c r="I118" s="88" t="n">
        <f aca="false">(H118-$C118)/$C118</f>
        <v>0.463742727287787</v>
      </c>
      <c r="J118" s="87" t="n">
        <v>8.82686955304961</v>
      </c>
      <c r="K118" s="88" t="n">
        <f aca="false">(J118-$C118)/$C118</f>
        <v>0.493050523064487</v>
      </c>
      <c r="L118" s="87" t="n">
        <v>7.86788660764553</v>
      </c>
      <c r="M118" s="88" t="n">
        <f aca="false">(L118-$C118)/$C118</f>
        <v>0.330840129035177</v>
      </c>
      <c r="N118" s="88"/>
      <c r="O118" s="87" t="n">
        <v>10.7662368871588</v>
      </c>
      <c r="P118" s="88" t="n">
        <f aca="false">(O118-$C118)/$C118</f>
        <v>0.821091330193607</v>
      </c>
      <c r="Q118" s="87" t="n">
        <v>9.93464420469678</v>
      </c>
      <c r="R118" s="88" t="n">
        <f aca="false">(Q118-$C118)/$C118</f>
        <v>0.680428790426323</v>
      </c>
      <c r="S118" s="87" t="n">
        <v>9.6900036950361</v>
      </c>
      <c r="T118" s="88" t="n">
        <f aca="false">(S118-$C118)/$C118</f>
        <v>0.639048249033202</v>
      </c>
      <c r="U118" s="87" t="n">
        <v>10.2468901567104</v>
      </c>
      <c r="V118" s="88" t="n">
        <f aca="false">(U118-$C118)/$C118</f>
        <v>0.733244681629517</v>
      </c>
      <c r="W118" s="87" t="n">
        <v>7.16468045844339</v>
      </c>
      <c r="X118" s="88" t="n">
        <f aca="false">(W118-$C118)/$C118</f>
        <v>0.21189396102189</v>
      </c>
      <c r="Z118" s="89" t="n">
        <f aca="false">'Revenue Allocation'!$AC116</f>
        <v>9.7388628279859</v>
      </c>
    </row>
    <row r="119" customFormat="false" ht="12.75" hidden="false" customHeight="false" outlineLevel="0" collapsed="false">
      <c r="A119" s="92"/>
      <c r="B119" s="82" t="s">
        <v>234</v>
      </c>
      <c r="C119" s="87" t="n">
        <f aca="false">'Revenue Allocation'!$AG117</f>
        <v>0</v>
      </c>
      <c r="D119" s="87" t="n">
        <v>0</v>
      </c>
      <c r="E119" s="93"/>
      <c r="F119" s="87" t="n">
        <v>0</v>
      </c>
      <c r="G119" s="93"/>
      <c r="H119" s="87" t="n">
        <v>0</v>
      </c>
      <c r="I119" s="93"/>
      <c r="J119" s="87" t="n">
        <v>0</v>
      </c>
      <c r="K119" s="93"/>
      <c r="L119" s="87" t="n">
        <v>0</v>
      </c>
      <c r="M119" s="93"/>
      <c r="N119" s="93"/>
      <c r="O119" s="87" t="n">
        <v>0</v>
      </c>
      <c r="P119" s="93"/>
      <c r="Q119" s="87" t="n">
        <v>0</v>
      </c>
      <c r="R119" s="93"/>
      <c r="S119" s="87" t="n">
        <v>0</v>
      </c>
      <c r="T119" s="93"/>
      <c r="U119" s="87" t="n">
        <v>0</v>
      </c>
      <c r="V119" s="93"/>
      <c r="W119" s="87" t="n">
        <v>0</v>
      </c>
      <c r="X119" s="93"/>
      <c r="Z119" s="89" t="n">
        <f aca="false">'Revenue Allocation'!$AC117</f>
        <v>0</v>
      </c>
    </row>
    <row r="120" customFormat="false" ht="12.75" hidden="false" customHeight="false" outlineLevel="0" collapsed="false">
      <c r="A120" s="92"/>
      <c r="B120" s="82" t="s">
        <v>231</v>
      </c>
      <c r="C120" s="90" t="n">
        <f aca="false">'Revenue Allocation'!$AG118</f>
        <v>7.24782764295818</v>
      </c>
      <c r="D120" s="90" t="n">
        <v>10.3243057385087</v>
      </c>
      <c r="E120" s="91" t="n">
        <f aca="false">(D120-$C120)/$C120</f>
        <v>0.424468992242053</v>
      </c>
      <c r="F120" s="90" t="n">
        <v>10.3793468848957</v>
      </c>
      <c r="G120" s="91" t="n">
        <f aca="false">(F120-$C120)/$C120</f>
        <v>0.43206314998123</v>
      </c>
      <c r="H120" s="90" t="n">
        <v>10.3177997891574</v>
      </c>
      <c r="I120" s="91" t="n">
        <f aca="false">(H120-$C120)/$C120</f>
        <v>0.423571350952573</v>
      </c>
      <c r="J120" s="90" t="n">
        <v>10.3484722061076</v>
      </c>
      <c r="K120" s="91" t="n">
        <f aca="false">(J120-$C120)/$C120</f>
        <v>0.427803297193731</v>
      </c>
      <c r="L120" s="90" t="n">
        <v>9.76274301114532</v>
      </c>
      <c r="M120" s="91" t="n">
        <f aca="false">(L120-$C120)/$C120</f>
        <v>0.346988848531819</v>
      </c>
      <c r="N120" s="91"/>
      <c r="O120" s="90" t="n">
        <v>12.6472370522768</v>
      </c>
      <c r="P120" s="91" t="n">
        <f aca="false">(O120-$C120)/$C120</f>
        <v>0.744969344651087</v>
      </c>
      <c r="Q120" s="90" t="n">
        <v>12.8241415071586</v>
      </c>
      <c r="R120" s="91" t="n">
        <f aca="false">(Q120-$C120)/$C120</f>
        <v>0.769377272598122</v>
      </c>
      <c r="S120" s="90" t="n">
        <v>12.6263266697895</v>
      </c>
      <c r="T120" s="91" t="n">
        <f aca="false">(S120-$C120)/$C120</f>
        <v>0.742084289498374</v>
      </c>
      <c r="U120" s="90" t="n">
        <v>12.7249090496391</v>
      </c>
      <c r="V120" s="91" t="n">
        <f aca="false">(U120-$C120)/$C120</f>
        <v>0.755685934667929</v>
      </c>
      <c r="W120" s="90" t="n">
        <v>10.8423518947671</v>
      </c>
      <c r="X120" s="91" t="n">
        <f aca="false">(W120-$C120)/$C120</f>
        <v>0.495945051245978</v>
      </c>
      <c r="Z120" s="89" t="n">
        <f aca="false">'Revenue Allocation'!$AC118</f>
        <v>11.0747100395</v>
      </c>
    </row>
    <row r="121" customFormat="false" ht="12.75" hidden="false" customHeight="false" outlineLevel="0" collapsed="false">
      <c r="A121" s="97" t="s">
        <v>350</v>
      </c>
      <c r="B121" s="84"/>
      <c r="C121" s="87" t="n">
        <f aca="false">'Revenue Allocation'!$AG119</f>
        <v>6.01035402528096</v>
      </c>
      <c r="D121" s="87" t="n">
        <v>9.08683212083151</v>
      </c>
      <c r="E121" s="88" t="n">
        <f aca="false">(D121-$C121)/$C121</f>
        <v>0.511863042112024</v>
      </c>
      <c r="F121" s="87" t="n">
        <v>8.85120828704263</v>
      </c>
      <c r="G121" s="88" t="n">
        <f aca="false">(F121-$C121)/$C121</f>
        <v>0.472660054601173</v>
      </c>
      <c r="H121" s="87" t="n">
        <v>8.77616545024384</v>
      </c>
      <c r="I121" s="88" t="n">
        <f aca="false">(H121-$C121)/$C121</f>
        <v>0.460174461159732</v>
      </c>
      <c r="J121" s="87" t="n">
        <v>8.93892827871423</v>
      </c>
      <c r="K121" s="88" t="n">
        <f aca="false">(J121-$C121)/$C121</f>
        <v>0.48725486736971</v>
      </c>
      <c r="L121" s="87" t="n">
        <v>8.00744174392938</v>
      </c>
      <c r="M121" s="88" t="n">
        <f aca="false">(L121-$C121)/$C121</f>
        <v>0.33227455658156</v>
      </c>
      <c r="N121" s="88"/>
      <c r="O121" s="87" t="n">
        <v>10.9047638886754</v>
      </c>
      <c r="P121" s="88" t="n">
        <f aca="false">(O121-$C121)/$C121</f>
        <v>0.814329712161277</v>
      </c>
      <c r="Q121" s="87" t="n">
        <v>10.1474594244746</v>
      </c>
      <c r="R121" s="88" t="n">
        <f aca="false">(Q121-$C121)/$C121</f>
        <v>0.688329735950994</v>
      </c>
      <c r="S121" s="87" t="n">
        <v>9.90626873336252</v>
      </c>
      <c r="T121" s="88" t="n">
        <f aca="false">(S121-$C121)/$C121</f>
        <v>0.648200537222007</v>
      </c>
      <c r="U121" s="87" t="n">
        <v>10.429395000449</v>
      </c>
      <c r="V121" s="88" t="n">
        <f aca="false">(U121-$C121)/$C121</f>
        <v>0.735238050301276</v>
      </c>
      <c r="W121" s="87" t="n">
        <v>7.43555987013889</v>
      </c>
      <c r="X121" s="88" t="n">
        <f aca="false">(W121-$C121)/$C121</f>
        <v>0.237125107583212</v>
      </c>
      <c r="Z121" s="89" t="n">
        <f aca="false">'Revenue Allocation'!$AC119</f>
        <v>9.83723642182283</v>
      </c>
    </row>
    <row r="122" customFormat="false" ht="12.75" hidden="false" customHeight="false" outlineLevel="0" collapsed="false">
      <c r="A122" s="92"/>
      <c r="B122" s="79"/>
      <c r="C122" s="87" t="n">
        <f aca="false">'Revenue Allocation'!$AG120</f>
        <v>0</v>
      </c>
      <c r="D122" s="87" t="n">
        <v>0</v>
      </c>
      <c r="E122" s="93"/>
      <c r="F122" s="87" t="n">
        <v>0</v>
      </c>
      <c r="G122" s="93"/>
      <c r="H122" s="87" t="n">
        <v>0</v>
      </c>
      <c r="I122" s="93"/>
      <c r="J122" s="87" t="n">
        <v>0</v>
      </c>
      <c r="K122" s="93"/>
      <c r="L122" s="87" t="n">
        <v>0</v>
      </c>
      <c r="M122" s="93"/>
      <c r="N122" s="93"/>
      <c r="O122" s="87" t="n">
        <v>0</v>
      </c>
      <c r="P122" s="93"/>
      <c r="Q122" s="87" t="n">
        <v>0</v>
      </c>
      <c r="R122" s="93"/>
      <c r="S122" s="87" t="n">
        <v>0</v>
      </c>
      <c r="T122" s="93"/>
      <c r="U122" s="87" t="n">
        <v>0</v>
      </c>
      <c r="V122" s="93"/>
      <c r="W122" s="87" t="n">
        <v>0</v>
      </c>
      <c r="X122" s="93"/>
      <c r="Z122" s="89" t="n">
        <f aca="false">'Revenue Allocation'!$AC120</f>
        <v>0</v>
      </c>
    </row>
    <row r="123" customFormat="false" ht="12.75" hidden="false" customHeight="false" outlineLevel="0" collapsed="false">
      <c r="A123" s="100" t="s">
        <v>351</v>
      </c>
      <c r="B123" s="84" t="s">
        <v>236</v>
      </c>
      <c r="C123" s="87" t="n">
        <f aca="false">'Revenue Allocation'!$AG121</f>
        <v>5.70686275999342</v>
      </c>
      <c r="D123" s="87" t="n">
        <v>8.78334085554398</v>
      </c>
      <c r="E123" s="88" t="n">
        <f aca="false">(D123-$C123)/$C123</f>
        <v>0.539083945932163</v>
      </c>
      <c r="F123" s="87" t="n">
        <v>8.52460408688425</v>
      </c>
      <c r="G123" s="88" t="n">
        <f aca="false">(F123-$C123)/$C123</f>
        <v>0.49374611680588</v>
      </c>
      <c r="H123" s="87" t="n">
        <v>8.44848810331706</v>
      </c>
      <c r="I123" s="88" t="n">
        <f aca="false">(H123-$C123)/$C123</f>
        <v>0.480408493882689</v>
      </c>
      <c r="J123" s="87" t="n">
        <v>8.62175442304629</v>
      </c>
      <c r="K123" s="88" t="n">
        <f aca="false">(J123-$C123)/$C123</f>
        <v>0.510769539349539</v>
      </c>
      <c r="L123" s="87" t="n">
        <v>7.66277415003538</v>
      </c>
      <c r="M123" s="88" t="n">
        <f aca="false">(L123-$C123)/$C123</f>
        <v>0.3427297049709</v>
      </c>
      <c r="N123" s="88"/>
      <c r="O123" s="87" t="n">
        <v>9.92710733656976</v>
      </c>
      <c r="P123" s="88" t="n">
        <f aca="false">(O123-$C123)/$C123</f>
        <v>0.739503428426796</v>
      </c>
      <c r="Q123" s="87" t="n">
        <v>9.09551697150311</v>
      </c>
      <c r="R123" s="88" t="n">
        <f aca="false">(Q123-$C123)/$C123</f>
        <v>0.593785824895778</v>
      </c>
      <c r="S123" s="87" t="n">
        <v>8.85087714358096</v>
      </c>
      <c r="T123" s="88" t="n">
        <f aca="false">(S123-$C123)/$C123</f>
        <v>0.550918169195848</v>
      </c>
      <c r="U123" s="87" t="n">
        <v>9.4077620533824</v>
      </c>
      <c r="V123" s="88" t="n">
        <f aca="false">(U123-$C123)/$C123</f>
        <v>0.648499788593698</v>
      </c>
      <c r="W123" s="87" t="n">
        <v>6.32556094429439</v>
      </c>
      <c r="X123" s="88" t="n">
        <f aca="false">(W123-$C123)/$C123</f>
        <v>0.108413012599183</v>
      </c>
      <c r="Z123" s="89" t="n">
        <f aca="false">'Revenue Allocation'!$AC121</f>
        <v>9.5337451565353</v>
      </c>
    </row>
    <row r="124" customFormat="false" ht="12.75" hidden="false" customHeight="false" outlineLevel="0" collapsed="false">
      <c r="A124" s="100"/>
      <c r="B124" s="84" t="s">
        <v>234</v>
      </c>
      <c r="C124" s="87" t="n">
        <f aca="false">'Revenue Allocation'!$AG122</f>
        <v>7.78745382510027</v>
      </c>
      <c r="D124" s="87" t="n">
        <v>10.8639319206508</v>
      </c>
      <c r="E124" s="88" t="n">
        <f aca="false">(D124-$C124)/$C124</f>
        <v>0.395055709432851</v>
      </c>
      <c r="F124" s="87" t="n">
        <v>10.6936163599718</v>
      </c>
      <c r="G124" s="88" t="n">
        <f aca="false">(F124-$C124)/$C124</f>
        <v>0.373185202781495</v>
      </c>
      <c r="H124" s="87" t="n">
        <v>10.6245533997321</v>
      </c>
      <c r="I124" s="88" t="n">
        <f aca="false">(H124-$C124)/$C124</f>
        <v>0.364316712285012</v>
      </c>
      <c r="J124" s="87" t="n">
        <v>10.8166549651356</v>
      </c>
      <c r="K124" s="88" t="n">
        <f aca="false">(J124-$C124)/$C124</f>
        <v>0.388984796323506</v>
      </c>
      <c r="L124" s="87" t="n">
        <v>10.0761416404454</v>
      </c>
      <c r="M124" s="88" t="n">
        <f aca="false">(L124-$C124)/$C124</f>
        <v>0.293894238957573</v>
      </c>
      <c r="N124" s="88"/>
      <c r="O124" s="87" t="n">
        <v>11.0943245493805</v>
      </c>
      <c r="P124" s="88" t="n">
        <f aca="false">(O124-$C124)/$C124</f>
        <v>0.424640813101401</v>
      </c>
      <c r="Q124" s="87" t="n">
        <v>10.5469234976659</v>
      </c>
      <c r="R124" s="88" t="n">
        <f aca="false">(Q124-$C124)/$C124</f>
        <v>0.354348126427585</v>
      </c>
      <c r="S124" s="87" t="n">
        <v>10.3249523699602</v>
      </c>
      <c r="T124" s="88" t="n">
        <f aca="false">(S124-$C124)/$C124</f>
        <v>0.325844441822715</v>
      </c>
      <c r="U124" s="87" t="n">
        <v>10.9423745157621</v>
      </c>
      <c r="V124" s="88" t="n">
        <f aca="false">(U124-$C124)/$C124</f>
        <v>0.405128654566532</v>
      </c>
      <c r="W124" s="87" t="n">
        <v>8.56233495197775</v>
      </c>
      <c r="X124" s="88" t="n">
        <f aca="false">(W124-$C124)/$C124</f>
        <v>0.0995037844564688</v>
      </c>
      <c r="Z124" s="89" t="n">
        <f aca="false">'Revenue Allocation'!$AC122</f>
        <v>11.6143362216421</v>
      </c>
    </row>
    <row r="125" customFormat="false" ht="12.75" hidden="false" customHeight="false" outlineLevel="0" collapsed="false">
      <c r="A125" s="100"/>
      <c r="B125" s="84" t="s">
        <v>231</v>
      </c>
      <c r="C125" s="90" t="n">
        <f aca="false">'Revenue Allocation'!$AG123</f>
        <v>9.12648986333108</v>
      </c>
      <c r="D125" s="90" t="n">
        <v>12.2029682390689</v>
      </c>
      <c r="E125" s="91" t="n">
        <f aca="false">(D125-$C125)/$C125</f>
        <v>0.337093277021945</v>
      </c>
      <c r="F125" s="90" t="n">
        <v>12.2580093854559</v>
      </c>
      <c r="G125" s="91" t="n">
        <f aca="false">(F125-$C125)/$C125</f>
        <v>0.343124198790469</v>
      </c>
      <c r="H125" s="90" t="n">
        <v>12.1964622897175</v>
      </c>
      <c r="I125" s="91" t="n">
        <f aca="false">(H125-$C125)/$C125</f>
        <v>0.336380412662395</v>
      </c>
      <c r="J125" s="90" t="n">
        <v>12.2271347066677</v>
      </c>
      <c r="K125" s="91" t="n">
        <f aca="false">(J125-$C125)/$C125</f>
        <v>0.339741224695224</v>
      </c>
      <c r="L125" s="90" t="n">
        <v>11.6414055117055</v>
      </c>
      <c r="M125" s="91" t="n">
        <f aca="false">(L125-$C125)/$C125</f>
        <v>0.275562202559276</v>
      </c>
      <c r="N125" s="91"/>
      <c r="O125" s="90" t="n">
        <v>12.1158564519971</v>
      </c>
      <c r="P125" s="91" t="n">
        <f aca="false">(O125-$C125)/$C125</f>
        <v>0.327548338236466</v>
      </c>
      <c r="Q125" s="90" t="n">
        <v>12.292760906879</v>
      </c>
      <c r="R125" s="91" t="n">
        <f aca="false">(Q125-$C125)/$C125</f>
        <v>0.346931962995929</v>
      </c>
      <c r="S125" s="90" t="n">
        <v>12.0949460695098</v>
      </c>
      <c r="T125" s="91" t="n">
        <f aca="false">(S125-$C125)/$C125</f>
        <v>0.325257163556997</v>
      </c>
      <c r="U125" s="90" t="n">
        <v>12.1935284493594</v>
      </c>
      <c r="V125" s="91" t="n">
        <f aca="false">(U125-$C125)/$C125</f>
        <v>0.336058948397158</v>
      </c>
      <c r="W125" s="90" t="n">
        <v>10.3109712944874</v>
      </c>
      <c r="X125" s="91" t="n">
        <f aca="false">(W125-$C125)/$C125</f>
        <v>0.129784993890745</v>
      </c>
      <c r="Z125" s="89" t="n">
        <f aca="false">'Revenue Allocation'!$AC123</f>
        <v>12.9533725400602</v>
      </c>
    </row>
    <row r="126" customFormat="false" ht="12.75" hidden="false" customHeight="false" outlineLevel="0" collapsed="false">
      <c r="A126" s="100" t="s">
        <v>351</v>
      </c>
      <c r="B126" s="84"/>
      <c r="C126" s="87" t="n">
        <f aca="false">'Revenue Allocation'!$AG124</f>
        <v>7.17086452116124</v>
      </c>
      <c r="D126" s="87" t="n">
        <v>10.2473426747351</v>
      </c>
      <c r="E126" s="88" t="n">
        <f aca="false">(D126-$C126)/$C126</f>
        <v>0.429024721425875</v>
      </c>
      <c r="F126" s="87" t="n">
        <v>10.0857071882935</v>
      </c>
      <c r="G126" s="88" t="n">
        <f aca="false">(F126-$C126)/$C126</f>
        <v>0.406484135703665</v>
      </c>
      <c r="H126" s="87" t="n">
        <v>10.0151704709957</v>
      </c>
      <c r="I126" s="88" t="n">
        <f aca="false">(H126-$C126)/$C126</f>
        <v>0.396647564800721</v>
      </c>
      <c r="J126" s="87" t="n">
        <v>10.1657498358112</v>
      </c>
      <c r="K126" s="88" t="n">
        <f aca="false">(J126-$C126)/$C126</f>
        <v>0.417646338989124</v>
      </c>
      <c r="L126" s="87" t="n">
        <v>9.36343014519683</v>
      </c>
      <c r="M126" s="88" t="n">
        <f aca="false">(L126-$C126)/$C126</f>
        <v>0.305760291184603</v>
      </c>
      <c r="N126" s="88"/>
      <c r="O126" s="87" t="n">
        <v>10.8043981024824</v>
      </c>
      <c r="P126" s="88" t="n">
        <f aca="false">(O126-$C126)/$C126</f>
        <v>0.506707883073042</v>
      </c>
      <c r="Q126" s="87" t="n">
        <v>10.2848951579494</v>
      </c>
      <c r="R126" s="88" t="n">
        <f aca="false">(Q126-$C126)/$C126</f>
        <v>0.434261535355836</v>
      </c>
      <c r="S126" s="87" t="n">
        <v>10.0581873158745</v>
      </c>
      <c r="T126" s="88" t="n">
        <f aca="false">(S126-$C126)/$C126</f>
        <v>0.402646401447517</v>
      </c>
      <c r="U126" s="87" t="n">
        <v>10.5421554414991</v>
      </c>
      <c r="V126" s="88" t="n">
        <f aca="false">(U126-$C126)/$C126</f>
        <v>0.470137304977551</v>
      </c>
      <c r="W126" s="87" t="n">
        <v>7.96346773555642</v>
      </c>
      <c r="X126" s="88" t="n">
        <f aca="false">(W126-$C126)/$C126</f>
        <v>0.110531054108777</v>
      </c>
      <c r="Z126" s="89" t="n">
        <f aca="false">'Revenue Allocation'!$AC124</f>
        <v>10.9977469757264</v>
      </c>
    </row>
    <row r="127" customFormat="false" ht="12.75" hidden="false" customHeight="false" outlineLevel="0" collapsed="false">
      <c r="A127" s="92"/>
      <c r="B127" s="79"/>
      <c r="C127" s="87" t="n">
        <f aca="false">'Revenue Allocation'!$AG125</f>
        <v>0</v>
      </c>
      <c r="D127" s="87" t="n">
        <v>0</v>
      </c>
      <c r="E127" s="93"/>
      <c r="F127" s="87" t="n">
        <v>0</v>
      </c>
      <c r="G127" s="93"/>
      <c r="H127" s="87" t="n">
        <v>0</v>
      </c>
      <c r="I127" s="93"/>
      <c r="J127" s="87" t="n">
        <v>0</v>
      </c>
      <c r="K127" s="93"/>
      <c r="L127" s="87" t="n">
        <v>0</v>
      </c>
      <c r="M127" s="93"/>
      <c r="N127" s="93"/>
      <c r="O127" s="87" t="n">
        <v>0</v>
      </c>
      <c r="P127" s="93"/>
      <c r="Q127" s="87" t="n">
        <v>0</v>
      </c>
      <c r="R127" s="93"/>
      <c r="S127" s="87" t="n">
        <v>0</v>
      </c>
      <c r="T127" s="93"/>
      <c r="U127" s="87" t="n">
        <v>0</v>
      </c>
      <c r="V127" s="93"/>
      <c r="W127" s="87" t="n">
        <v>0</v>
      </c>
      <c r="X127" s="93"/>
      <c r="Z127" s="89" t="n">
        <f aca="false">'Revenue Allocation'!$AC125</f>
        <v>0</v>
      </c>
    </row>
    <row r="128" customFormat="false" ht="12.75" hidden="true" customHeight="false" outlineLevel="0" collapsed="false">
      <c r="A128" s="92" t="s">
        <v>352</v>
      </c>
      <c r="B128" s="79" t="s">
        <v>236</v>
      </c>
      <c r="C128" s="87" t="n">
        <f aca="false">'Revenue Allocation'!$AG126</f>
        <v>0.322072161266063</v>
      </c>
      <c r="D128" s="87" t="n">
        <v>0.33915439081453</v>
      </c>
      <c r="E128" s="88" t="n">
        <f aca="false">(D128-$C128)/$C128</f>
        <v>0.0530385162173511</v>
      </c>
      <c r="F128" s="87" t="n">
        <v>0.33915439081453</v>
      </c>
      <c r="G128" s="88" t="n">
        <f aca="false">(F128-$C128)/$C128</f>
        <v>0.0530385162173511</v>
      </c>
      <c r="H128" s="87" t="n">
        <v>0.33915439081453</v>
      </c>
      <c r="I128" s="88" t="n">
        <f aca="false">(H128-$C128)/$C128</f>
        <v>0.0530385162173511</v>
      </c>
      <c r="J128" s="87" t="n">
        <v>0.33915439081453</v>
      </c>
      <c r="K128" s="88" t="n">
        <f aca="false">(J128-$C128)/$C128</f>
        <v>0.0530385162173511</v>
      </c>
      <c r="L128" s="87" t="n">
        <v>0.33915439081453</v>
      </c>
      <c r="M128" s="88" t="n">
        <f aca="false">(L128-$C128)/$C128</f>
        <v>0.0530385162173511</v>
      </c>
      <c r="N128" s="88"/>
      <c r="O128" s="87" t="n">
        <v>0.33915439081453</v>
      </c>
      <c r="P128" s="88" t="n">
        <f aca="false">(O128-$C128)/$C128</f>
        <v>0.0530385162173511</v>
      </c>
      <c r="Q128" s="87" t="n">
        <v>0.33915439081453</v>
      </c>
      <c r="R128" s="88" t="n">
        <f aca="false">(Q128-$C128)/$C128</f>
        <v>0.0530385162173511</v>
      </c>
      <c r="S128" s="87" t="n">
        <v>0.33915439081453</v>
      </c>
      <c r="T128" s="88" t="n">
        <f aca="false">(S128-$C128)/$C128</f>
        <v>0.0530385162173511</v>
      </c>
      <c r="U128" s="87" t="n">
        <v>0.33915439081453</v>
      </c>
      <c r="V128" s="88" t="n">
        <f aca="false">(U128-$C128)/$C128</f>
        <v>0.0530385162173511</v>
      </c>
      <c r="W128" s="87" t="n">
        <v>0.33915439081453</v>
      </c>
      <c r="X128" s="88" t="n">
        <f aca="false">(W128-$C128)/$C128</f>
        <v>0.0530385162173511</v>
      </c>
      <c r="Z128" s="89" t="n">
        <f aca="false">'Revenue Allocation'!$AC126</f>
        <v>0.33915439081453</v>
      </c>
    </row>
    <row r="129" customFormat="false" ht="12.75" hidden="true" customHeight="false" outlineLevel="0" collapsed="false">
      <c r="A129" s="92"/>
      <c r="B129" s="79" t="s">
        <v>231</v>
      </c>
      <c r="C129" s="90" t="n">
        <f aca="false">'Revenue Allocation'!$AG127</f>
        <v>1.88101218720349</v>
      </c>
      <c r="D129" s="90" t="n">
        <v>1.93475208918013</v>
      </c>
      <c r="E129" s="91" t="n">
        <f aca="false">(D129-$C129)/$C129</f>
        <v>0.0285696724041609</v>
      </c>
      <c r="F129" s="90" t="n">
        <v>1.93475208918013</v>
      </c>
      <c r="G129" s="91" t="n">
        <f aca="false">(F129-$C129)/$C129</f>
        <v>0.0285696724041609</v>
      </c>
      <c r="H129" s="90" t="n">
        <v>1.93475208918013</v>
      </c>
      <c r="I129" s="91" t="n">
        <f aca="false">(H129-$C129)/$C129</f>
        <v>0.0285696724041609</v>
      </c>
      <c r="J129" s="90" t="n">
        <v>1.93475208918013</v>
      </c>
      <c r="K129" s="91" t="n">
        <f aca="false">(J129-$C129)/$C129</f>
        <v>0.0285696724041609</v>
      </c>
      <c r="L129" s="90" t="n">
        <v>1.93475208918013</v>
      </c>
      <c r="M129" s="91" t="n">
        <f aca="false">(L129-$C129)/$C129</f>
        <v>0.0285696724041609</v>
      </c>
      <c r="N129" s="91"/>
      <c r="O129" s="90" t="n">
        <v>1.93475208918013</v>
      </c>
      <c r="P129" s="91" t="n">
        <f aca="false">(O129-$C129)/$C129</f>
        <v>0.0285696724041609</v>
      </c>
      <c r="Q129" s="90" t="n">
        <v>1.93475208918013</v>
      </c>
      <c r="R129" s="91" t="n">
        <f aca="false">(Q129-$C129)/$C129</f>
        <v>0.0285696724041609</v>
      </c>
      <c r="S129" s="90" t="n">
        <v>1.93475208918013</v>
      </c>
      <c r="T129" s="91" t="n">
        <f aca="false">(S129-$C129)/$C129</f>
        <v>0.0285696724041609</v>
      </c>
      <c r="U129" s="90" t="n">
        <v>1.93475208918013</v>
      </c>
      <c r="V129" s="91" t="n">
        <f aca="false">(U129-$C129)/$C129</f>
        <v>0.0285696724041609</v>
      </c>
      <c r="W129" s="90" t="n">
        <v>1.93475208918013</v>
      </c>
      <c r="X129" s="91" t="n">
        <f aca="false">(W129-$C129)/$C129</f>
        <v>0.0285696724041609</v>
      </c>
      <c r="Z129" s="89" t="n">
        <f aca="false">'Revenue Allocation'!$AC127</f>
        <v>1.93475208918013</v>
      </c>
    </row>
    <row r="130" customFormat="false" ht="12.75" hidden="true" customHeight="false" outlineLevel="0" collapsed="false">
      <c r="A130" s="100" t="s">
        <v>353</v>
      </c>
      <c r="B130" s="84"/>
      <c r="C130" s="87" t="n">
        <f aca="false">'Revenue Allocation'!$AG128</f>
        <v>0.678383067076962</v>
      </c>
      <c r="D130" s="87" t="n">
        <v>0.703843446820814</v>
      </c>
      <c r="E130" s="88" t="n">
        <f aca="false">(D130-$C130)/$C130</f>
        <v>0.0375309776724777</v>
      </c>
      <c r="F130" s="87" t="n">
        <v>0.703843446820814</v>
      </c>
      <c r="G130" s="88" t="n">
        <f aca="false">(F130-$C130)/$C130</f>
        <v>0.0375309776724777</v>
      </c>
      <c r="H130" s="87" t="n">
        <v>0.703843446820814</v>
      </c>
      <c r="I130" s="88" t="n">
        <f aca="false">(H130-$C130)/$C130</f>
        <v>0.0375309776724777</v>
      </c>
      <c r="J130" s="87" t="n">
        <v>0.703843446820814</v>
      </c>
      <c r="K130" s="88" t="n">
        <f aca="false">(J130-$C130)/$C130</f>
        <v>0.0375309776724777</v>
      </c>
      <c r="L130" s="87" t="n">
        <v>0.703843446820814</v>
      </c>
      <c r="M130" s="88" t="n">
        <f aca="false">(L130-$C130)/$C130</f>
        <v>0.0375309776724777</v>
      </c>
      <c r="N130" s="88"/>
      <c r="O130" s="87" t="n">
        <v>0.703843446820814</v>
      </c>
      <c r="P130" s="88" t="n">
        <f aca="false">(O130-$C130)/$C130</f>
        <v>0.0375309776724777</v>
      </c>
      <c r="Q130" s="87" t="n">
        <v>0.703843446820814</v>
      </c>
      <c r="R130" s="88" t="n">
        <f aca="false">(Q130-$C130)/$C130</f>
        <v>0.0375309776724777</v>
      </c>
      <c r="S130" s="87" t="n">
        <v>0.703843446820814</v>
      </c>
      <c r="T130" s="88" t="n">
        <f aca="false">(S130-$C130)/$C130</f>
        <v>0.0375309776724777</v>
      </c>
      <c r="U130" s="87" t="n">
        <v>0.703843446820814</v>
      </c>
      <c r="V130" s="88" t="n">
        <f aca="false">(U130-$C130)/$C130</f>
        <v>0.0375309776724777</v>
      </c>
      <c r="W130" s="87" t="n">
        <v>0.703843446820814</v>
      </c>
      <c r="X130" s="88" t="n">
        <f aca="false">(W130-$C130)/$C130</f>
        <v>0.0375309776724777</v>
      </c>
      <c r="Z130" s="89" t="n">
        <f aca="false">'Revenue Allocation'!$AC128</f>
        <v>0.703843446820814</v>
      </c>
    </row>
    <row r="131" customFormat="false" ht="12.75" hidden="true" customHeight="false" outlineLevel="0" collapsed="false">
      <c r="A131" s="101"/>
      <c r="B131" s="102"/>
      <c r="C131" s="87" t="n">
        <f aca="false">'Revenue Allocation'!$AG129</f>
        <v>0</v>
      </c>
      <c r="D131" s="87" t="n">
        <v>0</v>
      </c>
      <c r="E131" s="93"/>
      <c r="F131" s="87" t="n">
        <v>0</v>
      </c>
      <c r="G131" s="93"/>
      <c r="H131" s="87" t="n">
        <v>0</v>
      </c>
      <c r="I131" s="93"/>
      <c r="J131" s="87" t="n">
        <v>0</v>
      </c>
      <c r="K131" s="93"/>
      <c r="L131" s="87" t="n">
        <v>0</v>
      </c>
      <c r="M131" s="93"/>
      <c r="N131" s="93"/>
      <c r="O131" s="87" t="n">
        <v>0</v>
      </c>
      <c r="P131" s="93"/>
      <c r="Q131" s="87" t="n">
        <v>0</v>
      </c>
      <c r="R131" s="93"/>
      <c r="S131" s="87" t="n">
        <v>0</v>
      </c>
      <c r="T131" s="93"/>
      <c r="U131" s="87" t="n">
        <v>0</v>
      </c>
      <c r="V131" s="93"/>
      <c r="W131" s="87" t="n">
        <v>0</v>
      </c>
      <c r="X131" s="93"/>
      <c r="Z131" s="89" t="n">
        <f aca="false">'Revenue Allocation'!$AC129</f>
        <v>0</v>
      </c>
    </row>
    <row r="132" customFormat="false" ht="12.75" hidden="true" customHeight="false" outlineLevel="0" collapsed="false">
      <c r="A132" s="103" t="s">
        <v>354</v>
      </c>
      <c r="B132" s="104"/>
      <c r="C132" s="87" t="n">
        <f aca="false">'Revenue Allocation'!$AG130</f>
        <v>10.388324417085</v>
      </c>
      <c r="D132" s="87" t="n">
        <v>13.3846523630351</v>
      </c>
      <c r="E132" s="88" t="n">
        <f aca="false">(D132-$C132)/$C132</f>
        <v>0.288432265459693</v>
      </c>
      <c r="F132" s="87" t="n">
        <v>13.3846523630351</v>
      </c>
      <c r="G132" s="88" t="n">
        <f aca="false">(F132-$C132)/$C132</f>
        <v>0.288432265459693</v>
      </c>
      <c r="H132" s="87" t="n">
        <v>13.3846523630351</v>
      </c>
      <c r="I132" s="88" t="n">
        <f aca="false">(H132-$C132)/$C132</f>
        <v>0.288432265459693</v>
      </c>
      <c r="J132" s="87" t="n">
        <v>13.3846523630351</v>
      </c>
      <c r="K132" s="88" t="n">
        <f aca="false">(J132-$C132)/$C132</f>
        <v>0.288432265459693</v>
      </c>
      <c r="L132" s="87" t="n">
        <v>13.3846523630351</v>
      </c>
      <c r="M132" s="88" t="n">
        <f aca="false">(L132-$C132)/$C132</f>
        <v>0.288432265459693</v>
      </c>
      <c r="N132" s="88"/>
      <c r="O132" s="87" t="n">
        <v>13.242509915296</v>
      </c>
      <c r="P132" s="88" t="n">
        <f aca="false">(O132-$C132)/$C132</f>
        <v>0.274749361265314</v>
      </c>
      <c r="Q132" s="87" t="n">
        <v>13.2416920080473</v>
      </c>
      <c r="R132" s="88" t="n">
        <f aca="false">(Q132-$C132)/$C132</f>
        <v>0.274670627947423</v>
      </c>
      <c r="S132" s="87" t="n">
        <v>13.2416920080473</v>
      </c>
      <c r="T132" s="88" t="n">
        <f aca="false">(S132-$C132)/$C132</f>
        <v>0.274670627947423</v>
      </c>
      <c r="U132" s="87" t="n">
        <v>13.2416920080473</v>
      </c>
      <c r="V132" s="88" t="n">
        <f aca="false">(U132-$C132)/$C132</f>
        <v>0.274670627947423</v>
      </c>
      <c r="W132" s="87" t="n">
        <v>13.2416920080473</v>
      </c>
      <c r="X132" s="88" t="n">
        <f aca="false">(W132-$C132)/$C132</f>
        <v>0.274670627947423</v>
      </c>
      <c r="Z132" s="89" t="n">
        <f aca="false">'Revenue Allocation'!$AC130</f>
        <v>14.1200744476644</v>
      </c>
    </row>
    <row r="133" customFormat="false" ht="12.75" hidden="false" customHeight="false" outlineLevel="0" collapsed="false">
      <c r="A133" s="103" t="s">
        <v>355</v>
      </c>
      <c r="B133" s="104"/>
      <c r="C133" s="87" t="n">
        <f aca="false">'Revenue Allocation'!$AG131</f>
        <v>10.3529728768576</v>
      </c>
      <c r="D133" s="87" t="n">
        <v>13.338484614914</v>
      </c>
      <c r="E133" s="88" t="n">
        <f aca="false">(D133-$C133)/$C133</f>
        <v>0.288372409893011</v>
      </c>
      <c r="F133" s="87" t="n">
        <v>13.338484614914</v>
      </c>
      <c r="G133" s="88" t="n">
        <f aca="false">(F133-$C133)/$C133</f>
        <v>0.288372409893011</v>
      </c>
      <c r="H133" s="87" t="n">
        <v>13.338484614914</v>
      </c>
      <c r="I133" s="88" t="n">
        <f aca="false">(H133-$C133)/$C133</f>
        <v>0.288372409893011</v>
      </c>
      <c r="J133" s="87" t="n">
        <v>13.338484614914</v>
      </c>
      <c r="K133" s="88" t="n">
        <f aca="false">(J133-$C133)/$C133</f>
        <v>0.288372409893011</v>
      </c>
      <c r="L133" s="87" t="n">
        <v>13.338484614914</v>
      </c>
      <c r="M133" s="88" t="n">
        <f aca="false">(L133-$C133)/$C133</f>
        <v>0.288372409893011</v>
      </c>
      <c r="N133" s="88"/>
      <c r="O133" s="87" t="n">
        <v>13.1968596733346</v>
      </c>
      <c r="P133" s="88" t="n">
        <f aca="false">(O133-$C133)/$C133</f>
        <v>0.274692769922548</v>
      </c>
      <c r="Q133" s="87" t="n">
        <v>13.1960447438877</v>
      </c>
      <c r="R133" s="88" t="n">
        <f aca="false">(Q133-$C133)/$C133</f>
        <v>0.274614055387452</v>
      </c>
      <c r="S133" s="87" t="n">
        <v>13.1960447438877</v>
      </c>
      <c r="T133" s="88" t="n">
        <f aca="false">(S133-$C133)/$C133</f>
        <v>0.274614055387452</v>
      </c>
      <c r="U133" s="87" t="n">
        <v>13.1960447438877</v>
      </c>
      <c r="V133" s="88" t="n">
        <f aca="false">(U133-$C133)/$C133</f>
        <v>0.274614055387452</v>
      </c>
      <c r="W133" s="87" t="n">
        <v>13.1960447438878</v>
      </c>
      <c r="X133" s="88" t="n">
        <f aca="false">(W133-$C133)/$C133</f>
        <v>0.274614055387452</v>
      </c>
      <c r="Z133" s="89" t="n">
        <f aca="false">'Revenue Allocation'!$AC131</f>
        <v>14.0712292061918</v>
      </c>
    </row>
    <row r="134" customFormat="false" ht="12.75" hidden="false" customHeight="false" outlineLevel="0" collapsed="false">
      <c r="A134" s="105"/>
      <c r="B134" s="106"/>
    </row>
    <row r="135" customFormat="false" ht="12.75" hidden="false" customHeight="false" outlineLevel="0" collapsed="false">
      <c r="A135" s="101"/>
      <c r="B135" s="106"/>
    </row>
    <row r="136" customFormat="false" ht="12.75" hidden="false" customHeight="false" outlineLevel="0" collapsed="false">
      <c r="A136" s="105"/>
      <c r="B136" s="106"/>
    </row>
    <row r="137" customFormat="false" ht="12.75" hidden="false" customHeight="false" outlineLevel="0" collapsed="false">
      <c r="A137" s="105"/>
      <c r="B137" s="106"/>
    </row>
    <row r="138" customFormat="false" ht="12.75" hidden="false" customHeight="false" outlineLevel="0" collapsed="false">
      <c r="A138" s="105"/>
      <c r="B138" s="106"/>
    </row>
    <row r="139" customFormat="false" ht="12.75" hidden="false" customHeight="false" outlineLevel="0" collapsed="false">
      <c r="A139" s="105"/>
      <c r="B139" s="106"/>
    </row>
    <row r="140" customFormat="false" ht="12.75" hidden="false" customHeight="false" outlineLevel="0" collapsed="false">
      <c r="A140" s="105"/>
      <c r="B140" s="106"/>
    </row>
    <row r="141" customFormat="false" ht="12.75" hidden="false" customHeight="false" outlineLevel="0" collapsed="false">
      <c r="A141" s="105"/>
      <c r="B141" s="106"/>
    </row>
    <row r="142" customFormat="false" ht="12.75" hidden="false" customHeight="false" outlineLevel="0" collapsed="false">
      <c r="A142" s="105"/>
      <c r="B142" s="106"/>
    </row>
    <row r="143" customFormat="false" ht="12.75" hidden="false" customHeight="false" outlineLevel="0" collapsed="false">
      <c r="A143" s="105"/>
      <c r="B143" s="106"/>
    </row>
    <row r="144" customFormat="false" ht="12.75" hidden="false" customHeight="false" outlineLevel="0" collapsed="false">
      <c r="A144" s="105"/>
      <c r="B144" s="106"/>
    </row>
    <row r="145" customFormat="false" ht="12.75" hidden="false" customHeight="false" outlineLevel="0" collapsed="false">
      <c r="A145" s="105"/>
      <c r="B145" s="106"/>
    </row>
    <row r="146" customFormat="false" ht="12.75" hidden="false" customHeight="false" outlineLevel="0" collapsed="false">
      <c r="A146" s="105"/>
      <c r="B146" s="106"/>
    </row>
    <row r="147" customFormat="false" ht="12.75" hidden="false" customHeight="false" outlineLevel="0" collapsed="false">
      <c r="A147" s="105"/>
      <c r="B147" s="106"/>
    </row>
    <row r="148" customFormat="false" ht="12.75" hidden="false" customHeight="false" outlineLevel="0" collapsed="false">
      <c r="A148" s="105"/>
      <c r="B148" s="106"/>
    </row>
    <row r="149" customFormat="false" ht="12.75" hidden="false" customHeight="false" outlineLevel="0" collapsed="false">
      <c r="A149" s="105"/>
      <c r="B149" s="106"/>
    </row>
    <row r="150" customFormat="false" ht="12.75" hidden="false" customHeight="false" outlineLevel="0" collapsed="false">
      <c r="A150" s="105"/>
      <c r="B150" s="106"/>
    </row>
    <row r="151" customFormat="false" ht="12.75" hidden="false" customHeight="false" outlineLevel="0" collapsed="false">
      <c r="A151" s="105"/>
      <c r="B151" s="106"/>
    </row>
    <row r="152" customFormat="false" ht="12.75" hidden="false" customHeight="false" outlineLevel="0" collapsed="false">
      <c r="A152" s="105"/>
      <c r="B152" s="106"/>
    </row>
    <row r="153" customFormat="false" ht="12.75" hidden="false" customHeight="false" outlineLevel="0" collapsed="false">
      <c r="A153" s="105"/>
      <c r="B153" s="106"/>
    </row>
    <row r="154" customFormat="false" ht="12.75" hidden="false" customHeight="false" outlineLevel="0" collapsed="false">
      <c r="A154" s="105"/>
      <c r="B154" s="106"/>
    </row>
    <row r="155" customFormat="false" ht="12.75" hidden="false" customHeight="false" outlineLevel="0" collapsed="false">
      <c r="A155" s="105"/>
      <c r="B155" s="106"/>
    </row>
  </sheetData>
  <mergeCells count="14">
    <mergeCell ref="C1:M1"/>
    <mergeCell ref="O1:V1"/>
    <mergeCell ref="F3:G3"/>
    <mergeCell ref="H3:I3"/>
    <mergeCell ref="Q3:R3"/>
    <mergeCell ref="S3:T3"/>
    <mergeCell ref="F4:G4"/>
    <mergeCell ref="H4:I4"/>
    <mergeCell ref="J4:K4"/>
    <mergeCell ref="L4:M4"/>
    <mergeCell ref="Q4:R4"/>
    <mergeCell ref="S4:T4"/>
    <mergeCell ref="U4:V4"/>
    <mergeCell ref="W4:X4"/>
  </mergeCells>
  <printOptions headings="false" gridLines="false" gridLinesSet="true" horizontalCentered="true" verticalCentered="false"/>
  <pageMargins left="0.747916666666667" right="0.747916666666667" top="1.07013888888889" bottom="0.984027777777778" header="0.220138888888889" footer="0.5"/>
  <pageSetup paperSize="1" scale="100" fitToWidth="0" fitToHeight="3" pageOrder="downThenOver" orientation="landscape" blackAndWhite="false" draft="false" cellComments="none" horizontalDpi="300" verticalDpi="300" copies="1"/>
  <headerFooter differentFirst="false" differentOddEven="false">
    <oddHeader>&amp;CPacific Gas and Electric Company
Summary of Total Average 
Rates
(cents per kWh)</oddHeader>
    <oddFooter>&amp;L&amp;D
&amp;T&amp;CPage &amp;P&amp;R&amp;F
&amp;A</oddFooter>
  </headerFooter>
  <colBreaks count="1" manualBreakCount="1">
    <brk id="14" man="true" max="65535" min="0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3" width="17.82"/>
    <col collapsed="false" customWidth="true" hidden="false" outlineLevel="0" max="2" min="2" style="63" width="2.65"/>
    <col collapsed="false" customWidth="true" hidden="false" outlineLevel="0" max="3" min="3" style="0" width="18.15"/>
    <col collapsed="false" customWidth="true" hidden="false" outlineLevel="0" max="4" min="4" style="0" width="19.32"/>
    <col collapsed="false" customWidth="true" hidden="false" outlineLevel="0" max="5" min="5" style="0" width="20.15"/>
    <col collapsed="false" customWidth="true" hidden="false" outlineLevel="0" max="6" min="6" style="0" width="18.65"/>
    <col collapsed="false" customWidth="true" hidden="false" outlineLevel="0" max="7" min="7" style="0" width="13.99"/>
    <col collapsed="false" customWidth="true" hidden="false" outlineLevel="0" max="8" min="8" style="0" width="1.82"/>
    <col collapsed="false" customWidth="true" hidden="false" outlineLevel="0" max="9" min="9" style="107" width="1.82"/>
    <col collapsed="false" customWidth="true" hidden="false" outlineLevel="0" max="10" min="10" style="0" width="12.49"/>
    <col collapsed="false" customWidth="true" hidden="false" outlineLevel="0" max="11" min="11" style="0" width="19.65"/>
    <col collapsed="false" customWidth="true" hidden="false" outlineLevel="0" max="12" min="12" style="0" width="19.99"/>
    <col collapsed="false" customWidth="true" hidden="false" outlineLevel="0" max="13" min="13" style="0" width="19.65"/>
    <col collapsed="false" customWidth="true" hidden="false" outlineLevel="0" max="14" min="14" style="0" width="13.99"/>
    <col collapsed="false" customWidth="true" hidden="false" outlineLevel="0" max="15" min="15" style="0" width="12.32"/>
    <col collapsed="false" customWidth="true" hidden="false" outlineLevel="0" max="17" min="17" style="76" width="9.32"/>
  </cols>
  <sheetData>
    <row r="1" customFormat="false" ht="12.75" hidden="false" customHeight="false" outlineLevel="0" collapsed="false">
      <c r="C1" s="14" t="s">
        <v>275</v>
      </c>
      <c r="D1" s="14"/>
      <c r="E1" s="14"/>
      <c r="F1" s="14"/>
      <c r="G1" s="14"/>
      <c r="H1" s="14"/>
      <c r="I1" s="14"/>
      <c r="J1" s="15"/>
      <c r="K1" s="14" t="s">
        <v>276</v>
      </c>
      <c r="L1" s="14"/>
      <c r="M1" s="14"/>
      <c r="N1" s="14"/>
      <c r="O1" s="15"/>
      <c r="Q1" s="0"/>
    </row>
    <row r="2" customFormat="false" ht="12.75" hidden="false" customHeight="false" outlineLevel="0" collapsed="false">
      <c r="D2" s="77"/>
      <c r="E2" s="77"/>
      <c r="F2" s="77"/>
      <c r="G2" s="77"/>
      <c r="H2" s="77"/>
      <c r="I2" s="108"/>
      <c r="J2" s="77"/>
      <c r="K2" s="77"/>
      <c r="L2" s="77"/>
      <c r="M2" s="77"/>
      <c r="N2" s="77"/>
      <c r="O2" s="77"/>
      <c r="Q2" s="0"/>
    </row>
    <row r="3" customFormat="false" ht="12.75" hidden="false" customHeight="false" outlineLevel="0" collapsed="false">
      <c r="D3" s="77"/>
      <c r="E3" s="109"/>
      <c r="F3" s="109"/>
      <c r="G3" s="77"/>
      <c r="H3" s="77"/>
      <c r="I3" s="108"/>
      <c r="K3" s="77"/>
      <c r="L3" s="109"/>
      <c r="M3" s="109"/>
      <c r="N3" s="77"/>
      <c r="O3" s="77"/>
      <c r="P3" s="80" t="str">
        <f aca="false">CHOOSE(allocation_method,"equal ¢","99 Loads","00 Loads","¢ by volt","100 Hrs","G equal ¢","G 99 Loads","G 00 Loads","G ¢ by volt","G 100 hrs")</f>
        <v>equal ¢</v>
      </c>
      <c r="Q3" s="0"/>
    </row>
    <row r="4" customFormat="false" ht="12.75" hidden="false" customHeight="false" outlineLevel="0" collapsed="false">
      <c r="A4" s="79"/>
      <c r="B4" s="79" t="s">
        <v>277</v>
      </c>
      <c r="C4" s="15" t="s">
        <v>356</v>
      </c>
      <c r="D4" s="15" t="s">
        <v>357</v>
      </c>
      <c r="E4" s="15" t="s">
        <v>358</v>
      </c>
      <c r="F4" s="15" t="s">
        <v>280</v>
      </c>
      <c r="G4" s="15" t="s">
        <v>281</v>
      </c>
      <c r="H4" s="15"/>
      <c r="I4" s="110"/>
      <c r="J4" s="15" t="s">
        <v>356</v>
      </c>
      <c r="K4" s="15" t="s">
        <v>357</v>
      </c>
      <c r="L4" s="15" t="s">
        <v>358</v>
      </c>
      <c r="M4" s="15" t="s">
        <v>280</v>
      </c>
      <c r="N4" s="15" t="s">
        <v>281</v>
      </c>
      <c r="O4" s="111"/>
      <c r="P4" s="112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</row>
    <row r="5" customFormat="false" ht="12.75" hidden="false" customHeight="false" outlineLevel="0" collapsed="false">
      <c r="A5" s="81"/>
      <c r="B5" s="79" t="s">
        <v>282</v>
      </c>
      <c r="C5" s="15" t="s">
        <v>284</v>
      </c>
      <c r="D5" s="15" t="s">
        <v>284</v>
      </c>
      <c r="E5" s="15" t="s">
        <v>284</v>
      </c>
      <c r="F5" s="15" t="s">
        <v>284</v>
      </c>
      <c r="G5" s="15" t="s">
        <v>284</v>
      </c>
      <c r="H5" s="15"/>
      <c r="I5" s="110"/>
      <c r="J5" s="15" t="s">
        <v>284</v>
      </c>
      <c r="K5" s="15" t="s">
        <v>284</v>
      </c>
      <c r="L5" s="15" t="s">
        <v>284</v>
      </c>
      <c r="M5" s="15" t="s">
        <v>284</v>
      </c>
      <c r="N5" s="15" t="s">
        <v>284</v>
      </c>
      <c r="P5" s="76" t="s">
        <v>286</v>
      </c>
      <c r="Q5" s="0"/>
    </row>
    <row r="6" customFormat="false" ht="12.75" hidden="false" customHeight="false" outlineLevel="0" collapsed="false">
      <c r="A6" s="82" t="s">
        <v>287</v>
      </c>
      <c r="B6" s="82" t="s">
        <v>288</v>
      </c>
      <c r="C6" s="83" t="s">
        <v>290</v>
      </c>
      <c r="D6" s="83" t="s">
        <v>290</v>
      </c>
      <c r="E6" s="83" t="s">
        <v>290</v>
      </c>
      <c r="F6" s="83" t="s">
        <v>290</v>
      </c>
      <c r="G6" s="83" t="s">
        <v>290</v>
      </c>
      <c r="H6" s="83"/>
      <c r="I6" s="113"/>
      <c r="J6" s="83" t="s">
        <v>290</v>
      </c>
      <c r="K6" s="83" t="s">
        <v>290</v>
      </c>
      <c r="L6" s="83" t="s">
        <v>290</v>
      </c>
      <c r="M6" s="83" t="s">
        <v>290</v>
      </c>
      <c r="N6" s="83" t="s">
        <v>290</v>
      </c>
      <c r="P6" s="76" t="s">
        <v>292</v>
      </c>
      <c r="Q6" s="0"/>
    </row>
    <row r="7" customFormat="false" ht="12.75" hidden="false" customHeight="false" outlineLevel="0" collapsed="false">
      <c r="A7" s="84"/>
      <c r="B7" s="82" t="s">
        <v>236</v>
      </c>
      <c r="P7" s="76"/>
      <c r="Q7" s="0"/>
    </row>
    <row r="8" customFormat="false" ht="12.75" hidden="false" customHeight="false" outlineLevel="0" collapsed="false">
      <c r="A8" s="84"/>
      <c r="B8" s="84"/>
      <c r="P8" s="76"/>
      <c r="Q8" s="0"/>
    </row>
    <row r="9" customFormat="false" ht="12.75" hidden="false" customHeight="false" outlineLevel="0" collapsed="false">
      <c r="A9" s="85" t="s">
        <v>293</v>
      </c>
      <c r="B9" s="79"/>
      <c r="P9" s="76"/>
      <c r="Q9" s="0"/>
    </row>
    <row r="10" customFormat="false" ht="12.75" hidden="false" customHeight="false" outlineLevel="0" collapsed="false">
      <c r="A10" s="86" t="s">
        <v>294</v>
      </c>
      <c r="B10" s="79" t="s">
        <v>231</v>
      </c>
      <c r="C10" s="87" t="n">
        <v>3.07647809555056</v>
      </c>
      <c r="D10" s="87" t="n">
        <v>3.15029896752637</v>
      </c>
      <c r="E10" s="87" t="n">
        <v>3.33419972362052</v>
      </c>
      <c r="F10" s="87" t="n">
        <v>3.10064456314937</v>
      </c>
      <c r="G10" s="87" t="n">
        <v>3.73444873724186</v>
      </c>
      <c r="H10" s="87"/>
      <c r="I10" s="114"/>
      <c r="J10" s="87" t="n">
        <v>2.59309134328649</v>
      </c>
      <c r="K10" s="87" t="n">
        <v>2.8303545903847</v>
      </c>
      <c r="L10" s="87" t="n">
        <v>3.42141900573065</v>
      </c>
      <c r="M10" s="87" t="n">
        <v>2.6707633406488</v>
      </c>
      <c r="N10" s="87" t="n">
        <v>4.70783540908562</v>
      </c>
      <c r="P10" s="89" t="n">
        <f aca="false">'Revenue Allocation'!$AB8</f>
        <v>3.82688239654187</v>
      </c>
      <c r="Q10" s="0"/>
    </row>
    <row r="11" customFormat="false" ht="12.75" hidden="false" customHeight="false" outlineLevel="0" collapsed="false">
      <c r="A11" s="86" t="s">
        <v>295</v>
      </c>
      <c r="B11" s="79" t="s">
        <v>231</v>
      </c>
      <c r="C11" s="87" t="n">
        <v>0</v>
      </c>
      <c r="D11" s="87" t="n">
        <v>0</v>
      </c>
      <c r="E11" s="87" t="n">
        <v>0</v>
      </c>
      <c r="F11" s="87" t="n">
        <v>0</v>
      </c>
      <c r="G11" s="87" t="n">
        <v>0</v>
      </c>
      <c r="H11" s="87"/>
      <c r="I11" s="114"/>
      <c r="J11" s="87" t="n">
        <v>0</v>
      </c>
      <c r="K11" s="87" t="n">
        <v>0</v>
      </c>
      <c r="L11" s="87" t="n">
        <v>0</v>
      </c>
      <c r="M11" s="87" t="n">
        <v>0</v>
      </c>
      <c r="N11" s="87" t="n">
        <v>0</v>
      </c>
      <c r="P11" s="89" t="n">
        <f aca="false">'Revenue Allocation'!$AB9</f>
        <v>0</v>
      </c>
      <c r="Q11" s="0"/>
    </row>
    <row r="12" customFormat="false" ht="12.75" hidden="false" customHeight="false" outlineLevel="0" collapsed="false">
      <c r="A12" s="86" t="s">
        <v>296</v>
      </c>
      <c r="B12" s="79" t="s">
        <v>231</v>
      </c>
      <c r="C12" s="87" t="n">
        <v>3.04135734488102</v>
      </c>
      <c r="D12" s="87" t="n">
        <v>3.05863947089477</v>
      </c>
      <c r="E12" s="87" t="n">
        <v>3.014660506659</v>
      </c>
      <c r="F12" s="87" t="n">
        <v>3.06524793062508</v>
      </c>
      <c r="G12" s="87" t="n">
        <v>2.8823607492184</v>
      </c>
      <c r="H12" s="87"/>
      <c r="I12" s="114"/>
      <c r="J12" s="87" t="n">
        <v>3.99834985064308</v>
      </c>
      <c r="K12" s="87" t="n">
        <v>3.99860352411073</v>
      </c>
      <c r="L12" s="87" t="n">
        <v>3.8572533669084</v>
      </c>
      <c r="M12" s="87" t="n">
        <v>4.0198433790727</v>
      </c>
      <c r="N12" s="87" t="n">
        <v>3.43203663347633</v>
      </c>
      <c r="P12" s="89" t="n">
        <f aca="false">'Revenue Allocation'!$AB10</f>
        <v>3.78319510922298</v>
      </c>
      <c r="Q12" s="0"/>
    </row>
    <row r="13" customFormat="false" ht="12.75" hidden="false" customHeight="false" outlineLevel="0" collapsed="false">
      <c r="A13" s="86" t="s">
        <v>297</v>
      </c>
      <c r="B13" s="79" t="s">
        <v>231</v>
      </c>
      <c r="C13" s="87" t="n">
        <v>3.07647809555056</v>
      </c>
      <c r="D13" s="87" t="n">
        <v>3.15029896752637</v>
      </c>
      <c r="E13" s="87" t="n">
        <v>3.33419972362052</v>
      </c>
      <c r="F13" s="87" t="n">
        <v>3.10064456314937</v>
      </c>
      <c r="G13" s="87" t="n">
        <v>3.73444873724186</v>
      </c>
      <c r="H13" s="87"/>
      <c r="I13" s="114"/>
      <c r="J13" s="87" t="n">
        <v>3.356620145885</v>
      </c>
      <c r="K13" s="87" t="n">
        <v>3.59388339298322</v>
      </c>
      <c r="L13" s="87" t="n">
        <v>4.18494780832917</v>
      </c>
      <c r="M13" s="87" t="n">
        <v>3.43429214324732</v>
      </c>
      <c r="N13" s="87" t="n">
        <v>5.47136421168414</v>
      </c>
      <c r="P13" s="89" t="n">
        <f aca="false">'Revenue Allocation'!$AB11</f>
        <v>3.82688239654187</v>
      </c>
      <c r="Q13" s="0"/>
    </row>
    <row r="14" customFormat="false" ht="12.75" hidden="false" customHeight="false" outlineLevel="0" collapsed="false">
      <c r="A14" s="86" t="s">
        <v>298</v>
      </c>
      <c r="B14" s="79" t="s">
        <v>231</v>
      </c>
      <c r="C14" s="90" t="n">
        <v>0</v>
      </c>
      <c r="D14" s="90" t="n">
        <v>0</v>
      </c>
      <c r="E14" s="90" t="n">
        <v>0</v>
      </c>
      <c r="F14" s="90" t="n">
        <v>0</v>
      </c>
      <c r="G14" s="90" t="n">
        <v>0</v>
      </c>
      <c r="H14" s="90"/>
      <c r="I14" s="115"/>
      <c r="J14" s="90" t="n">
        <v>0</v>
      </c>
      <c r="K14" s="90" t="n">
        <v>0</v>
      </c>
      <c r="L14" s="90" t="n">
        <v>0</v>
      </c>
      <c r="M14" s="90" t="n">
        <v>0</v>
      </c>
      <c r="N14" s="90" t="n">
        <v>0</v>
      </c>
      <c r="P14" s="89" t="n">
        <f aca="false">'Revenue Allocation'!$AB12</f>
        <v>0</v>
      </c>
      <c r="Q14" s="0"/>
    </row>
    <row r="15" customFormat="false" ht="12.75" hidden="false" customHeight="false" outlineLevel="0" collapsed="false">
      <c r="A15" s="85" t="s">
        <v>299</v>
      </c>
      <c r="B15" s="79"/>
      <c r="C15" s="87" t="n">
        <v>2.8596614722556</v>
      </c>
      <c r="D15" s="87" t="n">
        <v>2.92593811564862</v>
      </c>
      <c r="E15" s="87" t="n">
        <v>3.08738574781337</v>
      </c>
      <c r="F15" s="87" t="n">
        <v>2.88212479367914</v>
      </c>
      <c r="G15" s="87" t="n">
        <v>3.43722883346087</v>
      </c>
      <c r="H15" s="87"/>
      <c r="I15" s="114"/>
      <c r="J15" s="87" t="n">
        <v>2.53017056783599</v>
      </c>
      <c r="K15" s="87" t="n">
        <v>2.74086169830392</v>
      </c>
      <c r="L15" s="87" t="n">
        <v>3.25976087164714</v>
      </c>
      <c r="M15" s="87" t="n">
        <v>2.60004392199748</v>
      </c>
      <c r="N15" s="87" t="n">
        <v>4.38417059824558</v>
      </c>
      <c r="P15" s="89" t="n">
        <f aca="false">'Revenue Allocation'!$AB13</f>
        <v>3.55718058388631</v>
      </c>
      <c r="Q15" s="0"/>
    </row>
    <row r="16" customFormat="false" ht="12.75" hidden="false" customHeight="false" outlineLevel="0" collapsed="false">
      <c r="A16" s="92"/>
      <c r="B16" s="79"/>
      <c r="C16" s="87" t="n">
        <v>0</v>
      </c>
      <c r="D16" s="87" t="n">
        <v>0</v>
      </c>
      <c r="E16" s="87" t="n">
        <v>0</v>
      </c>
      <c r="F16" s="87" t="n">
        <v>0</v>
      </c>
      <c r="G16" s="87" t="n">
        <v>0</v>
      </c>
      <c r="H16" s="87"/>
      <c r="I16" s="116"/>
      <c r="J16" s="87" t="n">
        <v>0</v>
      </c>
      <c r="K16" s="87" t="n">
        <v>0</v>
      </c>
      <c r="L16" s="87" t="n">
        <v>0</v>
      </c>
      <c r="M16" s="87" t="n">
        <v>0</v>
      </c>
      <c r="N16" s="87" t="n">
        <v>0</v>
      </c>
      <c r="P16" s="89" t="n">
        <f aca="false">'Revenue Allocation'!$AB14</f>
        <v>0</v>
      </c>
      <c r="Q16" s="0"/>
    </row>
    <row r="17" customFormat="false" ht="12.75" hidden="false" customHeight="false" outlineLevel="0" collapsed="false">
      <c r="A17" s="85" t="s">
        <v>300</v>
      </c>
      <c r="B17" s="79"/>
      <c r="C17" s="87" t="n">
        <v>0</v>
      </c>
      <c r="D17" s="87" t="n">
        <v>0</v>
      </c>
      <c r="E17" s="87" t="n">
        <v>0</v>
      </c>
      <c r="F17" s="87" t="n">
        <v>0</v>
      </c>
      <c r="G17" s="87" t="n">
        <v>0</v>
      </c>
      <c r="H17" s="87"/>
      <c r="I17" s="116"/>
      <c r="J17" s="87" t="n">
        <v>0</v>
      </c>
      <c r="K17" s="87" t="n">
        <v>0</v>
      </c>
      <c r="L17" s="87" t="n">
        <v>0</v>
      </c>
      <c r="M17" s="87" t="n">
        <v>0</v>
      </c>
      <c r="N17" s="87" t="n">
        <v>0</v>
      </c>
      <c r="P17" s="89" t="n">
        <f aca="false">'Revenue Allocation'!$AB15</f>
        <v>0</v>
      </c>
      <c r="Q17" s="0"/>
    </row>
    <row r="18" customFormat="false" ht="12.75" hidden="false" customHeight="false" outlineLevel="0" collapsed="false">
      <c r="A18" s="94" t="s">
        <v>301</v>
      </c>
      <c r="B18" s="82" t="s">
        <v>231</v>
      </c>
      <c r="C18" s="87" t="n">
        <v>3.07408796182949</v>
      </c>
      <c r="D18" s="87" t="n">
        <v>3.25809665306672</v>
      </c>
      <c r="E18" s="87" t="n">
        <v>2.66529719714259</v>
      </c>
      <c r="F18" s="87" t="n">
        <v>3.09823565435912</v>
      </c>
      <c r="G18" s="87" t="n">
        <v>3.67749532160553</v>
      </c>
      <c r="H18" s="87"/>
      <c r="I18" s="114"/>
      <c r="J18" s="87" t="n">
        <v>2.53997232318173</v>
      </c>
      <c r="K18" s="87" t="n">
        <v>3.1313836464121</v>
      </c>
      <c r="L18" s="87" t="n">
        <v>1.22610238887436</v>
      </c>
      <c r="M18" s="87" t="n">
        <v>2.61758397671766</v>
      </c>
      <c r="N18" s="87" t="n">
        <v>4.47934780970166</v>
      </c>
      <c r="P18" s="89" t="n">
        <f aca="false">'Revenue Allocation'!$AB16</f>
        <v>3.82390926935604</v>
      </c>
      <c r="Q18" s="0"/>
    </row>
    <row r="19" customFormat="false" ht="12.75" hidden="false" customHeight="false" outlineLevel="0" collapsed="false">
      <c r="A19" s="94" t="s">
        <v>302</v>
      </c>
      <c r="B19" s="82" t="s">
        <v>231</v>
      </c>
      <c r="C19" s="87" t="n">
        <v>3.07559065259047</v>
      </c>
      <c r="D19" s="87" t="n">
        <v>3.10714803630045</v>
      </c>
      <c r="E19" s="87" t="n">
        <v>0.829291264732124</v>
      </c>
      <c r="F19" s="87" t="n">
        <v>3.09975014911363</v>
      </c>
      <c r="G19" s="87" t="n">
        <v>2.71728972758906</v>
      </c>
      <c r="H19" s="87"/>
      <c r="I19" s="114"/>
      <c r="J19" s="87" t="n">
        <v>3.25631512273852</v>
      </c>
      <c r="K19" s="87" t="n">
        <v>3.35774182129347</v>
      </c>
      <c r="L19" s="87" t="n">
        <v>-3.96338131883977</v>
      </c>
      <c r="M19" s="87" t="n">
        <v>3.33396471478374</v>
      </c>
      <c r="N19" s="87" t="n">
        <v>2.10472156079878</v>
      </c>
      <c r="P19" s="89" t="n">
        <f aca="false">'Revenue Allocation'!$AB17</f>
        <v>3.82577849144766</v>
      </c>
      <c r="Q19" s="0"/>
    </row>
    <row r="20" customFormat="false" ht="12.75" hidden="false" customHeight="false" outlineLevel="0" collapsed="false">
      <c r="A20" s="94" t="s">
        <v>303</v>
      </c>
      <c r="B20" s="82" t="s">
        <v>231</v>
      </c>
      <c r="C20" s="87" t="n">
        <v>3.07647809555056</v>
      </c>
      <c r="D20" s="87" t="n">
        <v>3.26062985536075</v>
      </c>
      <c r="E20" s="87" t="n">
        <v>3.34899646795611</v>
      </c>
      <c r="F20" s="87" t="n">
        <v>3.10064456314937</v>
      </c>
      <c r="G20" s="87" t="n">
        <v>3.68035461050238</v>
      </c>
      <c r="H20" s="87"/>
      <c r="I20" s="114"/>
      <c r="J20" s="87" t="n">
        <v>4.62452106636269</v>
      </c>
      <c r="K20" s="87" t="n">
        <v>5.21639221773208</v>
      </c>
      <c r="L20" s="87" t="n">
        <v>5.50040605932302</v>
      </c>
      <c r="M20" s="87" t="n">
        <v>4.70219306372501</v>
      </c>
      <c r="N20" s="87" t="n">
        <v>6.56540443645839</v>
      </c>
      <c r="P20" s="89" t="n">
        <f aca="false">'Revenue Allocation'!$AB18</f>
        <v>3.82688239654187</v>
      </c>
      <c r="Q20" s="0"/>
    </row>
    <row r="21" customFormat="false" ht="12.75" hidden="false" customHeight="false" outlineLevel="0" collapsed="false">
      <c r="A21" s="94" t="s">
        <v>304</v>
      </c>
      <c r="B21" s="82" t="s">
        <v>231</v>
      </c>
      <c r="C21" s="90" t="n">
        <v>3.07647809555056</v>
      </c>
      <c r="D21" s="90" t="n">
        <v>2.94919940601264</v>
      </c>
      <c r="E21" s="90" t="n">
        <v>2.74937601892799</v>
      </c>
      <c r="F21" s="90" t="n">
        <v>3.10064456314937</v>
      </c>
      <c r="G21" s="90" t="n">
        <v>1.71496192103106</v>
      </c>
      <c r="H21" s="90"/>
      <c r="I21" s="115"/>
      <c r="J21" s="90" t="n">
        <v>3.84245971469559</v>
      </c>
      <c r="K21" s="90" t="n">
        <v>3.43338089514352</v>
      </c>
      <c r="L21" s="90" t="n">
        <v>2.79114050435811</v>
      </c>
      <c r="M21" s="90" t="n">
        <v>3.9201317120579</v>
      </c>
      <c r="N21" s="90" t="n">
        <v>-0.533507947255988</v>
      </c>
      <c r="P21" s="89" t="n">
        <f aca="false">'Revenue Allocation'!$AB19</f>
        <v>3.82688239654187</v>
      </c>
      <c r="Q21" s="0"/>
    </row>
    <row r="22" customFormat="false" ht="12.75" hidden="false" customHeight="false" outlineLevel="0" collapsed="false">
      <c r="A22" s="85" t="s">
        <v>305</v>
      </c>
      <c r="B22" s="79"/>
      <c r="C22" s="87" t="n">
        <v>3.07449900663284</v>
      </c>
      <c r="D22" s="87" t="n">
        <v>3.21619314032758</v>
      </c>
      <c r="E22" s="87" t="n">
        <v>2.2139226432329</v>
      </c>
      <c r="F22" s="87" t="n">
        <v>3.09864992801721</v>
      </c>
      <c r="G22" s="87" t="n">
        <v>3.41095410906679</v>
      </c>
      <c r="H22" s="87"/>
      <c r="I22" s="114"/>
      <c r="J22" s="87" t="n">
        <v>2.73672146344224</v>
      </c>
      <c r="K22" s="87" t="n">
        <v>3.1921320994233</v>
      </c>
      <c r="L22" s="87" t="n">
        <v>-0.0292055283594149</v>
      </c>
      <c r="M22" s="87" t="n">
        <v>2.81434349464701</v>
      </c>
      <c r="N22" s="87" t="n">
        <v>3.81810167434512</v>
      </c>
      <c r="P22" s="89" t="n">
        <f aca="false">'Revenue Allocation'!$AB20</f>
        <v>3.82441579627907</v>
      </c>
      <c r="Q22" s="0"/>
    </row>
    <row r="23" customFormat="false" ht="12.75" hidden="false" customHeight="false" outlineLevel="0" collapsed="false">
      <c r="A23" s="92"/>
      <c r="B23" s="79"/>
      <c r="C23" s="87" t="n">
        <v>0</v>
      </c>
      <c r="D23" s="87" t="n">
        <v>0</v>
      </c>
      <c r="E23" s="87" t="n">
        <v>0</v>
      </c>
      <c r="F23" s="87" t="n">
        <v>0</v>
      </c>
      <c r="G23" s="87" t="n">
        <v>0</v>
      </c>
      <c r="H23" s="87"/>
      <c r="I23" s="114"/>
      <c r="J23" s="87" t="n">
        <v>0</v>
      </c>
      <c r="K23" s="87" t="n">
        <v>0</v>
      </c>
      <c r="L23" s="87" t="n">
        <v>0</v>
      </c>
      <c r="M23" s="87" t="n">
        <v>0</v>
      </c>
      <c r="N23" s="87" t="n">
        <v>0</v>
      </c>
      <c r="P23" s="89" t="n">
        <f aca="false">'Revenue Allocation'!$AB21</f>
        <v>0</v>
      </c>
      <c r="Q23" s="0"/>
    </row>
    <row r="24" customFormat="false" ht="12.75" hidden="false" customHeight="false" outlineLevel="0" collapsed="false">
      <c r="A24" s="85" t="s">
        <v>306</v>
      </c>
      <c r="B24" s="79"/>
      <c r="C24" s="87" t="n">
        <v>0</v>
      </c>
      <c r="D24" s="87" t="n">
        <v>0</v>
      </c>
      <c r="E24" s="87" t="n">
        <v>0</v>
      </c>
      <c r="F24" s="87" t="n">
        <v>0</v>
      </c>
      <c r="G24" s="87" t="n">
        <v>0</v>
      </c>
      <c r="H24" s="87"/>
      <c r="I24" s="116"/>
      <c r="J24" s="87" t="n">
        <v>0</v>
      </c>
      <c r="K24" s="87" t="n">
        <v>0</v>
      </c>
      <c r="L24" s="87" t="n">
        <v>0</v>
      </c>
      <c r="M24" s="87" t="n">
        <v>0</v>
      </c>
      <c r="N24" s="87" t="n">
        <v>0</v>
      </c>
      <c r="P24" s="89" t="n">
        <f aca="false">'Revenue Allocation'!$AB22</f>
        <v>0</v>
      </c>
      <c r="Q24" s="0"/>
    </row>
    <row r="25" customFormat="false" ht="12.75" hidden="false" customHeight="false" outlineLevel="0" collapsed="false">
      <c r="A25" s="94" t="s">
        <v>307</v>
      </c>
      <c r="B25" s="82" t="s">
        <v>234</v>
      </c>
      <c r="C25" s="87" t="n">
        <v>3.07715709254839</v>
      </c>
      <c r="D25" s="87" t="n">
        <v>2.95924224704026</v>
      </c>
      <c r="E25" s="87" t="n">
        <v>3.13441092528786</v>
      </c>
      <c r="F25" s="87" t="n">
        <v>3.02986970272813</v>
      </c>
      <c r="G25" s="87" t="n">
        <v>3.17223632291149</v>
      </c>
      <c r="H25" s="87"/>
      <c r="I25" s="114"/>
      <c r="J25" s="87" t="n">
        <v>2.46357507887935</v>
      </c>
      <c r="K25" s="87" t="n">
        <v>2.08459203008108</v>
      </c>
      <c r="L25" s="87" t="n">
        <v>2.64759119655723</v>
      </c>
      <c r="M25" s="87" t="n">
        <v>2.31159150898563</v>
      </c>
      <c r="N25" s="87" t="n">
        <v>2.76916354354745</v>
      </c>
      <c r="P25" s="89" t="n">
        <f aca="false">'Revenue Allocation'!$AB23</f>
        <v>3.82688239654187</v>
      </c>
      <c r="Q25" s="0"/>
    </row>
    <row r="26" customFormat="false" ht="12.75" hidden="false" customHeight="false" outlineLevel="0" collapsed="false">
      <c r="A26" s="92" t="s">
        <v>307</v>
      </c>
      <c r="B26" s="82" t="s">
        <v>231</v>
      </c>
      <c r="C26" s="90" t="n">
        <v>3.07647809555056</v>
      </c>
      <c r="D26" s="90" t="n">
        <v>3.1088270735177</v>
      </c>
      <c r="E26" s="90" t="n">
        <v>3.29791246965466</v>
      </c>
      <c r="F26" s="90" t="n">
        <v>3.10064456314937</v>
      </c>
      <c r="G26" s="90" t="n">
        <v>3.1715363459929</v>
      </c>
      <c r="H26" s="90"/>
      <c r="I26" s="115"/>
      <c r="J26" s="90" t="n">
        <v>2.38558873013578</v>
      </c>
      <c r="K26" s="90" t="n">
        <v>2.48955964442285</v>
      </c>
      <c r="L26" s="90" t="n">
        <v>3.09728770107602</v>
      </c>
      <c r="M26" s="90" t="n">
        <v>2.46326072749809</v>
      </c>
      <c r="N26" s="90" t="n">
        <v>2.69110976449602</v>
      </c>
      <c r="P26" s="89" t="n">
        <f aca="false">'Revenue Allocation'!$AB24</f>
        <v>3.82688239654187</v>
      </c>
      <c r="Q26" s="0"/>
    </row>
    <row r="27" customFormat="false" ht="12.75" hidden="false" customHeight="false" outlineLevel="0" collapsed="false">
      <c r="A27" s="95" t="s">
        <v>308</v>
      </c>
      <c r="B27" s="84"/>
      <c r="C27" s="87" t="n">
        <v>3.07648284669247</v>
      </c>
      <c r="D27" s="87" t="n">
        <v>3.1077802792933</v>
      </c>
      <c r="E27" s="87" t="n">
        <v>3.29676828629033</v>
      </c>
      <c r="F27" s="87" t="n">
        <v>3.10014928060959</v>
      </c>
      <c r="G27" s="87" t="n">
        <v>3.1715412439375</v>
      </c>
      <c r="H27" s="87"/>
      <c r="I27" s="114"/>
      <c r="J27" s="87" t="n">
        <v>2.38613447778155</v>
      </c>
      <c r="K27" s="87" t="n">
        <v>2.48672568303234</v>
      </c>
      <c r="L27" s="87" t="n">
        <v>3.09414072707877</v>
      </c>
      <c r="M27" s="87" t="n">
        <v>2.46219934681007</v>
      </c>
      <c r="N27" s="87" t="n">
        <v>2.69165598397151</v>
      </c>
      <c r="P27" s="89" t="n">
        <f aca="false">'Revenue Allocation'!$AB25</f>
        <v>3.82688239654187</v>
      </c>
      <c r="Q27" s="0"/>
    </row>
    <row r="28" customFormat="false" ht="12.75" hidden="false" customHeight="false" outlineLevel="0" collapsed="false">
      <c r="A28" s="92"/>
      <c r="B28" s="79"/>
      <c r="C28" s="87" t="n">
        <v>0</v>
      </c>
      <c r="D28" s="87" t="n">
        <v>0</v>
      </c>
      <c r="E28" s="87" t="n">
        <v>0</v>
      </c>
      <c r="F28" s="87" t="n">
        <v>0</v>
      </c>
      <c r="G28" s="87" t="n">
        <v>0</v>
      </c>
      <c r="H28" s="87"/>
      <c r="I28" s="116"/>
      <c r="J28" s="87" t="n">
        <v>0</v>
      </c>
      <c r="K28" s="87" t="n">
        <v>0</v>
      </c>
      <c r="L28" s="87" t="n">
        <v>0</v>
      </c>
      <c r="M28" s="87" t="n">
        <v>0</v>
      </c>
      <c r="N28" s="87" t="n">
        <v>0</v>
      </c>
      <c r="P28" s="89" t="n">
        <f aca="false">'Revenue Allocation'!$AB26</f>
        <v>0</v>
      </c>
      <c r="Q28" s="0"/>
    </row>
    <row r="29" customFormat="false" ht="12.75" hidden="false" customHeight="false" outlineLevel="0" collapsed="false">
      <c r="A29" s="96" t="s">
        <v>309</v>
      </c>
      <c r="B29" s="79"/>
      <c r="C29" s="87" t="n">
        <v>0</v>
      </c>
      <c r="D29" s="87" t="n">
        <v>0</v>
      </c>
      <c r="E29" s="87" t="n">
        <v>0</v>
      </c>
      <c r="F29" s="87" t="n">
        <v>0</v>
      </c>
      <c r="G29" s="87" t="n">
        <v>0</v>
      </c>
      <c r="H29" s="87"/>
      <c r="I29" s="116"/>
      <c r="J29" s="87" t="n">
        <v>0</v>
      </c>
      <c r="K29" s="87" t="n">
        <v>0</v>
      </c>
      <c r="L29" s="87" t="n">
        <v>0</v>
      </c>
      <c r="M29" s="87" t="n">
        <v>0</v>
      </c>
      <c r="N29" s="87" t="n">
        <v>0</v>
      </c>
      <c r="P29" s="89" t="n">
        <f aca="false">'Revenue Allocation'!$AB27</f>
        <v>0</v>
      </c>
      <c r="Q29" s="0"/>
    </row>
    <row r="30" customFormat="false" ht="12.75" hidden="false" customHeight="false" outlineLevel="0" collapsed="false">
      <c r="A30" s="94" t="s">
        <v>310</v>
      </c>
      <c r="B30" s="82" t="s">
        <v>236</v>
      </c>
      <c r="C30" s="87" t="n">
        <v>3.07647809555056</v>
      </c>
      <c r="D30" s="87" t="n">
        <v>2.8639081522967</v>
      </c>
      <c r="E30" s="87" t="n">
        <v>2.83111041621032</v>
      </c>
      <c r="F30" s="87" t="n">
        <v>2.91489166305287</v>
      </c>
      <c r="G30" s="87" t="n">
        <v>2.35053676814653</v>
      </c>
      <c r="H30" s="87"/>
      <c r="I30" s="114"/>
      <c r="J30" s="87" t="n">
        <v>2.11550947298966</v>
      </c>
      <c r="K30" s="87" t="n">
        <v>1.43230113878825</v>
      </c>
      <c r="L30" s="87" t="n">
        <v>1.32688789788432</v>
      </c>
      <c r="M30" s="87" t="n">
        <v>1.5961641898023</v>
      </c>
      <c r="N30" s="87" t="n">
        <v>-0.217695106320845</v>
      </c>
      <c r="P30" s="89" t="n">
        <f aca="false">'Revenue Allocation'!$AB28</f>
        <v>3.82688239654187</v>
      </c>
      <c r="Q30" s="0"/>
    </row>
    <row r="31" customFormat="false" ht="12.75" hidden="false" customHeight="false" outlineLevel="0" collapsed="false">
      <c r="A31" s="94" t="s">
        <v>311</v>
      </c>
      <c r="B31" s="82" t="s">
        <v>236</v>
      </c>
      <c r="C31" s="87" t="n">
        <v>3.07647809555056</v>
      </c>
      <c r="D31" s="87" t="n">
        <v>2.81539386119222</v>
      </c>
      <c r="E31" s="87" t="n">
        <v>2.8275873818447</v>
      </c>
      <c r="F31" s="87" t="n">
        <v>2.91489166305287</v>
      </c>
      <c r="G31" s="87" t="n">
        <v>2.42750279919342</v>
      </c>
      <c r="H31" s="87"/>
      <c r="I31" s="114"/>
      <c r="J31" s="87" t="n">
        <v>2.24630257692957</v>
      </c>
      <c r="K31" s="87" t="n">
        <v>1.40716736283588</v>
      </c>
      <c r="L31" s="87" t="n">
        <v>1.44635782789181</v>
      </c>
      <c r="M31" s="87" t="n">
        <v>1.72695729374221</v>
      </c>
      <c r="N31" s="87" t="n">
        <v>0.160469912277986</v>
      </c>
      <c r="P31" s="89" t="n">
        <f aca="false">'Revenue Allocation'!$AB29</f>
        <v>3.82688239654187</v>
      </c>
      <c r="Q31" s="0"/>
    </row>
    <row r="32" customFormat="false" ht="12.75" hidden="false" customHeight="false" outlineLevel="0" collapsed="false">
      <c r="A32" s="94" t="s">
        <v>312</v>
      </c>
      <c r="B32" s="82" t="s">
        <v>236</v>
      </c>
      <c r="C32" s="87" t="n">
        <v>0</v>
      </c>
      <c r="D32" s="87" t="n">
        <v>0</v>
      </c>
      <c r="E32" s="87" t="n">
        <v>0</v>
      </c>
      <c r="F32" s="87" t="n">
        <v>0</v>
      </c>
      <c r="G32" s="87" t="n">
        <v>0</v>
      </c>
      <c r="H32" s="87"/>
      <c r="I32" s="116"/>
      <c r="J32" s="87" t="n">
        <v>0</v>
      </c>
      <c r="K32" s="87" t="n">
        <v>0</v>
      </c>
      <c r="L32" s="87" t="n">
        <v>0</v>
      </c>
      <c r="M32" s="87" t="n">
        <v>0</v>
      </c>
      <c r="N32" s="87" t="n">
        <v>0</v>
      </c>
      <c r="P32" s="89" t="n">
        <f aca="false">'Revenue Allocation'!$AB30</f>
        <v>0</v>
      </c>
      <c r="Q32" s="0"/>
    </row>
    <row r="33" customFormat="false" ht="12.75" hidden="false" customHeight="false" outlineLevel="0" collapsed="false">
      <c r="A33" s="97" t="s">
        <v>313</v>
      </c>
      <c r="B33" s="98" t="s">
        <v>236</v>
      </c>
      <c r="C33" s="87" t="n">
        <v>3.07676171327591</v>
      </c>
      <c r="D33" s="87" t="n">
        <v>2.85460874778417</v>
      </c>
      <c r="E33" s="87" t="n">
        <v>2.830676932224</v>
      </c>
      <c r="F33" s="87" t="n">
        <v>2.91516038427156</v>
      </c>
      <c r="G33" s="87" t="n">
        <v>2.36592546380483</v>
      </c>
      <c r="H33" s="87"/>
      <c r="I33" s="114"/>
      <c r="J33" s="87" t="n">
        <v>2.14148721444703</v>
      </c>
      <c r="K33" s="87" t="n">
        <v>1.42747866192903</v>
      </c>
      <c r="L33" s="87" t="n">
        <v>1.35056084564231</v>
      </c>
      <c r="M33" s="87" t="n">
        <v>1.62209405328904</v>
      </c>
      <c r="N33" s="87" t="n">
        <v>-0.143169037783063</v>
      </c>
      <c r="P33" s="89" t="n">
        <f aca="false">'Revenue Allocation'!$AB31</f>
        <v>3.82688239654187</v>
      </c>
      <c r="Q33" s="0"/>
    </row>
    <row r="34" customFormat="false" ht="12.75" hidden="false" customHeight="false" outlineLevel="0" collapsed="false">
      <c r="A34" s="92"/>
      <c r="B34" s="79"/>
      <c r="C34" s="87" t="n">
        <v>0</v>
      </c>
      <c r="D34" s="87" t="n">
        <v>0</v>
      </c>
      <c r="E34" s="87" t="n">
        <v>0</v>
      </c>
      <c r="F34" s="87" t="n">
        <v>0</v>
      </c>
      <c r="G34" s="87" t="n">
        <v>0</v>
      </c>
      <c r="H34" s="87"/>
      <c r="I34" s="116"/>
      <c r="J34" s="87" t="n">
        <v>0</v>
      </c>
      <c r="K34" s="87" t="n">
        <v>0</v>
      </c>
      <c r="L34" s="87" t="n">
        <v>0</v>
      </c>
      <c r="M34" s="87" t="n">
        <v>0</v>
      </c>
      <c r="N34" s="87" t="n">
        <v>0</v>
      </c>
      <c r="P34" s="89" t="n">
        <f aca="false">'Revenue Allocation'!$AB32</f>
        <v>0</v>
      </c>
      <c r="Q34" s="0"/>
    </row>
    <row r="35" customFormat="false" ht="12.75" hidden="false" customHeight="false" outlineLevel="0" collapsed="false">
      <c r="A35" s="94" t="s">
        <v>310</v>
      </c>
      <c r="B35" s="82" t="s">
        <v>234</v>
      </c>
      <c r="C35" s="87" t="n">
        <v>3.07647809555051</v>
      </c>
      <c r="D35" s="87" t="n">
        <v>2.92337728332795</v>
      </c>
      <c r="E35" s="87" t="n">
        <v>2.89311582104514</v>
      </c>
      <c r="F35" s="87" t="n">
        <v>3.02920114003528</v>
      </c>
      <c r="G35" s="87" t="n">
        <v>2.35053676814649</v>
      </c>
      <c r="H35" s="87"/>
      <c r="I35" s="114"/>
      <c r="J35" s="87" t="n">
        <v>3.24240228632412</v>
      </c>
      <c r="K35" s="87" t="n">
        <v>2.75033012747455</v>
      </c>
      <c r="L35" s="87" t="n">
        <v>2.65306857242937</v>
      </c>
      <c r="M35" s="87" t="n">
        <v>3.09045225270579</v>
      </c>
      <c r="N35" s="87" t="n">
        <v>0.909197707013643</v>
      </c>
      <c r="P35" s="89" t="n">
        <f aca="false">'Revenue Allocation'!$AB33</f>
        <v>3.82688239654181</v>
      </c>
      <c r="Q35" s="0"/>
    </row>
    <row r="36" customFormat="false" ht="12.75" hidden="false" customHeight="false" outlineLevel="0" collapsed="false">
      <c r="A36" s="94" t="s">
        <v>311</v>
      </c>
      <c r="B36" s="82" t="s">
        <v>234</v>
      </c>
      <c r="C36" s="87" t="n">
        <v>3.07647809557868</v>
      </c>
      <c r="D36" s="87" t="n">
        <v>2.87329801511739</v>
      </c>
      <c r="E36" s="87" t="n">
        <v>2.88924048326943</v>
      </c>
      <c r="F36" s="87" t="n">
        <v>3.02920114006303</v>
      </c>
      <c r="G36" s="87" t="n">
        <v>2.42750279921562</v>
      </c>
      <c r="H36" s="87"/>
      <c r="I36" s="114"/>
      <c r="J36" s="87" t="n">
        <v>3.27569372926479</v>
      </c>
      <c r="K36" s="87" t="n">
        <v>2.62266479116559</v>
      </c>
      <c r="L36" s="87" t="n">
        <v>2.67390452403886</v>
      </c>
      <c r="M36" s="87" t="n">
        <v>3.12374369564507</v>
      </c>
      <c r="N36" s="87" t="n">
        <v>1.18986106459413</v>
      </c>
      <c r="P36" s="89" t="n">
        <f aca="false">'Revenue Allocation'!$AB34</f>
        <v>3.82688239657686</v>
      </c>
      <c r="Q36" s="0"/>
    </row>
    <row r="37" customFormat="false" ht="12.75" hidden="false" customHeight="false" outlineLevel="0" collapsed="false">
      <c r="A37" s="94" t="s">
        <v>312</v>
      </c>
      <c r="B37" s="82" t="s">
        <v>234</v>
      </c>
      <c r="C37" s="90" t="n">
        <v>3.07647809555056</v>
      </c>
      <c r="D37" s="90" t="n">
        <v>2.923377283328</v>
      </c>
      <c r="E37" s="90" t="n">
        <v>2.89311582104519</v>
      </c>
      <c r="F37" s="90" t="n">
        <v>3.02920114003533</v>
      </c>
      <c r="G37" s="90" t="n">
        <v>2.35053676814653</v>
      </c>
      <c r="H37" s="90"/>
      <c r="I37" s="115"/>
      <c r="J37" s="90" t="n">
        <v>4.51885378139897</v>
      </c>
      <c r="K37" s="90" t="n">
        <v>4.0267816225494</v>
      </c>
      <c r="L37" s="90" t="n">
        <v>3.92952006750421</v>
      </c>
      <c r="M37" s="90" t="n">
        <v>4.36690374778064</v>
      </c>
      <c r="N37" s="90" t="n">
        <v>2.18564920208846</v>
      </c>
      <c r="P37" s="89" t="n">
        <f aca="false">'Revenue Allocation'!$AB35</f>
        <v>3.82688239654187</v>
      </c>
      <c r="Q37" s="0"/>
    </row>
    <row r="38" customFormat="false" ht="12.75" hidden="false" customHeight="false" outlineLevel="0" collapsed="false">
      <c r="A38" s="97" t="s">
        <v>313</v>
      </c>
      <c r="B38" s="98" t="s">
        <v>234</v>
      </c>
      <c r="C38" s="87" t="n">
        <v>3.07647809555056</v>
      </c>
      <c r="D38" s="87" t="n">
        <v>2.9163912165955</v>
      </c>
      <c r="E38" s="87" t="n">
        <v>2.89257521073977</v>
      </c>
      <c r="F38" s="87" t="n">
        <v>3.02920114003533</v>
      </c>
      <c r="G38" s="87" t="n">
        <v>2.36127354302282</v>
      </c>
      <c r="H38" s="87"/>
      <c r="I38" s="114"/>
      <c r="J38" s="87" t="n">
        <v>3.31638675542108</v>
      </c>
      <c r="K38" s="87" t="n">
        <v>2.80186109754023</v>
      </c>
      <c r="L38" s="87" t="n">
        <v>2.72531549829435</v>
      </c>
      <c r="M38" s="87" t="n">
        <v>3.16443672180275</v>
      </c>
      <c r="N38" s="87" t="n">
        <v>1.01769060174047</v>
      </c>
      <c r="P38" s="89" t="n">
        <f aca="false">'Revenue Allocation'!$AB36</f>
        <v>3.8268823965467</v>
      </c>
      <c r="Q38" s="0"/>
    </row>
    <row r="39" customFormat="false" ht="12.75" hidden="false" customHeight="false" outlineLevel="0" collapsed="false">
      <c r="A39" s="92"/>
      <c r="B39" s="79"/>
      <c r="C39" s="87" t="n">
        <v>0</v>
      </c>
      <c r="D39" s="87" t="n">
        <v>0</v>
      </c>
      <c r="E39" s="87" t="n">
        <v>0</v>
      </c>
      <c r="F39" s="87" t="n">
        <v>0</v>
      </c>
      <c r="G39" s="87" t="n">
        <v>0</v>
      </c>
      <c r="H39" s="87"/>
      <c r="I39" s="116"/>
      <c r="J39" s="87" t="n">
        <v>0</v>
      </c>
      <c r="K39" s="87" t="n">
        <v>0</v>
      </c>
      <c r="L39" s="87" t="n">
        <v>0</v>
      </c>
      <c r="M39" s="87" t="n">
        <v>0</v>
      </c>
      <c r="N39" s="87" t="n">
        <v>0</v>
      </c>
      <c r="P39" s="89" t="n">
        <f aca="false">'Revenue Allocation'!$AB37</f>
        <v>0</v>
      </c>
      <c r="Q39" s="0"/>
    </row>
    <row r="40" customFormat="false" ht="12.75" hidden="false" customHeight="false" outlineLevel="0" collapsed="false">
      <c r="A40" s="94" t="s">
        <v>310</v>
      </c>
      <c r="B40" s="82" t="s">
        <v>231</v>
      </c>
      <c r="C40" s="87" t="n">
        <v>3.07647809555056</v>
      </c>
      <c r="D40" s="87" t="n">
        <v>3.13621417333475</v>
      </c>
      <c r="E40" s="87" t="n">
        <v>3.11083934484036</v>
      </c>
      <c r="F40" s="87" t="n">
        <v>3.10064456314937</v>
      </c>
      <c r="G40" s="87" t="n">
        <v>2.69066592053197</v>
      </c>
      <c r="H40" s="87"/>
      <c r="I40" s="114"/>
      <c r="J40" s="87" t="n">
        <v>2.71193049509195</v>
      </c>
      <c r="K40" s="87" t="n">
        <v>2.90392464802789</v>
      </c>
      <c r="L40" s="87" t="n">
        <v>2.82236893022071</v>
      </c>
      <c r="M40" s="87" t="n">
        <v>2.78960249245426</v>
      </c>
      <c r="N40" s="87" t="n">
        <v>1.47191467077435</v>
      </c>
      <c r="P40" s="89" t="n">
        <f aca="false">'Revenue Allocation'!$AB38</f>
        <v>3.82688239654187</v>
      </c>
      <c r="Q40" s="0"/>
    </row>
    <row r="41" customFormat="false" ht="12.75" hidden="false" customHeight="false" outlineLevel="0" collapsed="false">
      <c r="A41" s="94" t="s">
        <v>311</v>
      </c>
      <c r="B41" s="82" t="s">
        <v>231</v>
      </c>
      <c r="C41" s="87" t="n">
        <v>3.07647809555056</v>
      </c>
      <c r="D41" s="87" t="n">
        <v>3.01805839983835</v>
      </c>
      <c r="E41" s="87" t="n">
        <v>3.0386171403452</v>
      </c>
      <c r="F41" s="87" t="n">
        <v>3.10064456314937</v>
      </c>
      <c r="G41" s="87" t="n">
        <v>2.42750279919342</v>
      </c>
      <c r="H41" s="87"/>
      <c r="I41" s="114"/>
      <c r="J41" s="87" t="n">
        <v>3.05577115367278</v>
      </c>
      <c r="K41" s="87" t="n">
        <v>2.86800790558073</v>
      </c>
      <c r="L41" s="87" t="n">
        <v>2.93408452318695</v>
      </c>
      <c r="M41" s="87" t="n">
        <v>3.1334431510351</v>
      </c>
      <c r="N41" s="87" t="n">
        <v>0.969938489021197</v>
      </c>
      <c r="P41" s="89" t="n">
        <f aca="false">'Revenue Allocation'!$AB39</f>
        <v>3.82688239654187</v>
      </c>
      <c r="Q41" s="0"/>
    </row>
    <row r="42" customFormat="false" ht="12.75" hidden="false" customHeight="false" outlineLevel="0" collapsed="false">
      <c r="A42" s="94" t="s">
        <v>312</v>
      </c>
      <c r="B42" s="82" t="s">
        <v>231</v>
      </c>
      <c r="C42" s="90" t="n">
        <v>3.07647809555056</v>
      </c>
      <c r="D42" s="90" t="n">
        <v>3.13621417333475</v>
      </c>
      <c r="E42" s="90" t="n">
        <v>3.11083934484036</v>
      </c>
      <c r="F42" s="90" t="n">
        <v>3.10064456314937</v>
      </c>
      <c r="G42" s="90" t="n">
        <v>2.69066592053197</v>
      </c>
      <c r="H42" s="90"/>
      <c r="I42" s="115"/>
      <c r="J42" s="90" t="n">
        <v>4.01977532694106</v>
      </c>
      <c r="K42" s="90" t="n">
        <v>4.211769479877</v>
      </c>
      <c r="L42" s="90" t="n">
        <v>4.13021376206983</v>
      </c>
      <c r="M42" s="90" t="n">
        <v>4.09744732430338</v>
      </c>
      <c r="N42" s="90" t="n">
        <v>2.77975950262347</v>
      </c>
      <c r="P42" s="89" t="n">
        <f aca="false">'Revenue Allocation'!$AB40</f>
        <v>3.82688239654187</v>
      </c>
      <c r="Q42" s="0"/>
    </row>
    <row r="43" customFormat="false" ht="12.75" hidden="false" customHeight="false" outlineLevel="0" collapsed="false">
      <c r="A43" s="97" t="s">
        <v>313</v>
      </c>
      <c r="B43" s="98" t="s">
        <v>231</v>
      </c>
      <c r="C43" s="87" t="n">
        <v>3.07647870029652</v>
      </c>
      <c r="D43" s="87" t="n">
        <v>3.07355884976439</v>
      </c>
      <c r="E43" s="87" t="n">
        <v>3.07254178451342</v>
      </c>
      <c r="F43" s="87" t="n">
        <v>3.10064517264576</v>
      </c>
      <c r="G43" s="87" t="n">
        <v>2.55111564909822</v>
      </c>
      <c r="H43" s="87"/>
      <c r="I43" s="114"/>
      <c r="J43" s="87" t="n">
        <v>2.89741415150475</v>
      </c>
      <c r="K43" s="87" t="n">
        <v>2.88802963463639</v>
      </c>
      <c r="L43" s="87" t="n">
        <v>2.8847607460755</v>
      </c>
      <c r="M43" s="87" t="n">
        <v>2.97508616413512</v>
      </c>
      <c r="N43" s="87" t="n">
        <v>1.20887620693036</v>
      </c>
      <c r="P43" s="89" t="n">
        <f aca="false">'Revenue Allocation'!$AB41</f>
        <v>3.82688239654187</v>
      </c>
      <c r="Q43" s="0"/>
    </row>
    <row r="44" customFormat="false" ht="12.75" hidden="false" customHeight="false" outlineLevel="0" collapsed="false">
      <c r="A44" s="94"/>
      <c r="B44" s="82"/>
      <c r="C44" s="87" t="n">
        <v>0</v>
      </c>
      <c r="D44" s="87" t="n">
        <v>0</v>
      </c>
      <c r="E44" s="87" t="n">
        <v>0</v>
      </c>
      <c r="F44" s="87" t="n">
        <v>0</v>
      </c>
      <c r="G44" s="87" t="n">
        <v>0</v>
      </c>
      <c r="H44" s="87"/>
      <c r="I44" s="116"/>
      <c r="J44" s="87" t="n">
        <v>0</v>
      </c>
      <c r="K44" s="87" t="n">
        <v>0</v>
      </c>
      <c r="L44" s="87" t="n">
        <v>0</v>
      </c>
      <c r="M44" s="87" t="n">
        <v>0</v>
      </c>
      <c r="N44" s="87" t="n">
        <v>0</v>
      </c>
      <c r="P44" s="89" t="n">
        <f aca="false">'Revenue Allocation'!$AB42</f>
        <v>0</v>
      </c>
      <c r="Q44" s="0"/>
    </row>
    <row r="45" customFormat="false" ht="12.75" hidden="false" customHeight="false" outlineLevel="0" collapsed="false">
      <c r="A45" s="97" t="s">
        <v>313</v>
      </c>
      <c r="B45" s="84"/>
      <c r="C45" s="87" t="n">
        <v>3.07647809555056</v>
      </c>
      <c r="D45" s="87" t="n">
        <v>3.06210899649492</v>
      </c>
      <c r="E45" s="87" t="n">
        <v>3.05943987096241</v>
      </c>
      <c r="F45" s="87" t="n">
        <v>3.09535492175945</v>
      </c>
      <c r="G45" s="87" t="n">
        <v>2.53736413546664</v>
      </c>
      <c r="H45" s="87"/>
      <c r="I45" s="114"/>
      <c r="J45" s="87" t="n">
        <v>2.92660908148453</v>
      </c>
      <c r="K45" s="87" t="n">
        <v>2.88042622007195</v>
      </c>
      <c r="L45" s="87" t="n">
        <v>2.87184754342119</v>
      </c>
      <c r="M45" s="87" t="n">
        <v>2.98727995899324</v>
      </c>
      <c r="N45" s="87" t="n">
        <v>1.19387516352985</v>
      </c>
      <c r="P45" s="89" t="n">
        <f aca="false">'Revenue Allocation'!$AB43</f>
        <v>3.82688239654222</v>
      </c>
      <c r="Q45" s="0"/>
    </row>
    <row r="46" customFormat="false" ht="12.75" hidden="false" customHeight="false" outlineLevel="0" collapsed="false">
      <c r="A46" s="94"/>
      <c r="B46" s="79"/>
      <c r="C46" s="87" t="n">
        <v>0</v>
      </c>
      <c r="D46" s="87" t="n">
        <v>0</v>
      </c>
      <c r="E46" s="87" t="n">
        <v>0</v>
      </c>
      <c r="F46" s="87" t="n">
        <v>0</v>
      </c>
      <c r="G46" s="87" t="n">
        <v>0</v>
      </c>
      <c r="H46" s="87"/>
      <c r="I46" s="116"/>
      <c r="J46" s="87" t="n">
        <v>0</v>
      </c>
      <c r="K46" s="87" t="n">
        <v>0</v>
      </c>
      <c r="L46" s="87" t="n">
        <v>0</v>
      </c>
      <c r="M46" s="87" t="n">
        <v>0</v>
      </c>
      <c r="N46" s="87" t="n">
        <v>0</v>
      </c>
      <c r="P46" s="89" t="n">
        <f aca="false">'Revenue Allocation'!$AB44</f>
        <v>0</v>
      </c>
      <c r="Q46" s="0"/>
    </row>
    <row r="47" customFormat="false" ht="12.75" hidden="false" customHeight="false" outlineLevel="0" collapsed="false">
      <c r="A47" s="94" t="s">
        <v>314</v>
      </c>
      <c r="B47" s="82" t="s">
        <v>231</v>
      </c>
      <c r="C47" s="90" t="n">
        <v>3.07647809555056</v>
      </c>
      <c r="D47" s="90" t="n">
        <v>3.13621417333475</v>
      </c>
      <c r="E47" s="90" t="n">
        <v>3.11083934484036</v>
      </c>
      <c r="F47" s="90" t="n">
        <v>3.10064456314937</v>
      </c>
      <c r="G47" s="90" t="n">
        <v>2.69066592053197</v>
      </c>
      <c r="H47" s="90"/>
      <c r="I47" s="115"/>
      <c r="J47" s="90" t="n">
        <v>4.7405667768016</v>
      </c>
      <c r="K47" s="90" t="n">
        <v>4.93256092973754</v>
      </c>
      <c r="L47" s="90" t="n">
        <v>4.85100521193037</v>
      </c>
      <c r="M47" s="90" t="n">
        <v>4.81823877416392</v>
      </c>
      <c r="N47" s="90" t="n">
        <v>3.50055095248401</v>
      </c>
      <c r="P47" s="89" t="n">
        <f aca="false">'Revenue Allocation'!$AB45</f>
        <v>3.82688239654187</v>
      </c>
      <c r="Q47" s="0"/>
    </row>
    <row r="48" customFormat="false" ht="12.75" hidden="false" customHeight="false" outlineLevel="0" collapsed="false">
      <c r="A48" s="97" t="s">
        <v>315</v>
      </c>
      <c r="B48" s="84"/>
      <c r="C48" s="87" t="n">
        <v>3.07647809555056</v>
      </c>
      <c r="D48" s="87" t="n">
        <v>3.13621417333475</v>
      </c>
      <c r="E48" s="87" t="n">
        <v>3.11083934484036</v>
      </c>
      <c r="F48" s="87" t="n">
        <v>3.10064456314937</v>
      </c>
      <c r="G48" s="87" t="n">
        <v>2.69066592053197</v>
      </c>
      <c r="H48" s="87"/>
      <c r="I48" s="114"/>
      <c r="J48" s="87" t="n">
        <v>4.7405667768016</v>
      </c>
      <c r="K48" s="87" t="n">
        <v>4.93256092973754</v>
      </c>
      <c r="L48" s="87" t="n">
        <v>4.85100521193037</v>
      </c>
      <c r="M48" s="87" t="n">
        <v>4.81823877416392</v>
      </c>
      <c r="N48" s="87" t="n">
        <v>3.50055095248401</v>
      </c>
      <c r="P48" s="89" t="n">
        <f aca="false">'Revenue Allocation'!$AB46</f>
        <v>3.82688239654187</v>
      </c>
      <c r="Q48" s="0"/>
    </row>
    <row r="49" customFormat="false" ht="12.75" hidden="false" customHeight="false" outlineLevel="0" collapsed="false">
      <c r="A49" s="94"/>
      <c r="B49" s="79"/>
      <c r="C49" s="87" t="n">
        <v>0</v>
      </c>
      <c r="D49" s="87" t="n">
        <v>0</v>
      </c>
      <c r="E49" s="87" t="n">
        <v>0</v>
      </c>
      <c r="F49" s="87" t="n">
        <v>0</v>
      </c>
      <c r="G49" s="87" t="n">
        <v>0</v>
      </c>
      <c r="H49" s="87"/>
      <c r="I49" s="116"/>
      <c r="J49" s="87" t="n">
        <v>0</v>
      </c>
      <c r="K49" s="87" t="n">
        <v>0</v>
      </c>
      <c r="L49" s="87" t="n">
        <v>0</v>
      </c>
      <c r="M49" s="87" t="n">
        <v>0</v>
      </c>
      <c r="N49" s="87" t="n">
        <v>0</v>
      </c>
      <c r="P49" s="89" t="n">
        <f aca="false">'Revenue Allocation'!$AB47</f>
        <v>0</v>
      </c>
      <c r="Q49" s="0"/>
    </row>
    <row r="50" customFormat="false" ht="12.75" hidden="false" customHeight="false" outlineLevel="0" collapsed="false">
      <c r="A50" s="97" t="s">
        <v>316</v>
      </c>
      <c r="B50" s="98" t="s">
        <v>236</v>
      </c>
      <c r="C50" s="87" t="n">
        <v>3.07676171327591</v>
      </c>
      <c r="D50" s="87" t="n">
        <v>2.85460874778417</v>
      </c>
      <c r="E50" s="87" t="n">
        <v>2.830676932224</v>
      </c>
      <c r="F50" s="87" t="n">
        <v>2.91516038427156</v>
      </c>
      <c r="G50" s="87" t="n">
        <v>2.36592546380483</v>
      </c>
      <c r="H50" s="87"/>
      <c r="I50" s="114"/>
      <c r="J50" s="87" t="n">
        <v>2.14148721444703</v>
      </c>
      <c r="K50" s="87" t="n">
        <v>1.42747866192903</v>
      </c>
      <c r="L50" s="87" t="n">
        <v>1.35056084564231</v>
      </c>
      <c r="M50" s="87" t="n">
        <v>1.62209405328904</v>
      </c>
      <c r="N50" s="87" t="n">
        <v>-0.143169037783063</v>
      </c>
      <c r="P50" s="89" t="n">
        <f aca="false">'Revenue Allocation'!$AB48</f>
        <v>3.82688239654187</v>
      </c>
      <c r="Q50" s="0"/>
    </row>
    <row r="51" customFormat="false" ht="12.75" hidden="false" customHeight="false" outlineLevel="0" collapsed="false">
      <c r="A51" s="97" t="s">
        <v>316</v>
      </c>
      <c r="B51" s="98" t="s">
        <v>234</v>
      </c>
      <c r="C51" s="87" t="n">
        <v>3.07647809555056</v>
      </c>
      <c r="D51" s="87" t="n">
        <v>2.9163912165955</v>
      </c>
      <c r="E51" s="87" t="n">
        <v>2.89257521073977</v>
      </c>
      <c r="F51" s="87" t="n">
        <v>3.02920114003533</v>
      </c>
      <c r="G51" s="87" t="n">
        <v>2.36127354302282</v>
      </c>
      <c r="H51" s="87"/>
      <c r="I51" s="114"/>
      <c r="J51" s="87" t="n">
        <v>3.31638675542108</v>
      </c>
      <c r="K51" s="87" t="n">
        <v>2.80186109754023</v>
      </c>
      <c r="L51" s="87" t="n">
        <v>2.72531549829435</v>
      </c>
      <c r="M51" s="87" t="n">
        <v>3.16443672180275</v>
      </c>
      <c r="N51" s="87" t="n">
        <v>1.01769060174047</v>
      </c>
      <c r="P51" s="89" t="n">
        <f aca="false">'Revenue Allocation'!$AB49</f>
        <v>3.8268823965467</v>
      </c>
      <c r="Q51" s="0"/>
    </row>
    <row r="52" customFormat="false" ht="12.75" hidden="false" customHeight="false" outlineLevel="0" collapsed="false">
      <c r="A52" s="97" t="s">
        <v>316</v>
      </c>
      <c r="B52" s="98" t="s">
        <v>231</v>
      </c>
      <c r="C52" s="90" t="n">
        <v>3.07647809555056</v>
      </c>
      <c r="D52" s="90" t="n">
        <v>3.07384102087852</v>
      </c>
      <c r="E52" s="90" t="n">
        <v>3.07271402570952</v>
      </c>
      <c r="F52" s="90" t="n">
        <v>3.10064456314937</v>
      </c>
      <c r="G52" s="90" t="n">
        <v>2.55174496049435</v>
      </c>
      <c r="H52" s="90"/>
      <c r="I52" s="115"/>
      <c r="J52" s="90" t="n">
        <v>2.90573199955737</v>
      </c>
      <c r="K52" s="90" t="n">
        <v>2.89725633565932</v>
      </c>
      <c r="L52" s="90" t="n">
        <v>2.89363412792721</v>
      </c>
      <c r="M52" s="90" t="n">
        <v>2.98340399691968</v>
      </c>
      <c r="N52" s="90" t="n">
        <v>1.21921863076043</v>
      </c>
      <c r="P52" s="89" t="n">
        <f aca="false">'Revenue Allocation'!$AB50</f>
        <v>3.82688239654187</v>
      </c>
      <c r="Q52" s="0"/>
    </row>
    <row r="53" customFormat="false" ht="12.75" hidden="false" customHeight="false" outlineLevel="0" collapsed="false">
      <c r="A53" s="99" t="s">
        <v>309</v>
      </c>
      <c r="B53" s="84"/>
      <c r="C53" s="87" t="n">
        <v>3.07647809555056</v>
      </c>
      <c r="D53" s="87" t="n">
        <v>3.06241931224537</v>
      </c>
      <c r="E53" s="87" t="n">
        <v>3.05965510648291</v>
      </c>
      <c r="F53" s="87" t="n">
        <v>3.09537707215579</v>
      </c>
      <c r="G53" s="87" t="n">
        <v>2.53800608735861</v>
      </c>
      <c r="H53" s="87"/>
      <c r="I53" s="114"/>
      <c r="J53" s="87" t="n">
        <v>2.93420503722606</v>
      </c>
      <c r="K53" s="87" t="n">
        <v>2.88901954309735</v>
      </c>
      <c r="L53" s="87" t="n">
        <v>2.88013527476923</v>
      </c>
      <c r="M53" s="87" t="n">
        <v>2.99494710699812</v>
      </c>
      <c r="N53" s="87" t="n">
        <v>1.20353437843225</v>
      </c>
      <c r="P53" s="89" t="n">
        <f aca="false">'Revenue Allocation'!$AB51</f>
        <v>3.82688239654222</v>
      </c>
      <c r="Q53" s="0"/>
    </row>
    <row r="54" customFormat="false" ht="12.75" hidden="false" customHeight="false" outlineLevel="0" collapsed="false">
      <c r="A54" s="94"/>
      <c r="B54" s="82"/>
      <c r="C54" s="87" t="n">
        <v>0</v>
      </c>
      <c r="D54" s="87" t="n">
        <v>0</v>
      </c>
      <c r="E54" s="87" t="n">
        <v>0</v>
      </c>
      <c r="F54" s="87" t="n">
        <v>0</v>
      </c>
      <c r="G54" s="87" t="n">
        <v>0</v>
      </c>
      <c r="H54" s="87"/>
      <c r="I54" s="116"/>
      <c r="J54" s="87" t="n">
        <v>0</v>
      </c>
      <c r="K54" s="87" t="n">
        <v>0</v>
      </c>
      <c r="L54" s="87" t="n">
        <v>0</v>
      </c>
      <c r="M54" s="87" t="n">
        <v>0</v>
      </c>
      <c r="N54" s="87" t="n">
        <v>0</v>
      </c>
      <c r="P54" s="89" t="n">
        <f aca="false">'Revenue Allocation'!$AB52</f>
        <v>0</v>
      </c>
      <c r="Q54" s="0"/>
    </row>
    <row r="55" customFormat="false" ht="12.75" hidden="false" customHeight="false" outlineLevel="0" collapsed="false">
      <c r="A55" s="85" t="s">
        <v>317</v>
      </c>
      <c r="B55" s="82" t="s">
        <v>231</v>
      </c>
      <c r="C55" s="87" t="n">
        <v>3.07647809555056</v>
      </c>
      <c r="D55" s="87" t="n">
        <v>2.7418399359693</v>
      </c>
      <c r="E55" s="87" t="n">
        <v>2.29208615827082</v>
      </c>
      <c r="F55" s="87" t="n">
        <v>3.10064456314937</v>
      </c>
      <c r="G55" s="87" t="n">
        <v>0.546256295378532</v>
      </c>
      <c r="H55" s="87"/>
      <c r="I55" s="114"/>
      <c r="J55" s="87" t="n">
        <v>4.79743132584008</v>
      </c>
      <c r="K55" s="87" t="n">
        <v>3.72189084223228</v>
      </c>
      <c r="L55" s="87" t="n">
        <v>2.27636413907455</v>
      </c>
      <c r="M55" s="87" t="n">
        <v>4.8751033232024</v>
      </c>
      <c r="N55" s="87" t="n">
        <v>-3.3348031509374</v>
      </c>
      <c r="P55" s="89" t="n">
        <f aca="false">'Revenue Allocation'!$AB53</f>
        <v>3.82688239654187</v>
      </c>
      <c r="Q55" s="0"/>
    </row>
    <row r="56" customFormat="false" ht="12.75" hidden="false" customHeight="false" outlineLevel="0" collapsed="false">
      <c r="A56" s="94"/>
      <c r="B56" s="82"/>
      <c r="C56" s="87" t="n">
        <v>0</v>
      </c>
      <c r="D56" s="87" t="n">
        <v>0</v>
      </c>
      <c r="E56" s="87" t="n">
        <v>0</v>
      </c>
      <c r="F56" s="87" t="n">
        <v>0</v>
      </c>
      <c r="G56" s="87" t="n">
        <v>0</v>
      </c>
      <c r="H56" s="87"/>
      <c r="I56" s="116"/>
      <c r="J56" s="87" t="n">
        <v>0</v>
      </c>
      <c r="K56" s="87" t="n">
        <v>0</v>
      </c>
      <c r="L56" s="87" t="n">
        <v>0</v>
      </c>
      <c r="M56" s="87" t="n">
        <v>0</v>
      </c>
      <c r="N56" s="87" t="n">
        <v>0</v>
      </c>
      <c r="P56" s="89" t="n">
        <f aca="false">'Revenue Allocation'!$AB54</f>
        <v>0</v>
      </c>
      <c r="Q56" s="0"/>
    </row>
    <row r="57" customFormat="false" ht="12.75" hidden="false" customHeight="false" outlineLevel="0" collapsed="false">
      <c r="A57" s="85" t="s">
        <v>318</v>
      </c>
      <c r="B57" s="82"/>
      <c r="C57" s="87" t="n">
        <v>0</v>
      </c>
      <c r="D57" s="87" t="n">
        <v>0</v>
      </c>
      <c r="E57" s="87" t="n">
        <v>0</v>
      </c>
      <c r="F57" s="87" t="n">
        <v>0</v>
      </c>
      <c r="G57" s="87" t="n">
        <v>0</v>
      </c>
      <c r="H57" s="87"/>
      <c r="I57" s="116"/>
      <c r="J57" s="87" t="n">
        <v>0</v>
      </c>
      <c r="K57" s="87" t="n">
        <v>0</v>
      </c>
      <c r="L57" s="87" t="n">
        <v>0</v>
      </c>
      <c r="M57" s="87" t="n">
        <v>0</v>
      </c>
      <c r="N57" s="87" t="n">
        <v>0</v>
      </c>
      <c r="P57" s="89" t="n">
        <f aca="false">'Revenue Allocation'!$AB55</f>
        <v>0</v>
      </c>
      <c r="Q57" s="0"/>
    </row>
    <row r="58" customFormat="false" ht="12.75" hidden="true" customHeight="false" outlineLevel="0" collapsed="false">
      <c r="A58" s="94" t="s">
        <v>319</v>
      </c>
      <c r="B58" s="82" t="s">
        <v>236</v>
      </c>
      <c r="C58" s="87" t="n">
        <v>0</v>
      </c>
      <c r="D58" s="87" t="n">
        <v>0</v>
      </c>
      <c r="E58" s="87" t="n">
        <v>0</v>
      </c>
      <c r="F58" s="87" t="n">
        <v>0</v>
      </c>
      <c r="G58" s="87" t="n">
        <v>0</v>
      </c>
      <c r="H58" s="87"/>
      <c r="I58" s="116"/>
      <c r="J58" s="87" t="n">
        <v>0</v>
      </c>
      <c r="K58" s="87" t="n">
        <v>0</v>
      </c>
      <c r="L58" s="87" t="n">
        <v>0</v>
      </c>
      <c r="M58" s="87" t="n">
        <v>0</v>
      </c>
      <c r="N58" s="87" t="n">
        <v>0</v>
      </c>
      <c r="P58" s="89" t="n">
        <f aca="false">'Revenue Allocation'!$AB56</f>
        <v>0</v>
      </c>
      <c r="Q58" s="0"/>
    </row>
    <row r="59" customFormat="false" ht="12.75" hidden="true" customHeight="false" outlineLevel="0" collapsed="false">
      <c r="A59" s="94"/>
      <c r="B59" s="82" t="s">
        <v>234</v>
      </c>
      <c r="C59" s="87" t="n">
        <v>0</v>
      </c>
      <c r="D59" s="87" t="n">
        <v>0</v>
      </c>
      <c r="E59" s="87" t="n">
        <v>0</v>
      </c>
      <c r="F59" s="87" t="n">
        <v>0</v>
      </c>
      <c r="G59" s="87" t="n">
        <v>0</v>
      </c>
      <c r="H59" s="87"/>
      <c r="I59" s="116"/>
      <c r="J59" s="87" t="n">
        <v>0</v>
      </c>
      <c r="K59" s="87" t="n">
        <v>0</v>
      </c>
      <c r="L59" s="87" t="n">
        <v>0</v>
      </c>
      <c r="M59" s="87" t="n">
        <v>0</v>
      </c>
      <c r="N59" s="87" t="n">
        <v>0</v>
      </c>
      <c r="P59" s="89" t="n">
        <f aca="false">'Revenue Allocation'!$AB57</f>
        <v>0</v>
      </c>
      <c r="Q59" s="0"/>
    </row>
    <row r="60" customFormat="false" ht="12.75" hidden="true" customHeight="false" outlineLevel="0" collapsed="false">
      <c r="A60" s="94"/>
      <c r="B60" s="82" t="s">
        <v>231</v>
      </c>
      <c r="C60" s="87" t="n">
        <v>0</v>
      </c>
      <c r="D60" s="87" t="n">
        <v>0</v>
      </c>
      <c r="E60" s="87" t="n">
        <v>0</v>
      </c>
      <c r="F60" s="87" t="n">
        <v>0</v>
      </c>
      <c r="G60" s="87" t="n">
        <v>0</v>
      </c>
      <c r="H60" s="87"/>
      <c r="I60" s="116"/>
      <c r="J60" s="87" t="n">
        <v>0</v>
      </c>
      <c r="K60" s="87" t="n">
        <v>0</v>
      </c>
      <c r="L60" s="87" t="n">
        <v>0</v>
      </c>
      <c r="M60" s="87" t="n">
        <v>0</v>
      </c>
      <c r="N60" s="87" t="n">
        <v>0</v>
      </c>
      <c r="P60" s="89" t="n">
        <f aca="false">'Revenue Allocation'!$AB58</f>
        <v>0</v>
      </c>
      <c r="Q60" s="0"/>
    </row>
    <row r="61" customFormat="false" ht="12.75" hidden="true" customHeight="false" outlineLevel="0" collapsed="false">
      <c r="A61" s="94" t="s">
        <v>320</v>
      </c>
      <c r="B61" s="82"/>
      <c r="C61" s="87" t="n">
        <v>0</v>
      </c>
      <c r="D61" s="87" t="n">
        <v>0</v>
      </c>
      <c r="E61" s="87" t="n">
        <v>0</v>
      </c>
      <c r="F61" s="87" t="n">
        <v>0</v>
      </c>
      <c r="G61" s="87" t="n">
        <v>0</v>
      </c>
      <c r="H61" s="87"/>
      <c r="I61" s="116"/>
      <c r="J61" s="87" t="n">
        <v>0</v>
      </c>
      <c r="K61" s="87" t="n">
        <v>0</v>
      </c>
      <c r="L61" s="87" t="n">
        <v>0</v>
      </c>
      <c r="M61" s="87" t="n">
        <v>0</v>
      </c>
      <c r="N61" s="87" t="n">
        <v>0</v>
      </c>
      <c r="P61" s="89" t="n">
        <f aca="false">'Revenue Allocation'!$AB59</f>
        <v>0</v>
      </c>
      <c r="Q61" s="0"/>
    </row>
    <row r="62" customFormat="false" ht="12.75" hidden="true" customHeight="false" outlineLevel="0" collapsed="false">
      <c r="A62" s="94"/>
      <c r="B62" s="82"/>
      <c r="C62" s="87" t="n">
        <v>0</v>
      </c>
      <c r="D62" s="87" t="n">
        <v>0</v>
      </c>
      <c r="E62" s="87" t="n">
        <v>0</v>
      </c>
      <c r="F62" s="87" t="n">
        <v>0</v>
      </c>
      <c r="G62" s="87" t="n">
        <v>0</v>
      </c>
      <c r="H62" s="87"/>
      <c r="I62" s="116"/>
      <c r="J62" s="87" t="n">
        <v>0</v>
      </c>
      <c r="K62" s="87" t="n">
        <v>0</v>
      </c>
      <c r="L62" s="87" t="n">
        <v>0</v>
      </c>
      <c r="M62" s="87" t="n">
        <v>0</v>
      </c>
      <c r="N62" s="87" t="n">
        <v>0</v>
      </c>
      <c r="P62" s="89" t="n">
        <f aca="false">'Revenue Allocation'!$AB60</f>
        <v>0</v>
      </c>
      <c r="Q62" s="0"/>
    </row>
    <row r="63" customFormat="false" ht="12.75" hidden="true" customHeight="false" outlineLevel="0" collapsed="false">
      <c r="A63" s="94" t="s">
        <v>321</v>
      </c>
      <c r="B63" s="82" t="s">
        <v>236</v>
      </c>
      <c r="C63" s="87" t="n">
        <v>0</v>
      </c>
      <c r="D63" s="87" t="n">
        <v>0</v>
      </c>
      <c r="E63" s="87" t="n">
        <v>0</v>
      </c>
      <c r="F63" s="87" t="n">
        <v>0</v>
      </c>
      <c r="G63" s="87" t="n">
        <v>0</v>
      </c>
      <c r="H63" s="87"/>
      <c r="I63" s="116"/>
      <c r="J63" s="87" t="n">
        <v>0</v>
      </c>
      <c r="K63" s="87" t="n">
        <v>0</v>
      </c>
      <c r="L63" s="87" t="n">
        <v>0</v>
      </c>
      <c r="M63" s="87" t="n">
        <v>0</v>
      </c>
      <c r="N63" s="87" t="n">
        <v>0</v>
      </c>
      <c r="P63" s="89" t="n">
        <f aca="false">'Revenue Allocation'!$AB61</f>
        <v>0</v>
      </c>
      <c r="Q63" s="0"/>
    </row>
    <row r="64" customFormat="false" ht="12.75" hidden="true" customHeight="false" outlineLevel="0" collapsed="false">
      <c r="A64" s="94"/>
      <c r="B64" s="82" t="s">
        <v>234</v>
      </c>
      <c r="C64" s="87" t="n">
        <v>0</v>
      </c>
      <c r="D64" s="87" t="n">
        <v>0</v>
      </c>
      <c r="E64" s="87" t="n">
        <v>0</v>
      </c>
      <c r="F64" s="87" t="n">
        <v>0</v>
      </c>
      <c r="G64" s="87" t="n">
        <v>0</v>
      </c>
      <c r="H64" s="87"/>
      <c r="I64" s="116"/>
      <c r="J64" s="87" t="n">
        <v>0</v>
      </c>
      <c r="K64" s="87" t="n">
        <v>0</v>
      </c>
      <c r="L64" s="87" t="n">
        <v>0</v>
      </c>
      <c r="M64" s="87" t="n">
        <v>0</v>
      </c>
      <c r="N64" s="87" t="n">
        <v>0</v>
      </c>
      <c r="P64" s="89" t="n">
        <f aca="false">'Revenue Allocation'!$AB62</f>
        <v>0</v>
      </c>
      <c r="Q64" s="0"/>
    </row>
    <row r="65" customFormat="false" ht="12.75" hidden="true" customHeight="false" outlineLevel="0" collapsed="false">
      <c r="A65" s="94"/>
      <c r="B65" s="82" t="s">
        <v>231</v>
      </c>
      <c r="C65" s="87" t="n">
        <v>0</v>
      </c>
      <c r="D65" s="87" t="n">
        <v>0</v>
      </c>
      <c r="E65" s="87" t="n">
        <v>0</v>
      </c>
      <c r="F65" s="87" t="n">
        <v>0</v>
      </c>
      <c r="G65" s="87" t="n">
        <v>0</v>
      </c>
      <c r="H65" s="87"/>
      <c r="I65" s="116"/>
      <c r="J65" s="87" t="n">
        <v>0</v>
      </c>
      <c r="K65" s="87" t="n">
        <v>0</v>
      </c>
      <c r="L65" s="87" t="n">
        <v>0</v>
      </c>
      <c r="M65" s="87" t="n">
        <v>0</v>
      </c>
      <c r="N65" s="87" t="n">
        <v>0</v>
      </c>
      <c r="P65" s="89" t="n">
        <f aca="false">'Revenue Allocation'!$AB63</f>
        <v>0</v>
      </c>
      <c r="Q65" s="0"/>
    </row>
    <row r="66" customFormat="false" ht="12.75" hidden="true" customHeight="false" outlineLevel="0" collapsed="false">
      <c r="A66" s="94" t="s">
        <v>322</v>
      </c>
      <c r="B66" s="82"/>
      <c r="C66" s="87" t="n">
        <v>0</v>
      </c>
      <c r="D66" s="87" t="n">
        <v>0</v>
      </c>
      <c r="E66" s="87" t="n">
        <v>0</v>
      </c>
      <c r="F66" s="87" t="n">
        <v>0</v>
      </c>
      <c r="G66" s="87" t="n">
        <v>0</v>
      </c>
      <c r="H66" s="87"/>
      <c r="I66" s="116"/>
      <c r="J66" s="87" t="n">
        <v>0</v>
      </c>
      <c r="K66" s="87" t="n">
        <v>0</v>
      </c>
      <c r="L66" s="87" t="n">
        <v>0</v>
      </c>
      <c r="M66" s="87" t="n">
        <v>0</v>
      </c>
      <c r="N66" s="87" t="n">
        <v>0</v>
      </c>
      <c r="P66" s="89" t="n">
        <f aca="false">'Revenue Allocation'!$AB64</f>
        <v>0</v>
      </c>
      <c r="Q66" s="0"/>
    </row>
    <row r="67" customFormat="false" ht="12.75" hidden="true" customHeight="false" outlineLevel="0" collapsed="false">
      <c r="A67" s="94"/>
      <c r="B67" s="82"/>
      <c r="C67" s="87" t="n">
        <v>0</v>
      </c>
      <c r="D67" s="87" t="n">
        <v>0</v>
      </c>
      <c r="E67" s="87" t="n">
        <v>0</v>
      </c>
      <c r="F67" s="87" t="n">
        <v>0</v>
      </c>
      <c r="G67" s="87" t="n">
        <v>0</v>
      </c>
      <c r="H67" s="87"/>
      <c r="I67" s="116"/>
      <c r="J67" s="87" t="n">
        <v>0</v>
      </c>
      <c r="K67" s="87" t="n">
        <v>0</v>
      </c>
      <c r="L67" s="87" t="n">
        <v>0</v>
      </c>
      <c r="M67" s="87" t="n">
        <v>0</v>
      </c>
      <c r="N67" s="87" t="n">
        <v>0</v>
      </c>
      <c r="P67" s="89" t="n">
        <f aca="false">'Revenue Allocation'!$AB65</f>
        <v>0</v>
      </c>
      <c r="Q67" s="0"/>
    </row>
    <row r="68" customFormat="false" ht="12.75" hidden="false" customHeight="false" outlineLevel="0" collapsed="false">
      <c r="A68" s="94"/>
      <c r="B68" s="82" t="s">
        <v>236</v>
      </c>
      <c r="C68" s="87" t="n">
        <v>3.07647809555056</v>
      </c>
      <c r="D68" s="87" t="n">
        <v>2.90616253487157</v>
      </c>
      <c r="E68" s="87" t="n">
        <v>2.19731653383571</v>
      </c>
      <c r="F68" s="87" t="n">
        <v>2.91489166305287</v>
      </c>
      <c r="G68" s="87" t="n">
        <v>1.01759085620421</v>
      </c>
      <c r="H68" s="87"/>
      <c r="I68" s="114"/>
      <c r="J68" s="87" t="n">
        <v>5.72394103655819</v>
      </c>
      <c r="K68" s="87" t="n">
        <v>5.17653998484361</v>
      </c>
      <c r="L68" s="87" t="n">
        <v>2.89828047101057</v>
      </c>
      <c r="M68" s="87" t="n">
        <v>5.20459575337083</v>
      </c>
      <c r="N68" s="87" t="n">
        <v>-0.89340523342939</v>
      </c>
      <c r="P68" s="89" t="n">
        <f aca="false">'Revenue Allocation'!$AB66</f>
        <v>3.82688239654187</v>
      </c>
      <c r="Q68" s="0"/>
    </row>
    <row r="69" customFormat="false" ht="12.75" hidden="false" customHeight="false" outlineLevel="0" collapsed="false">
      <c r="A69" s="94"/>
      <c r="B69" s="82" t="s">
        <v>234</v>
      </c>
      <c r="C69" s="87" t="n">
        <v>3.07647809555056</v>
      </c>
      <c r="D69" s="87" t="n">
        <v>2.90616253487157</v>
      </c>
      <c r="E69" s="87" t="n">
        <v>2.19731653383571</v>
      </c>
      <c r="F69" s="87" t="n">
        <v>3.02920114003533</v>
      </c>
      <c r="G69" s="87" t="n">
        <v>1.91149909108983</v>
      </c>
      <c r="H69" s="87"/>
      <c r="I69" s="114"/>
      <c r="J69" s="87" t="n">
        <v>4.83229897739072</v>
      </c>
      <c r="K69" s="87" t="n">
        <v>4.28489792567614</v>
      </c>
      <c r="L69" s="87" t="n">
        <v>2.0066384118431</v>
      </c>
      <c r="M69" s="87" t="n">
        <v>4.68034894377239</v>
      </c>
      <c r="N69" s="87" t="n">
        <v>1.0880096727324</v>
      </c>
      <c r="P69" s="89" t="n">
        <f aca="false">'Revenue Allocation'!$AB67</f>
        <v>3.82688239654187</v>
      </c>
      <c r="Q69" s="0"/>
    </row>
    <row r="70" customFormat="false" ht="12.75" hidden="false" customHeight="false" outlineLevel="0" collapsed="false">
      <c r="A70" s="94"/>
      <c r="B70" s="82" t="s">
        <v>231</v>
      </c>
      <c r="C70" s="90" t="n">
        <v>3.07647809555056</v>
      </c>
      <c r="D70" s="90" t="n">
        <v>2.90616253487157</v>
      </c>
      <c r="E70" s="90" t="n">
        <v>2.19731653383571</v>
      </c>
      <c r="F70" s="90" t="n">
        <v>3.10064456314937</v>
      </c>
      <c r="G70" s="90" t="n">
        <v>1.01117167523607</v>
      </c>
      <c r="H70" s="90"/>
      <c r="I70" s="115"/>
      <c r="J70" s="90" t="n">
        <v>6.00559806874524</v>
      </c>
      <c r="K70" s="90" t="n">
        <v>5.45819701703066</v>
      </c>
      <c r="L70" s="90" t="n">
        <v>3.17993750319762</v>
      </c>
      <c r="M70" s="90" t="n">
        <v>6.08327006610756</v>
      </c>
      <c r="N70" s="90" t="n">
        <v>-0.63237970666144</v>
      </c>
      <c r="P70" s="89" t="n">
        <f aca="false">'Revenue Allocation'!$AB68</f>
        <v>3.82688239654187</v>
      </c>
      <c r="Q70" s="0"/>
    </row>
    <row r="71" customFormat="false" ht="12.75" hidden="false" customHeight="false" outlineLevel="0" collapsed="false">
      <c r="A71" s="95" t="s">
        <v>323</v>
      </c>
      <c r="B71" s="98"/>
      <c r="C71" s="87" t="n">
        <v>3.07647809555056</v>
      </c>
      <c r="D71" s="87" t="n">
        <v>2.90616253487157</v>
      </c>
      <c r="E71" s="87" t="n">
        <v>2.19731653383571</v>
      </c>
      <c r="F71" s="87" t="n">
        <v>2.94352671119019</v>
      </c>
      <c r="G71" s="87" t="n">
        <v>1.17704182299067</v>
      </c>
      <c r="H71" s="87"/>
      <c r="I71" s="114"/>
      <c r="J71" s="87" t="n">
        <v>5.57705835395341</v>
      </c>
      <c r="K71" s="87" t="n">
        <v>5.02965730223883</v>
      </c>
      <c r="L71" s="87" t="n">
        <v>2.75139778840579</v>
      </c>
      <c r="M71" s="87" t="n">
        <v>5.14974726543256</v>
      </c>
      <c r="N71" s="87" t="n">
        <v>-0.527806105400708</v>
      </c>
      <c r="P71" s="89" t="n">
        <f aca="false">'Revenue Allocation'!$AB69</f>
        <v>3.82688239654187</v>
      </c>
      <c r="Q71" s="0"/>
    </row>
    <row r="72" customFormat="false" ht="12.75" hidden="false" customHeight="false" outlineLevel="0" collapsed="false">
      <c r="A72" s="85"/>
      <c r="B72" s="82"/>
      <c r="C72" s="87" t="n">
        <v>0</v>
      </c>
      <c r="D72" s="87" t="n">
        <v>0</v>
      </c>
      <c r="E72" s="87" t="n">
        <v>0</v>
      </c>
      <c r="F72" s="87" t="n">
        <v>0</v>
      </c>
      <c r="G72" s="87" t="n">
        <v>0</v>
      </c>
      <c r="H72" s="87"/>
      <c r="I72" s="116"/>
      <c r="J72" s="87" t="n">
        <v>0</v>
      </c>
      <c r="K72" s="87" t="n">
        <v>0</v>
      </c>
      <c r="L72" s="87" t="n">
        <v>0</v>
      </c>
      <c r="M72" s="87" t="n">
        <v>0</v>
      </c>
      <c r="N72" s="87" t="n">
        <v>0</v>
      </c>
      <c r="P72" s="89" t="n">
        <f aca="false">'Revenue Allocation'!$AB70</f>
        <v>0</v>
      </c>
      <c r="Q72" s="0"/>
    </row>
    <row r="73" customFormat="false" ht="12.75" hidden="false" customHeight="false" outlineLevel="0" collapsed="false">
      <c r="A73" s="94" t="s">
        <v>324</v>
      </c>
      <c r="B73" s="79" t="s">
        <v>231</v>
      </c>
      <c r="C73" s="87" t="n">
        <v>3.07647809555056</v>
      </c>
      <c r="D73" s="87" t="n">
        <v>2.99536623141852</v>
      </c>
      <c r="E73" s="87" t="n">
        <v>3.75520233031182</v>
      </c>
      <c r="F73" s="87" t="n">
        <v>3.10064456314937</v>
      </c>
      <c r="G73" s="87" t="n">
        <v>3.87186078262616</v>
      </c>
      <c r="H73" s="87"/>
      <c r="I73" s="114"/>
      <c r="J73" s="87" t="n">
        <v>0.0557233881487013</v>
      </c>
      <c r="K73" s="87" t="n">
        <v>-0.204973400538126</v>
      </c>
      <c r="L73" s="87" t="n">
        <v>2.23717033551701</v>
      </c>
      <c r="M73" s="87" t="n">
        <v>0.133395385511016</v>
      </c>
      <c r="N73" s="87" t="n">
        <v>2.61211528613504</v>
      </c>
      <c r="P73" s="89" t="n">
        <f aca="false">'Revenue Allocation'!$AB71</f>
        <v>3.82688239654187</v>
      </c>
      <c r="Q73" s="0"/>
    </row>
    <row r="74" customFormat="false" ht="12.75" hidden="false" customHeight="false" outlineLevel="0" collapsed="false">
      <c r="A74" s="94" t="s">
        <v>325</v>
      </c>
      <c r="B74" s="79" t="s">
        <v>231</v>
      </c>
      <c r="C74" s="87" t="n">
        <v>3.07647809555056</v>
      </c>
      <c r="D74" s="87" t="n">
        <v>2.77861689858076</v>
      </c>
      <c r="E74" s="87" t="n">
        <v>3.88484999496655</v>
      </c>
      <c r="F74" s="87" t="n">
        <v>3.10064456314937</v>
      </c>
      <c r="G74" s="87" t="n">
        <v>3.03808816314963</v>
      </c>
      <c r="H74" s="87"/>
      <c r="I74" s="114"/>
      <c r="J74" s="87" t="n">
        <v>2.31864036368132</v>
      </c>
      <c r="K74" s="87" t="n">
        <v>1.36130251483057</v>
      </c>
      <c r="L74" s="87" t="n">
        <v>4.91678011176267</v>
      </c>
      <c r="M74" s="87" t="n">
        <v>2.39631236104364</v>
      </c>
      <c r="N74" s="87" t="n">
        <v>2.19525357924576</v>
      </c>
      <c r="P74" s="89" t="n">
        <f aca="false">'Revenue Allocation'!$AB72</f>
        <v>3.82688239654187</v>
      </c>
      <c r="Q74" s="0"/>
    </row>
    <row r="75" customFormat="false" ht="12.75" hidden="false" customHeight="false" outlineLevel="0" collapsed="false">
      <c r="A75" s="94" t="s">
        <v>326</v>
      </c>
      <c r="B75" s="79" t="s">
        <v>231</v>
      </c>
      <c r="C75" s="87" t="n">
        <v>3.07647809555056</v>
      </c>
      <c r="D75" s="87" t="n">
        <v>2.92728972615901</v>
      </c>
      <c r="E75" s="87" t="n">
        <v>3.95777680633484</v>
      </c>
      <c r="F75" s="87" t="n">
        <v>3.10064456314937</v>
      </c>
      <c r="G75" s="87" t="n">
        <v>3.93729110721879</v>
      </c>
      <c r="H75" s="87"/>
      <c r="I75" s="114"/>
      <c r="J75" s="87" t="n">
        <v>2.02681744705149</v>
      </c>
      <c r="K75" s="87" t="n">
        <v>1.54732003658033</v>
      </c>
      <c r="L75" s="87" t="n">
        <v>4.85934689553392</v>
      </c>
      <c r="M75" s="87" t="n">
        <v>2.10448944441381</v>
      </c>
      <c r="N75" s="87" t="n">
        <v>4.793505035891</v>
      </c>
      <c r="P75" s="89" t="n">
        <f aca="false">'Revenue Allocation'!$AB73</f>
        <v>3.82688239654187</v>
      </c>
      <c r="Q75" s="0"/>
    </row>
    <row r="76" customFormat="false" ht="12.75" hidden="false" customHeight="false" outlineLevel="0" collapsed="false">
      <c r="A76" s="94" t="s">
        <v>327</v>
      </c>
      <c r="B76" s="79" t="s">
        <v>231</v>
      </c>
      <c r="C76" s="87" t="n">
        <v>3.07647809555056</v>
      </c>
      <c r="D76" s="87" t="n">
        <v>2.74966482163131</v>
      </c>
      <c r="E76" s="87" t="n">
        <v>3.75555463374839</v>
      </c>
      <c r="F76" s="87" t="n">
        <v>3.10064456314937</v>
      </c>
      <c r="G76" s="87" t="n">
        <v>2.88284804631731</v>
      </c>
      <c r="H76" s="87"/>
      <c r="I76" s="114"/>
      <c r="J76" s="87" t="n">
        <v>2.50432542434277</v>
      </c>
      <c r="K76" s="87" t="n">
        <v>1.45393443749178</v>
      </c>
      <c r="L76" s="87" t="n">
        <v>4.68690468910431</v>
      </c>
      <c r="M76" s="87" t="n">
        <v>2.58199742170508</v>
      </c>
      <c r="N76" s="87" t="n">
        <v>1.88199067012966</v>
      </c>
      <c r="P76" s="89" t="n">
        <f aca="false">'Revenue Allocation'!$AB74</f>
        <v>3.82688239654187</v>
      </c>
      <c r="Q76" s="0"/>
    </row>
    <row r="77" customFormat="false" ht="12.75" hidden="false" customHeight="false" outlineLevel="0" collapsed="false">
      <c r="A77" s="94" t="s">
        <v>328</v>
      </c>
      <c r="B77" s="79" t="s">
        <v>231</v>
      </c>
      <c r="C77" s="87" t="n">
        <v>3.07610993650113</v>
      </c>
      <c r="D77" s="87" t="n">
        <v>2.95745282246876</v>
      </c>
      <c r="E77" s="87" t="n">
        <v>3.67302833280472</v>
      </c>
      <c r="F77" s="87" t="n">
        <v>3.100273512123</v>
      </c>
      <c r="G77" s="87" t="n">
        <v>3.4687256850032</v>
      </c>
      <c r="H77" s="87"/>
      <c r="I77" s="114"/>
      <c r="J77" s="87" t="n">
        <v>2.99067531940764</v>
      </c>
      <c r="K77" s="87" t="n">
        <v>2.60930658976372</v>
      </c>
      <c r="L77" s="87" t="n">
        <v>4.90919501673724</v>
      </c>
      <c r="M77" s="87" t="n">
        <v>3.0683380218399</v>
      </c>
      <c r="N77" s="87" t="n">
        <v>4.25255810212545</v>
      </c>
      <c r="P77" s="89" t="n">
        <f aca="false">'Revenue Allocation'!$AB75</f>
        <v>3.82688239654187</v>
      </c>
      <c r="Q77" s="0"/>
    </row>
    <row r="78" customFormat="false" ht="12.75" hidden="false" customHeight="false" outlineLevel="0" collapsed="false">
      <c r="A78" s="94" t="s">
        <v>329</v>
      </c>
      <c r="B78" s="79"/>
      <c r="C78" s="87" t="n">
        <v>3.08888693779007</v>
      </c>
      <c r="D78" s="87" t="n">
        <v>2.95402407282356</v>
      </c>
      <c r="E78" s="87" t="n">
        <v>3.75584607566482</v>
      </c>
      <c r="F78" s="87" t="n">
        <v>3.11315087979781</v>
      </c>
      <c r="G78" s="87" t="n">
        <v>4.52073726488909</v>
      </c>
      <c r="H78" s="87"/>
      <c r="I78" s="114"/>
      <c r="J78" s="87" t="n">
        <v>0.547582501531689</v>
      </c>
      <c r="K78" s="87" t="n">
        <v>0.114127837579647</v>
      </c>
      <c r="L78" s="87" t="n">
        <v>2.6912159550329</v>
      </c>
      <c r="M78" s="87" t="n">
        <v>0.625567785558744</v>
      </c>
      <c r="N78" s="87" t="n">
        <v>5.14960695441882</v>
      </c>
      <c r="P78" s="89" t="n">
        <f aca="false">'Revenue Allocation'!$AB76</f>
        <v>3.82688239654187</v>
      </c>
      <c r="Q78" s="0"/>
    </row>
    <row r="79" customFormat="false" ht="12.75" hidden="false" customHeight="false" outlineLevel="0" collapsed="false">
      <c r="A79" s="94" t="s">
        <v>330</v>
      </c>
      <c r="B79" s="79" t="s">
        <v>231</v>
      </c>
      <c r="C79" s="87" t="n">
        <v>3.07647809555056</v>
      </c>
      <c r="D79" s="87" t="n">
        <v>2.93980954321823</v>
      </c>
      <c r="E79" s="87" t="n">
        <v>3.52867122060261</v>
      </c>
      <c r="F79" s="87" t="n">
        <v>3.10064456314937</v>
      </c>
      <c r="G79" s="87" t="n">
        <v>3.94308503974448</v>
      </c>
      <c r="H79" s="87"/>
      <c r="I79" s="114"/>
      <c r="J79" s="87" t="n">
        <v>1.26202812164369</v>
      </c>
      <c r="K79" s="87" t="n">
        <v>0.822769905983438</v>
      </c>
      <c r="L79" s="87" t="n">
        <v>2.71539498515742</v>
      </c>
      <c r="M79" s="87" t="n">
        <v>1.33970011900601</v>
      </c>
      <c r="N79" s="87" t="n">
        <v>4.04733764229894</v>
      </c>
      <c r="P79" s="89" t="n">
        <f aca="false">'Revenue Allocation'!$AB77</f>
        <v>3.82688239654187</v>
      </c>
      <c r="Q79" s="0"/>
    </row>
    <row r="80" customFormat="false" ht="12.75" hidden="false" customHeight="false" outlineLevel="0" collapsed="false">
      <c r="A80" s="94" t="s">
        <v>331</v>
      </c>
      <c r="B80" s="79" t="s">
        <v>231</v>
      </c>
      <c r="C80" s="87" t="n">
        <v>3.07647809555056</v>
      </c>
      <c r="D80" s="87" t="n">
        <v>2.93980954321823</v>
      </c>
      <c r="E80" s="87" t="n">
        <v>3.52867122060261</v>
      </c>
      <c r="F80" s="87" t="n">
        <v>3.10064456314937</v>
      </c>
      <c r="G80" s="87" t="n">
        <v>3.94308503974448</v>
      </c>
      <c r="H80" s="87"/>
      <c r="I80" s="114"/>
      <c r="J80" s="87" t="n">
        <v>1.93966449082693</v>
      </c>
      <c r="K80" s="87" t="n">
        <v>1.50040627516668</v>
      </c>
      <c r="L80" s="87" t="n">
        <v>3.39303135434066</v>
      </c>
      <c r="M80" s="87" t="n">
        <v>2.01733648818925</v>
      </c>
      <c r="N80" s="87" t="n">
        <v>4.72497401148219</v>
      </c>
      <c r="P80" s="89" t="n">
        <f aca="false">'Revenue Allocation'!$AB78</f>
        <v>3.82688239654187</v>
      </c>
      <c r="Q80" s="0"/>
    </row>
    <row r="81" customFormat="false" ht="12.75" hidden="true" customHeight="false" outlineLevel="0" collapsed="false">
      <c r="A81" s="94" t="s">
        <v>332</v>
      </c>
      <c r="B81" s="79" t="s">
        <v>231</v>
      </c>
      <c r="C81" s="87" t="n">
        <v>0</v>
      </c>
      <c r="D81" s="87" t="n">
        <v>0</v>
      </c>
      <c r="E81" s="87" t="n">
        <v>0</v>
      </c>
      <c r="F81" s="87" t="n">
        <v>0</v>
      </c>
      <c r="G81" s="87" t="n">
        <v>0</v>
      </c>
      <c r="H81" s="87"/>
      <c r="I81" s="114"/>
      <c r="J81" s="87" t="n">
        <v>0</v>
      </c>
      <c r="K81" s="87" t="n">
        <v>0</v>
      </c>
      <c r="L81" s="87" t="n">
        <v>0</v>
      </c>
      <c r="M81" s="87" t="n">
        <v>0</v>
      </c>
      <c r="N81" s="87" t="n">
        <v>0</v>
      </c>
      <c r="P81" s="89" t="n">
        <f aca="false">'Revenue Allocation'!$AB79</f>
        <v>0</v>
      </c>
      <c r="Q81" s="0"/>
    </row>
    <row r="82" customFormat="false" ht="12.75" hidden="true" customHeight="false" outlineLevel="0" collapsed="false">
      <c r="A82" s="94" t="s">
        <v>332</v>
      </c>
      <c r="B82" s="79" t="s">
        <v>234</v>
      </c>
      <c r="C82" s="87" t="n">
        <v>0</v>
      </c>
      <c r="D82" s="87" t="n">
        <v>0</v>
      </c>
      <c r="E82" s="87" t="n">
        <v>0</v>
      </c>
      <c r="F82" s="87" t="n">
        <v>0</v>
      </c>
      <c r="G82" s="87" t="n">
        <v>0</v>
      </c>
      <c r="H82" s="87"/>
      <c r="I82" s="114"/>
      <c r="J82" s="87" t="n">
        <v>0</v>
      </c>
      <c r="K82" s="87" t="n">
        <v>0</v>
      </c>
      <c r="L82" s="87" t="n">
        <v>0</v>
      </c>
      <c r="M82" s="87" t="n">
        <v>0</v>
      </c>
      <c r="N82" s="87" t="n">
        <v>0</v>
      </c>
      <c r="P82" s="89" t="n">
        <f aca="false">'Revenue Allocation'!$AB80</f>
        <v>0</v>
      </c>
      <c r="Q82" s="0"/>
    </row>
    <row r="83" customFormat="false" ht="12.75" hidden="false" customHeight="false" outlineLevel="0" collapsed="false">
      <c r="A83" s="94" t="s">
        <v>333</v>
      </c>
      <c r="B83" s="79"/>
      <c r="C83" s="87" t="n">
        <v>3.07647809555056</v>
      </c>
      <c r="D83" s="87" t="n">
        <v>2.93967268384195</v>
      </c>
      <c r="E83" s="87" t="n">
        <v>3.52850488343776</v>
      </c>
      <c r="F83" s="87" t="n">
        <v>3.1005762809154</v>
      </c>
      <c r="G83" s="87" t="n">
        <v>3.94308503974448</v>
      </c>
      <c r="H83" s="87"/>
      <c r="I83" s="114"/>
      <c r="J83" s="87" t="n">
        <v>1.6755074411228</v>
      </c>
      <c r="K83" s="87" t="n">
        <v>1.23580935393107</v>
      </c>
      <c r="L83" s="87" t="n">
        <v>3.12833969030877</v>
      </c>
      <c r="M83" s="87" t="n">
        <v>1.75295997664299</v>
      </c>
      <c r="N83" s="87" t="n">
        <v>4.46081696177806</v>
      </c>
      <c r="P83" s="89" t="n">
        <f aca="false">'Revenue Allocation'!$AB81</f>
        <v>3.82688239654187</v>
      </c>
      <c r="Q83" s="0"/>
    </row>
    <row r="84" customFormat="false" ht="12.75" hidden="false" customHeight="false" outlineLevel="0" collapsed="false">
      <c r="A84" s="94" t="s">
        <v>334</v>
      </c>
      <c r="B84" s="79" t="s">
        <v>231</v>
      </c>
      <c r="C84" s="87" t="n">
        <v>3.07647809555056</v>
      </c>
      <c r="D84" s="87" t="n">
        <v>2.93980954321823</v>
      </c>
      <c r="E84" s="87" t="n">
        <v>3.52867122060261</v>
      </c>
      <c r="F84" s="87" t="n">
        <v>3.10064456314937</v>
      </c>
      <c r="G84" s="87" t="n">
        <v>3.94308503974448</v>
      </c>
      <c r="H84" s="87"/>
      <c r="I84" s="114"/>
      <c r="J84" s="87" t="n">
        <v>2.844471326537</v>
      </c>
      <c r="K84" s="87" t="n">
        <v>2.40521311087675</v>
      </c>
      <c r="L84" s="87" t="n">
        <v>4.29783819005073</v>
      </c>
      <c r="M84" s="87" t="n">
        <v>2.92214332389932</v>
      </c>
      <c r="N84" s="87" t="n">
        <v>5.62978084719225</v>
      </c>
      <c r="P84" s="89" t="n">
        <f aca="false">'Revenue Allocation'!$AB82</f>
        <v>3.82688239654187</v>
      </c>
      <c r="Q84" s="0"/>
    </row>
    <row r="85" customFormat="false" ht="12.75" hidden="true" customHeight="false" outlineLevel="0" collapsed="false">
      <c r="A85" s="97" t="s">
        <v>335</v>
      </c>
      <c r="B85" s="79" t="s">
        <v>231</v>
      </c>
      <c r="C85" s="87" t="n">
        <v>3.07963775813997</v>
      </c>
      <c r="D85" s="87" t="n">
        <v>3.00862538773146</v>
      </c>
      <c r="E85" s="87" t="n">
        <v>3.70898060131719</v>
      </c>
      <c r="F85" s="87" t="n">
        <v>3.10382904564038</v>
      </c>
      <c r="G85" s="87" t="n">
        <v>4.04737204557497</v>
      </c>
      <c r="H85" s="87"/>
      <c r="I85" s="114"/>
      <c r="J85" s="87" t="n">
        <v>3.8191354353005</v>
      </c>
      <c r="K85" s="87" t="n">
        <v>6.0701052172878</v>
      </c>
      <c r="L85" s="87" t="n">
        <v>4.12512381509775</v>
      </c>
      <c r="M85" s="87" t="e">
        <f aca="false"/>
        <v>#VALUE!</v>
      </c>
      <c r="N85" s="87" t="e">
        <f aca="false"/>
        <v>#VALUE!</v>
      </c>
      <c r="P85" s="89" t="n">
        <f aca="false">'Revenue Allocation'!$AB83</f>
        <v>3.83081275351725</v>
      </c>
      <c r="Q85" s="0"/>
    </row>
    <row r="86" customFormat="false" ht="12.75" hidden="true" customHeight="false" outlineLevel="0" collapsed="false">
      <c r="A86" s="97" t="s">
        <v>335</v>
      </c>
      <c r="B86" s="79" t="s">
        <v>234</v>
      </c>
      <c r="C86" s="87" t="n">
        <v>3.07647809555056</v>
      </c>
      <c r="D86" s="87" t="n">
        <v>2.85921322089949</v>
      </c>
      <c r="E86" s="87" t="n">
        <v>3.52162515187137</v>
      </c>
      <c r="F86" s="87" t="n">
        <v>3.02920114003533</v>
      </c>
      <c r="G86" s="87" t="n">
        <v>4.0519957370679</v>
      </c>
      <c r="H86" s="87"/>
      <c r="I86" s="114"/>
      <c r="J86" s="87" t="n">
        <v>3.35369770481239</v>
      </c>
      <c r="K86" s="87" t="n">
        <v>5.48271625271678</v>
      </c>
      <c r="L86" s="87" t="n">
        <v>3.90004570344957</v>
      </c>
      <c r="M86" s="87" t="e">
        <f aca="false"/>
        <v>#VALUE!</v>
      </c>
      <c r="N86" s="87" t="e">
        <f aca="false"/>
        <v>#VALUE!</v>
      </c>
      <c r="P86" s="89" t="n">
        <f aca="false">'Revenue Allocation'!$AB84</f>
        <v>3.82688239654187</v>
      </c>
      <c r="Q86" s="0"/>
    </row>
    <row r="87" customFormat="false" ht="12.75" hidden="true" customHeight="false" outlineLevel="0" collapsed="false">
      <c r="A87" s="97" t="s">
        <v>335</v>
      </c>
      <c r="B87" s="79" t="s">
        <v>236</v>
      </c>
      <c r="C87" s="87" t="n">
        <v>3.07647809555056</v>
      </c>
      <c r="D87" s="87" t="n">
        <v>2.7997440898682</v>
      </c>
      <c r="E87" s="87" t="n">
        <v>3.44482300270091</v>
      </c>
      <c r="F87" s="87" t="n">
        <v>2.91489166305287</v>
      </c>
      <c r="G87" s="87" t="n">
        <v>4.0519957370679</v>
      </c>
      <c r="H87" s="87"/>
      <c r="I87" s="114"/>
      <c r="J87" s="87" t="n">
        <v>3.16256152946056</v>
      </c>
      <c r="K87" s="87" t="n">
        <v>5.23587106099004</v>
      </c>
      <c r="L87" s="87" t="n">
        <v>3.53265045388054</v>
      </c>
      <c r="M87" s="87" t="e">
        <f aca="false"/>
        <v>#VALUE!</v>
      </c>
      <c r="N87" s="87" t="e">
        <f aca="false"/>
        <v>#VALUE!</v>
      </c>
      <c r="P87" s="89" t="n">
        <f aca="false">'Revenue Allocation'!$AB85</f>
        <v>3.82688239654187</v>
      </c>
      <c r="Q87" s="0"/>
    </row>
    <row r="88" customFormat="false" ht="12.75" hidden="false" customHeight="false" outlineLevel="0" collapsed="false">
      <c r="A88" s="97" t="s">
        <v>336</v>
      </c>
      <c r="B88" s="84"/>
      <c r="C88" s="87" t="n">
        <v>3.07647809555056</v>
      </c>
      <c r="D88" s="87" t="n">
        <v>2.99297855908474</v>
      </c>
      <c r="E88" s="87" t="n">
        <v>3.68934715775292</v>
      </c>
      <c r="F88" s="87" t="n">
        <v>3.09169466747114</v>
      </c>
      <c r="G88" s="87" t="n">
        <v>3.45702327216736</v>
      </c>
      <c r="H88" s="87"/>
      <c r="I88" s="114"/>
      <c r="J88" s="87" t="n">
        <v>4.04385497310059</v>
      </c>
      <c r="K88" s="87" t="n">
        <v>3.77548410964663</v>
      </c>
      <c r="L88" s="87" t="n">
        <v>6.01364075119068</v>
      </c>
      <c r="M88" s="87" t="n">
        <v>4.09276164633475</v>
      </c>
      <c r="N88" s="87" t="n">
        <v>5.2669424530378</v>
      </c>
      <c r="P88" s="89" t="n">
        <f aca="false">'Revenue Allocation'!$AB86</f>
        <v>3.82688239654187</v>
      </c>
      <c r="Q88" s="0"/>
    </row>
    <row r="89" customFormat="false" ht="12.75" hidden="false" customHeight="false" outlineLevel="0" collapsed="false">
      <c r="A89" s="94" t="s">
        <v>337</v>
      </c>
      <c r="B89" s="79" t="s">
        <v>231</v>
      </c>
      <c r="C89" s="90" t="n">
        <v>3.07647809555056</v>
      </c>
      <c r="D89" s="90" t="n">
        <v>3.00553858277913</v>
      </c>
      <c r="E89" s="90" t="n">
        <v>3.70517524232005</v>
      </c>
      <c r="F89" s="90" t="n">
        <v>3.10064456314937</v>
      </c>
      <c r="G89" s="90" t="n">
        <v>3.45702327216736</v>
      </c>
      <c r="H89" s="90"/>
      <c r="I89" s="115"/>
      <c r="J89" s="90" t="n">
        <v>4.132332160297</v>
      </c>
      <c r="K89" s="90" t="n">
        <v>3.90432971739404</v>
      </c>
      <c r="L89" s="90" t="n">
        <v>6.15299003782495</v>
      </c>
      <c r="M89" s="90" t="n">
        <v>4.21000415765932</v>
      </c>
      <c r="N89" s="90" t="n">
        <v>5.35541964023421</v>
      </c>
      <c r="P89" s="89" t="n">
        <f aca="false">'Revenue Allocation'!$AB87</f>
        <v>3.82688239654187</v>
      </c>
      <c r="Q89" s="0"/>
    </row>
    <row r="90" customFormat="false" ht="12.75" hidden="false" customHeight="false" outlineLevel="0" collapsed="false">
      <c r="A90" s="100" t="s">
        <v>338</v>
      </c>
      <c r="B90" s="84"/>
      <c r="C90" s="87" t="n">
        <v>3.07641113363146</v>
      </c>
      <c r="D90" s="87" t="n">
        <v>2.8974393773933</v>
      </c>
      <c r="E90" s="87" t="n">
        <v>3.76222233560358</v>
      </c>
      <c r="F90" s="87" t="n">
        <v>3.10057707522847</v>
      </c>
      <c r="G90" s="87" t="n">
        <v>3.45757144013861</v>
      </c>
      <c r="H90" s="87"/>
      <c r="I90" s="114"/>
      <c r="J90" s="87" t="n">
        <v>1.59089328235883</v>
      </c>
      <c r="K90" s="87" t="n">
        <v>1.01567087049341</v>
      </c>
      <c r="L90" s="87" t="n">
        <v>3.79511802694789</v>
      </c>
      <c r="M90" s="87" t="n">
        <v>1.6685635891302</v>
      </c>
      <c r="N90" s="87" t="n">
        <v>2.81595781446655</v>
      </c>
      <c r="P90" s="89" t="n">
        <f aca="false">'Revenue Allocation'!$AB88</f>
        <v>3.82688239654187</v>
      </c>
      <c r="Q90" s="0"/>
    </row>
    <row r="91" customFormat="false" ht="12.75" hidden="false" customHeight="false" outlineLevel="0" collapsed="false">
      <c r="A91" s="100" t="s">
        <v>339</v>
      </c>
      <c r="B91" s="84"/>
      <c r="C91" s="90" t="n">
        <v>3.07751658766516</v>
      </c>
      <c r="D91" s="90" t="n">
        <v>2.98216731352198</v>
      </c>
      <c r="E91" s="90" t="n">
        <v>3.67095666191423</v>
      </c>
      <c r="F91" s="90" t="n">
        <v>3.09533365148495</v>
      </c>
      <c r="G91" s="90" t="n">
        <v>3.6209766881179</v>
      </c>
      <c r="H91" s="90"/>
      <c r="I91" s="115"/>
      <c r="J91" s="90" t="n">
        <v>3.40362405471444</v>
      </c>
      <c r="K91" s="90" t="n">
        <v>3.09716765849252</v>
      </c>
      <c r="L91" s="90" t="n">
        <v>5.31096428527508</v>
      </c>
      <c r="M91" s="90" t="n">
        <v>3.46088881334564</v>
      </c>
      <c r="N91" s="90" t="n">
        <v>5.15032664235094</v>
      </c>
      <c r="P91" s="89" t="n">
        <f aca="false">'Revenue Allocation'!$AB89</f>
        <v>3.82688239654187</v>
      </c>
      <c r="Q91" s="0"/>
    </row>
    <row r="92" customFormat="false" ht="12.75" hidden="false" customHeight="false" outlineLevel="0" collapsed="false">
      <c r="A92" s="95" t="s">
        <v>340</v>
      </c>
      <c r="B92" s="98"/>
      <c r="C92" s="87" t="n">
        <v>3.07736816462765</v>
      </c>
      <c r="D92" s="87" t="n">
        <v>2.97079137453333</v>
      </c>
      <c r="E92" s="87" t="n">
        <v>3.68321038581081</v>
      </c>
      <c r="F92" s="87" t="n">
        <v>3.09603765622439</v>
      </c>
      <c r="G92" s="87" t="n">
        <v>3.59903719311338</v>
      </c>
      <c r="H92" s="87"/>
      <c r="I92" s="114"/>
      <c r="J92" s="87" t="n">
        <v>3.16023898467264</v>
      </c>
      <c r="K92" s="87" t="n">
        <v>2.8176969012986</v>
      </c>
      <c r="L92" s="87" t="n">
        <v>5.10744021353654</v>
      </c>
      <c r="M92" s="87" t="n">
        <v>3.22024348041157</v>
      </c>
      <c r="N92" s="87" t="n">
        <v>4.83690419190083</v>
      </c>
      <c r="P92" s="89" t="n">
        <f aca="false">'Revenue Allocation'!$AB90</f>
        <v>3.82688239654187</v>
      </c>
      <c r="Q92" s="0"/>
    </row>
    <row r="93" customFormat="false" ht="12.75" hidden="false" customHeight="false" outlineLevel="0" collapsed="false">
      <c r="A93" s="85"/>
      <c r="B93" s="82"/>
      <c r="C93" s="87" t="n">
        <v>0</v>
      </c>
      <c r="D93" s="87" t="n">
        <v>0</v>
      </c>
      <c r="E93" s="87" t="n">
        <v>0</v>
      </c>
      <c r="F93" s="87" t="n">
        <v>0</v>
      </c>
      <c r="G93" s="87" t="n">
        <v>0</v>
      </c>
      <c r="H93" s="87"/>
      <c r="I93" s="116"/>
      <c r="J93" s="87" t="n">
        <v>0</v>
      </c>
      <c r="K93" s="87" t="n">
        <v>0</v>
      </c>
      <c r="L93" s="87" t="n">
        <v>0</v>
      </c>
      <c r="M93" s="87" t="n">
        <v>0</v>
      </c>
      <c r="N93" s="87" t="n">
        <v>0</v>
      </c>
      <c r="P93" s="89" t="n">
        <f aca="false">'Revenue Allocation'!$AB91</f>
        <v>0</v>
      </c>
      <c r="Q93" s="0"/>
    </row>
    <row r="94" customFormat="false" ht="12.75" hidden="false" customHeight="false" outlineLevel="0" collapsed="false">
      <c r="A94" s="85" t="s">
        <v>341</v>
      </c>
      <c r="B94" s="82"/>
      <c r="C94" s="87" t="n">
        <v>0</v>
      </c>
      <c r="D94" s="87" t="n">
        <v>0</v>
      </c>
      <c r="E94" s="87" t="n">
        <v>0</v>
      </c>
      <c r="F94" s="87" t="n">
        <v>0</v>
      </c>
      <c r="G94" s="87" t="n">
        <v>0</v>
      </c>
      <c r="H94" s="87"/>
      <c r="I94" s="116"/>
      <c r="J94" s="87" t="n">
        <v>0</v>
      </c>
      <c r="K94" s="87" t="n">
        <v>0</v>
      </c>
      <c r="L94" s="87" t="n">
        <v>0</v>
      </c>
      <c r="M94" s="87" t="n">
        <v>0</v>
      </c>
      <c r="N94" s="87" t="n">
        <v>0</v>
      </c>
      <c r="P94" s="89" t="n">
        <f aca="false">'Revenue Allocation'!$AB92</f>
        <v>0</v>
      </c>
      <c r="Q94" s="0"/>
    </row>
    <row r="95" customFormat="false" ht="12.75" hidden="false" customHeight="false" outlineLevel="0" collapsed="false">
      <c r="A95" s="94" t="s">
        <v>342</v>
      </c>
      <c r="B95" s="82" t="s">
        <v>236</v>
      </c>
      <c r="C95" s="87" t="n">
        <v>3.07647809555056</v>
      </c>
      <c r="D95" s="87" t="n">
        <v>2.81774132689083</v>
      </c>
      <c r="E95" s="87" t="n">
        <v>2.74162534332363</v>
      </c>
      <c r="F95" s="87" t="n">
        <v>2.91489166305287</v>
      </c>
      <c r="G95" s="87" t="n">
        <v>1.95591139004195</v>
      </c>
      <c r="H95" s="87"/>
      <c r="I95" s="114"/>
      <c r="J95" s="87" t="n">
        <v>4.61532720365385</v>
      </c>
      <c r="K95" s="87" t="n">
        <v>3.7837368385872</v>
      </c>
      <c r="L95" s="87" t="n">
        <v>3.53909701066505</v>
      </c>
      <c r="M95" s="87" t="n">
        <v>4.09598192046649</v>
      </c>
      <c r="N95" s="87" t="n">
        <v>1.0137808113785</v>
      </c>
      <c r="P95" s="89" t="n">
        <f aca="false">'Revenue Allocation'!$AB93</f>
        <v>3.82688239654187</v>
      </c>
      <c r="Q95" s="0"/>
    </row>
    <row r="96" customFormat="false" ht="12.75" hidden="false" customHeight="false" outlineLevel="0" collapsed="false">
      <c r="A96" s="94" t="s">
        <v>343</v>
      </c>
      <c r="B96" s="82" t="s">
        <v>236</v>
      </c>
      <c r="C96" s="90" t="n">
        <v>3.07658186276352</v>
      </c>
      <c r="D96" s="90" t="n">
        <v>2.81783636711386</v>
      </c>
      <c r="E96" s="90" t="n">
        <v>2.74171781621375</v>
      </c>
      <c r="F96" s="90" t="n">
        <v>2.91498998008116</v>
      </c>
      <c r="G96" s="90" t="n">
        <v>1.95597736141163</v>
      </c>
      <c r="H96" s="90"/>
      <c r="I96" s="115"/>
      <c r="J96" s="90" t="n">
        <v>5.70292989101465</v>
      </c>
      <c r="K96" s="90" t="n">
        <v>4.87131147705188</v>
      </c>
      <c r="L96" s="90" t="n">
        <v>4.62666339761864</v>
      </c>
      <c r="M96" s="90" t="n">
        <v>5.18356709071489</v>
      </c>
      <c r="N96" s="90" t="n">
        <v>2.10126202138113</v>
      </c>
      <c r="P96" s="89" t="n">
        <f aca="false">'Revenue Allocation'!$AB94</f>
        <v>3.82688239654187</v>
      </c>
      <c r="Q96" s="0"/>
    </row>
    <row r="97" customFormat="false" ht="12.75" hidden="false" customHeight="false" outlineLevel="0" collapsed="false">
      <c r="A97" s="97" t="s">
        <v>344</v>
      </c>
      <c r="B97" s="98" t="s">
        <v>236</v>
      </c>
      <c r="C97" s="87" t="n">
        <v>3.07647809555056</v>
      </c>
      <c r="D97" s="87" t="n">
        <v>2.81774132689083</v>
      </c>
      <c r="E97" s="87" t="n">
        <v>2.74162534332364</v>
      </c>
      <c r="F97" s="87" t="n">
        <v>2.91489166305288</v>
      </c>
      <c r="G97" s="87" t="n">
        <v>1.95591139004196</v>
      </c>
      <c r="H97" s="87"/>
      <c r="I97" s="114"/>
      <c r="J97" s="87" t="n">
        <v>5.07315029904218</v>
      </c>
      <c r="K97" s="87" t="n">
        <v>4.24155993397553</v>
      </c>
      <c r="L97" s="87" t="n">
        <v>3.99692010605338</v>
      </c>
      <c r="M97" s="87" t="n">
        <v>4.55380501585482</v>
      </c>
      <c r="N97" s="87" t="n">
        <v>1.47160390676681</v>
      </c>
      <c r="P97" s="89" t="n">
        <f aca="false">'Revenue Allocation'!$AB95</f>
        <v>3.82688239654187</v>
      </c>
      <c r="Q97" s="0"/>
    </row>
    <row r="98" customFormat="false" ht="12.75" hidden="false" customHeight="false" outlineLevel="0" collapsed="false">
      <c r="A98" s="94"/>
      <c r="B98" s="82"/>
      <c r="C98" s="87" t="n">
        <v>0</v>
      </c>
      <c r="D98" s="87" t="n">
        <v>0</v>
      </c>
      <c r="E98" s="87" t="n">
        <v>0</v>
      </c>
      <c r="F98" s="87" t="n">
        <v>0</v>
      </c>
      <c r="G98" s="87" t="n">
        <v>0</v>
      </c>
      <c r="H98" s="87"/>
      <c r="I98" s="116"/>
      <c r="J98" s="87" t="n">
        <v>0</v>
      </c>
      <c r="K98" s="87" t="n">
        <v>0</v>
      </c>
      <c r="L98" s="87" t="n">
        <v>0</v>
      </c>
      <c r="M98" s="87" t="n">
        <v>0</v>
      </c>
      <c r="N98" s="87" t="n">
        <v>0</v>
      </c>
      <c r="P98" s="89" t="n">
        <f aca="false">'Revenue Allocation'!$AB96</f>
        <v>0</v>
      </c>
      <c r="Q98" s="0"/>
    </row>
    <row r="99" customFormat="false" ht="12.75" hidden="false" customHeight="false" outlineLevel="0" collapsed="false">
      <c r="A99" s="94" t="s">
        <v>342</v>
      </c>
      <c r="B99" s="82" t="s">
        <v>234</v>
      </c>
      <c r="C99" s="87" t="n">
        <v>3.07647809555056</v>
      </c>
      <c r="D99" s="87" t="n">
        <v>2.90616253487157</v>
      </c>
      <c r="E99" s="87" t="n">
        <v>2.83709957463187</v>
      </c>
      <c r="F99" s="87" t="n">
        <v>3.02920114003533</v>
      </c>
      <c r="G99" s="87" t="n">
        <v>2.28868781534508</v>
      </c>
      <c r="H99" s="87"/>
      <c r="I99" s="114"/>
      <c r="J99" s="87" t="n">
        <v>3.75046891498265</v>
      </c>
      <c r="K99" s="87" t="n">
        <v>3.20306786326807</v>
      </c>
      <c r="L99" s="87" t="n">
        <v>2.98109673556242</v>
      </c>
      <c r="M99" s="87" t="n">
        <v>3.59851888136432</v>
      </c>
      <c r="N99" s="87" t="n">
        <v>1.21847931757994</v>
      </c>
      <c r="P99" s="89" t="n">
        <f aca="false">'Revenue Allocation'!$AB97</f>
        <v>3.82688239654187</v>
      </c>
      <c r="Q99" s="0"/>
    </row>
    <row r="100" customFormat="false" ht="12.75" hidden="false" customHeight="false" outlineLevel="0" collapsed="false">
      <c r="A100" s="94" t="s">
        <v>343</v>
      </c>
      <c r="B100" s="82" t="s">
        <v>234</v>
      </c>
      <c r="C100" s="90" t="n">
        <v>3.08235708402113</v>
      </c>
      <c r="D100" s="90" t="n">
        <v>2.91171605922815</v>
      </c>
      <c r="E100" s="90" t="n">
        <v>2.84252112328949</v>
      </c>
      <c r="F100" s="90" t="n">
        <v>3.03498978472065</v>
      </c>
      <c r="G100" s="90" t="n">
        <v>2.29306137786081</v>
      </c>
      <c r="H100" s="90"/>
      <c r="I100" s="115"/>
      <c r="J100" s="90" t="n">
        <v>4.84919178508713</v>
      </c>
      <c r="K100" s="90" t="n">
        <v>4.30074467863988</v>
      </c>
      <c r="L100" s="90" t="n">
        <v>4.07834937573777</v>
      </c>
      <c r="M100" s="90" t="n">
        <v>4.6969513829149</v>
      </c>
      <c r="N100" s="90" t="n">
        <v>2.31236368820924</v>
      </c>
      <c r="P100" s="89" t="n">
        <f aca="false">'Revenue Allocation'!$AB98</f>
        <v>3.82688239654187</v>
      </c>
      <c r="Q100" s="0"/>
    </row>
    <row r="101" customFormat="false" ht="12.75" hidden="false" customHeight="false" outlineLevel="0" collapsed="false">
      <c r="A101" s="97" t="s">
        <v>344</v>
      </c>
      <c r="B101" s="98" t="s">
        <v>234</v>
      </c>
      <c r="C101" s="87" t="n">
        <v>3.07647809555056</v>
      </c>
      <c r="D101" s="87" t="n">
        <v>2.90616253487157</v>
      </c>
      <c r="E101" s="87" t="n">
        <v>2.83709957463187</v>
      </c>
      <c r="F101" s="87" t="n">
        <v>3.02920114003533</v>
      </c>
      <c r="G101" s="87" t="n">
        <v>2.28868781534508</v>
      </c>
      <c r="H101" s="87"/>
      <c r="I101" s="114"/>
      <c r="J101" s="87" t="n">
        <v>3.93311960259776</v>
      </c>
      <c r="K101" s="87" t="n">
        <v>3.38571855088318</v>
      </c>
      <c r="L101" s="87" t="n">
        <v>3.16374742317753</v>
      </c>
      <c r="M101" s="87" t="n">
        <v>3.78116956897944</v>
      </c>
      <c r="N101" s="87" t="n">
        <v>1.40113000519505</v>
      </c>
      <c r="P101" s="89" t="n">
        <f aca="false">'Revenue Allocation'!$AB99</f>
        <v>3.82688239654187</v>
      </c>
      <c r="Q101" s="0"/>
    </row>
    <row r="102" customFormat="false" ht="12.75" hidden="false" customHeight="false" outlineLevel="0" collapsed="false">
      <c r="A102" s="94"/>
      <c r="B102" s="82"/>
      <c r="C102" s="87" t="n">
        <v>0</v>
      </c>
      <c r="D102" s="87" t="n">
        <v>0</v>
      </c>
      <c r="E102" s="87" t="n">
        <v>0</v>
      </c>
      <c r="F102" s="87" t="n">
        <v>0</v>
      </c>
      <c r="G102" s="87" t="n">
        <v>0</v>
      </c>
      <c r="H102" s="87"/>
      <c r="I102" s="116"/>
      <c r="J102" s="87" t="n">
        <v>0</v>
      </c>
      <c r="K102" s="87" t="n">
        <v>0</v>
      </c>
      <c r="L102" s="87" t="n">
        <v>0</v>
      </c>
      <c r="M102" s="87" t="n">
        <v>0</v>
      </c>
      <c r="N102" s="87" t="n">
        <v>0</v>
      </c>
      <c r="P102" s="89" t="n">
        <f aca="false">'Revenue Allocation'!$AB100</f>
        <v>0</v>
      </c>
      <c r="Q102" s="0"/>
    </row>
    <row r="103" customFormat="false" ht="12.75" hidden="false" customHeight="false" outlineLevel="0" collapsed="false">
      <c r="A103" s="94" t="s">
        <v>342</v>
      </c>
      <c r="B103" s="82" t="s">
        <v>231</v>
      </c>
      <c r="C103" s="87" t="n">
        <v>3.07647809555045</v>
      </c>
      <c r="D103" s="87" t="n">
        <v>3.13151924193743</v>
      </c>
      <c r="E103" s="87" t="n">
        <v>3.06997214619909</v>
      </c>
      <c r="F103" s="87" t="n">
        <v>3.10064456314927</v>
      </c>
      <c r="G103" s="87" t="n">
        <v>2.51491536818706</v>
      </c>
      <c r="H103" s="87"/>
      <c r="I103" s="114"/>
      <c r="J103" s="87" t="n">
        <v>3.33919218363587</v>
      </c>
      <c r="K103" s="87" t="n">
        <v>3.51609663851771</v>
      </c>
      <c r="L103" s="87" t="n">
        <v>3.31828180114857</v>
      </c>
      <c r="M103" s="87" t="n">
        <v>3.41686418099818</v>
      </c>
      <c r="N103" s="87" t="n">
        <v>1.53430702612625</v>
      </c>
      <c r="P103" s="89" t="n">
        <f aca="false">'Revenue Allocation'!$AB101</f>
        <v>3.82688239654174</v>
      </c>
      <c r="Q103" s="0"/>
    </row>
    <row r="104" customFormat="false" ht="12.75" hidden="false" customHeight="false" outlineLevel="0" collapsed="false">
      <c r="A104" s="94" t="s">
        <v>343</v>
      </c>
      <c r="B104" s="82" t="s">
        <v>231</v>
      </c>
      <c r="C104" s="90" t="n">
        <v>3.07647809555056</v>
      </c>
      <c r="D104" s="90" t="n">
        <v>3.13151924193754</v>
      </c>
      <c r="E104" s="90" t="n">
        <v>3.0699721461992</v>
      </c>
      <c r="F104" s="90" t="n">
        <v>3.10064456314937</v>
      </c>
      <c r="G104" s="90" t="n">
        <v>2.51491536818715</v>
      </c>
      <c r="H104" s="90"/>
      <c r="I104" s="115"/>
      <c r="J104" s="90" t="n">
        <v>4.4561654240827</v>
      </c>
      <c r="K104" s="90" t="n">
        <v>4.63306987896455</v>
      </c>
      <c r="L104" s="90" t="n">
        <v>4.4352550415954</v>
      </c>
      <c r="M104" s="90" t="n">
        <v>4.53383742144502</v>
      </c>
      <c r="N104" s="90" t="n">
        <v>2.65128026657302</v>
      </c>
      <c r="P104" s="89" t="n">
        <f aca="false">'Revenue Allocation'!$AB102</f>
        <v>3.82688239654187</v>
      </c>
      <c r="Q104" s="0"/>
    </row>
    <row r="105" customFormat="false" ht="12.75" hidden="false" customHeight="false" outlineLevel="0" collapsed="false">
      <c r="A105" s="97" t="s">
        <v>344</v>
      </c>
      <c r="B105" s="98" t="s">
        <v>231</v>
      </c>
      <c r="C105" s="87" t="n">
        <v>3.07647809555056</v>
      </c>
      <c r="D105" s="87" t="n">
        <v>3.13151924193754</v>
      </c>
      <c r="E105" s="87" t="n">
        <v>3.0699721461992</v>
      </c>
      <c r="F105" s="87" t="n">
        <v>3.10064456314937</v>
      </c>
      <c r="G105" s="87" t="n">
        <v>2.51491536818715</v>
      </c>
      <c r="H105" s="87"/>
      <c r="I105" s="114"/>
      <c r="J105" s="87" t="n">
        <v>3.39604887424572</v>
      </c>
      <c r="K105" s="87" t="n">
        <v>3.57295332912757</v>
      </c>
      <c r="L105" s="87" t="n">
        <v>3.37513849175842</v>
      </c>
      <c r="M105" s="87" t="n">
        <v>3.47372087160804</v>
      </c>
      <c r="N105" s="87" t="n">
        <v>1.59116371673605</v>
      </c>
      <c r="P105" s="89" t="n">
        <f aca="false">'Revenue Allocation'!$AB103</f>
        <v>3.82688239654175</v>
      </c>
      <c r="Q105" s="0"/>
    </row>
    <row r="106" customFormat="false" ht="12.75" hidden="false" customHeight="false" outlineLevel="0" collapsed="false">
      <c r="A106" s="94"/>
      <c r="B106" s="79"/>
      <c r="C106" s="87" t="n">
        <v>0</v>
      </c>
      <c r="D106" s="87" t="n">
        <v>0</v>
      </c>
      <c r="E106" s="87" t="n">
        <v>0</v>
      </c>
      <c r="F106" s="87" t="n">
        <v>0</v>
      </c>
      <c r="G106" s="87" t="n">
        <v>0</v>
      </c>
      <c r="H106" s="87"/>
      <c r="I106" s="116"/>
      <c r="J106" s="87" t="n">
        <v>0</v>
      </c>
      <c r="K106" s="87" t="n">
        <v>0</v>
      </c>
      <c r="L106" s="87" t="n">
        <v>0</v>
      </c>
      <c r="M106" s="87" t="n">
        <v>0</v>
      </c>
      <c r="N106" s="87" t="n">
        <v>0</v>
      </c>
      <c r="P106" s="89" t="n">
        <f aca="false">'Revenue Allocation'!$AB104</f>
        <v>0</v>
      </c>
      <c r="Q106" s="0"/>
    </row>
    <row r="107" customFormat="false" ht="12.75" hidden="false" customHeight="false" outlineLevel="0" collapsed="false">
      <c r="A107" s="100" t="s">
        <v>345</v>
      </c>
      <c r="B107" s="84"/>
      <c r="C107" s="87" t="n">
        <v>3.08021380040005</v>
      </c>
      <c r="D107" s="87" t="n">
        <v>2.91550004414152</v>
      </c>
      <c r="E107" s="87" t="n">
        <v>2.84479221739028</v>
      </c>
      <c r="F107" s="87" t="n">
        <v>2.99783230724152</v>
      </c>
      <c r="G107" s="87" t="n">
        <v>2.19296857977758</v>
      </c>
      <c r="H107" s="87"/>
      <c r="I107" s="114"/>
      <c r="J107" s="87" t="n">
        <v>4.321382170338</v>
      </c>
      <c r="K107" s="87" t="n">
        <v>3.79198554299329</v>
      </c>
      <c r="L107" s="87" t="n">
        <v>3.56472774826344</v>
      </c>
      <c r="M107" s="87" t="n">
        <v>4.05660474297308</v>
      </c>
      <c r="N107" s="87" t="n">
        <v>1.46974040043011</v>
      </c>
      <c r="P107" s="89" t="n">
        <f aca="false">'Revenue Allocation'!$AB105</f>
        <v>3.8315293020888</v>
      </c>
      <c r="Q107" s="0"/>
    </row>
    <row r="108" customFormat="false" ht="12.75" hidden="false" customHeight="false" outlineLevel="0" collapsed="false">
      <c r="A108" s="92"/>
      <c r="B108" s="79"/>
      <c r="C108" s="87" t="n">
        <v>0</v>
      </c>
      <c r="D108" s="87" t="n">
        <v>0</v>
      </c>
      <c r="E108" s="87" t="n">
        <v>0</v>
      </c>
      <c r="F108" s="87" t="n">
        <v>0</v>
      </c>
      <c r="G108" s="87" t="n">
        <v>0</v>
      </c>
      <c r="H108" s="87"/>
      <c r="I108" s="116"/>
      <c r="J108" s="87" t="n">
        <v>0</v>
      </c>
      <c r="K108" s="87" t="n">
        <v>0</v>
      </c>
      <c r="L108" s="87" t="n">
        <v>0</v>
      </c>
      <c r="M108" s="87" t="n">
        <v>0</v>
      </c>
      <c r="N108" s="87" t="n">
        <v>0</v>
      </c>
      <c r="P108" s="89" t="n">
        <f aca="false">'Revenue Allocation'!$AB106</f>
        <v>0</v>
      </c>
      <c r="Q108" s="0"/>
    </row>
    <row r="109" customFormat="false" ht="12.75" hidden="false" customHeight="false" outlineLevel="0" collapsed="false">
      <c r="A109" s="94" t="s">
        <v>346</v>
      </c>
      <c r="B109" s="82" t="s">
        <v>236</v>
      </c>
      <c r="C109" s="87" t="n">
        <v>3.08534402666165</v>
      </c>
      <c r="D109" s="87" t="n">
        <v>2.82586161889916</v>
      </c>
      <c r="E109" s="87" t="n">
        <v>2.74952628091246</v>
      </c>
      <c r="F109" s="87" t="n">
        <v>2.92329192721152</v>
      </c>
      <c r="G109" s="87" t="n">
        <v>1.96154802228991</v>
      </c>
      <c r="H109" s="87"/>
      <c r="I109" s="114"/>
      <c r="J109" s="87" t="n">
        <v>3.75816773815703</v>
      </c>
      <c r="K109" s="87" t="n">
        <v>2.92418085907001</v>
      </c>
      <c r="L109" s="87" t="n">
        <v>2.67883601723454</v>
      </c>
      <c r="M109" s="87" t="n">
        <v>3.23732578268383</v>
      </c>
      <c r="N109" s="87" t="n">
        <v>0.146242249650332</v>
      </c>
      <c r="P109" s="89" t="n">
        <f aca="false">'Revenue Allocation'!$AB107</f>
        <v>3.82688239654187</v>
      </c>
      <c r="Q109" s="0"/>
    </row>
    <row r="110" customFormat="false" ht="12.75" hidden="false" customHeight="false" outlineLevel="0" collapsed="false">
      <c r="A110" s="92"/>
      <c r="B110" s="82" t="s">
        <v>231</v>
      </c>
      <c r="C110" s="90" t="n">
        <v>3.07647809555056</v>
      </c>
      <c r="D110" s="90" t="n">
        <v>3.13151924193754</v>
      </c>
      <c r="E110" s="90" t="n">
        <v>3.0699721461992</v>
      </c>
      <c r="F110" s="90" t="n">
        <v>3.10064456314937</v>
      </c>
      <c r="G110" s="90" t="n">
        <v>2.51491536818715</v>
      </c>
      <c r="H110" s="90"/>
      <c r="I110" s="115"/>
      <c r="J110" s="90" t="n">
        <v>4.00898271688402</v>
      </c>
      <c r="K110" s="90" t="n">
        <v>4.18588717176587</v>
      </c>
      <c r="L110" s="90" t="n">
        <v>3.98807233439672</v>
      </c>
      <c r="M110" s="90" t="n">
        <v>4.08665471424633</v>
      </c>
      <c r="N110" s="90" t="n">
        <v>2.20409755937434</v>
      </c>
      <c r="P110" s="89" t="n">
        <f aca="false">'Revenue Allocation'!$AB108</f>
        <v>3.82688239654187</v>
      </c>
      <c r="Q110" s="0"/>
    </row>
    <row r="111" customFormat="false" ht="12.75" hidden="false" customHeight="false" outlineLevel="0" collapsed="false">
      <c r="A111" s="97" t="s">
        <v>347</v>
      </c>
      <c r="B111" s="84"/>
      <c r="C111" s="87" t="n">
        <v>3.0765644204096</v>
      </c>
      <c r="D111" s="87" t="n">
        <v>3.12854314716598</v>
      </c>
      <c r="E111" s="87" t="n">
        <v>3.06685206283675</v>
      </c>
      <c r="F111" s="87" t="n">
        <v>3.09891773478733</v>
      </c>
      <c r="G111" s="87" t="n">
        <v>2.50952739962119</v>
      </c>
      <c r="H111" s="87"/>
      <c r="I111" s="114"/>
      <c r="J111" s="87" t="n">
        <v>4.00654060816316</v>
      </c>
      <c r="K111" s="87" t="n">
        <v>4.17360232336873</v>
      </c>
      <c r="L111" s="87" t="n">
        <v>3.97532470088604</v>
      </c>
      <c r="M111" s="87" t="n">
        <v>4.0783850582586</v>
      </c>
      <c r="N111" s="87" t="n">
        <v>2.18406085174372</v>
      </c>
      <c r="P111" s="89" t="n">
        <f aca="false">'Revenue Allocation'!$AB109</f>
        <v>3.82688239654187</v>
      </c>
      <c r="Q111" s="0"/>
    </row>
    <row r="112" customFormat="false" ht="12.75" hidden="false" customHeight="false" outlineLevel="0" collapsed="false">
      <c r="A112" s="94"/>
      <c r="B112" s="79"/>
      <c r="C112" s="87" t="n">
        <v>0</v>
      </c>
      <c r="D112" s="87" t="n">
        <v>0</v>
      </c>
      <c r="E112" s="87" t="n">
        <v>0</v>
      </c>
      <c r="F112" s="87" t="n">
        <v>0</v>
      </c>
      <c r="G112" s="87" t="n">
        <v>0</v>
      </c>
      <c r="H112" s="87"/>
      <c r="I112" s="116"/>
      <c r="J112" s="87" t="n">
        <v>0</v>
      </c>
      <c r="K112" s="87" t="n">
        <v>0</v>
      </c>
      <c r="L112" s="87" t="n">
        <v>0</v>
      </c>
      <c r="M112" s="87" t="n">
        <v>0</v>
      </c>
      <c r="N112" s="87" t="n">
        <v>0</v>
      </c>
      <c r="P112" s="89" t="n">
        <f aca="false">'Revenue Allocation'!$AB110</f>
        <v>0</v>
      </c>
      <c r="Q112" s="0"/>
    </row>
    <row r="113" customFormat="false" ht="12.75" hidden="false" customHeight="false" outlineLevel="0" collapsed="false">
      <c r="A113" s="100" t="s">
        <v>348</v>
      </c>
      <c r="B113" s="84" t="s">
        <v>236</v>
      </c>
      <c r="C113" s="87" t="n">
        <v>3.07647809555056</v>
      </c>
      <c r="D113" s="87" t="n">
        <v>2.81774132689083</v>
      </c>
      <c r="E113" s="87" t="n">
        <v>2.74162534332364</v>
      </c>
      <c r="F113" s="87" t="n">
        <v>2.91489166305288</v>
      </c>
      <c r="G113" s="87" t="n">
        <v>1.95591139004196</v>
      </c>
      <c r="H113" s="87"/>
      <c r="I113" s="114"/>
      <c r="J113" s="87" t="n">
        <v>5.07249546283818</v>
      </c>
      <c r="K113" s="87" t="n">
        <v>4.24090509777153</v>
      </c>
      <c r="L113" s="87" t="n">
        <v>3.99626526984938</v>
      </c>
      <c r="M113" s="87" t="n">
        <v>4.55315017965082</v>
      </c>
      <c r="N113" s="87" t="n">
        <v>1.47094907056281</v>
      </c>
      <c r="P113" s="89" t="n">
        <f aca="false">'Revenue Allocation'!$AB111</f>
        <v>3.82688239654188</v>
      </c>
      <c r="Q113" s="0"/>
    </row>
    <row r="114" customFormat="false" ht="12.75" hidden="false" customHeight="false" outlineLevel="0" collapsed="false">
      <c r="A114" s="100"/>
      <c r="B114" s="84" t="s">
        <v>234</v>
      </c>
      <c r="C114" s="87" t="n">
        <v>3.07647809555056</v>
      </c>
      <c r="D114" s="87" t="n">
        <v>2.90616253487157</v>
      </c>
      <c r="E114" s="87" t="n">
        <v>2.83709957463187</v>
      </c>
      <c r="F114" s="87" t="n">
        <v>3.02920114003533</v>
      </c>
      <c r="G114" s="87" t="n">
        <v>2.28868781534508</v>
      </c>
      <c r="H114" s="87"/>
      <c r="I114" s="114"/>
      <c r="J114" s="87" t="n">
        <v>3.93311960259776</v>
      </c>
      <c r="K114" s="87" t="n">
        <v>3.38571855088318</v>
      </c>
      <c r="L114" s="87" t="n">
        <v>3.16374742317753</v>
      </c>
      <c r="M114" s="87" t="n">
        <v>3.78116956897944</v>
      </c>
      <c r="N114" s="87" t="n">
        <v>1.40113000519505</v>
      </c>
      <c r="P114" s="89" t="n">
        <f aca="false">'Revenue Allocation'!$AB112</f>
        <v>3.82688239654187</v>
      </c>
      <c r="Q114" s="0"/>
    </row>
    <row r="115" customFormat="false" ht="12.75" hidden="false" customHeight="false" outlineLevel="0" collapsed="false">
      <c r="A115" s="100"/>
      <c r="B115" s="84" t="s">
        <v>231</v>
      </c>
      <c r="C115" s="90" t="n">
        <v>3.07647809555056</v>
      </c>
      <c r="D115" s="90" t="n">
        <v>3.13151924193754</v>
      </c>
      <c r="E115" s="90" t="n">
        <v>3.0699721461992</v>
      </c>
      <c r="F115" s="90" t="n">
        <v>3.10064456314937</v>
      </c>
      <c r="G115" s="90" t="n">
        <v>2.51491536818715</v>
      </c>
      <c r="H115" s="90"/>
      <c r="I115" s="115"/>
      <c r="J115" s="90" t="n">
        <v>3.45714543866538</v>
      </c>
      <c r="K115" s="90" t="n">
        <v>3.63404989354723</v>
      </c>
      <c r="L115" s="90" t="n">
        <v>3.43623505617808</v>
      </c>
      <c r="M115" s="90" t="n">
        <v>3.5348174360277</v>
      </c>
      <c r="N115" s="90" t="n">
        <v>1.6522602811557</v>
      </c>
      <c r="P115" s="89" t="n">
        <f aca="false">'Revenue Allocation'!$AB113</f>
        <v>3.82688239654187</v>
      </c>
      <c r="Q115" s="0"/>
    </row>
    <row r="116" customFormat="false" ht="12.75" hidden="false" customHeight="false" outlineLevel="0" collapsed="false">
      <c r="A116" s="100" t="s">
        <v>348</v>
      </c>
      <c r="B116" s="84"/>
      <c r="C116" s="87" t="n">
        <v>3.07647809555056</v>
      </c>
      <c r="D116" s="87" t="n">
        <v>2.91654390282601</v>
      </c>
      <c r="E116" s="87" t="n">
        <v>2.8461107995846</v>
      </c>
      <c r="F116" s="87" t="n">
        <v>2.99641001690511</v>
      </c>
      <c r="G116" s="87" t="n">
        <v>2.1970603985834</v>
      </c>
      <c r="H116" s="87"/>
      <c r="I116" s="114"/>
      <c r="J116" s="87" t="n">
        <v>4.30958929709138</v>
      </c>
      <c r="K116" s="87" t="n">
        <v>3.79555437888708</v>
      </c>
      <c r="L116" s="87" t="n">
        <v>3.56917955655047</v>
      </c>
      <c r="M116" s="87" t="n">
        <v>4.05224727687577</v>
      </c>
      <c r="N116" s="87" t="n">
        <v>1.48310550255671</v>
      </c>
      <c r="P116" s="89" t="n">
        <f aca="false">'Revenue Allocation'!$AB114</f>
        <v>3.82688239654187</v>
      </c>
      <c r="Q116" s="0"/>
    </row>
    <row r="117" customFormat="false" ht="12.75" hidden="false" customHeight="false" outlineLevel="0" collapsed="false">
      <c r="A117" s="92"/>
      <c r="B117" s="79"/>
      <c r="C117" s="87" t="n">
        <v>0</v>
      </c>
      <c r="D117" s="87" t="n">
        <v>0</v>
      </c>
      <c r="E117" s="87" t="n">
        <v>0</v>
      </c>
      <c r="F117" s="87" t="n">
        <v>0</v>
      </c>
      <c r="G117" s="87" t="n">
        <v>0</v>
      </c>
      <c r="H117" s="87"/>
      <c r="I117" s="116"/>
      <c r="J117" s="87" t="n">
        <v>0</v>
      </c>
      <c r="K117" s="87" t="n">
        <v>0</v>
      </c>
      <c r="L117" s="87" t="n">
        <v>0</v>
      </c>
      <c r="M117" s="87" t="n">
        <v>0</v>
      </c>
      <c r="N117" s="87" t="n">
        <v>0</v>
      </c>
      <c r="P117" s="89" t="n">
        <f aca="false">'Revenue Allocation'!$AB115</f>
        <v>0</v>
      </c>
      <c r="Q117" s="0"/>
    </row>
    <row r="118" customFormat="false" ht="12.75" hidden="false" customHeight="false" outlineLevel="0" collapsed="false">
      <c r="A118" s="94" t="s">
        <v>349</v>
      </c>
      <c r="B118" s="82" t="s">
        <v>236</v>
      </c>
      <c r="C118" s="87" t="n">
        <v>3.0764866687812</v>
      </c>
      <c r="D118" s="87" t="n">
        <v>2.81774917909895</v>
      </c>
      <c r="E118" s="87" t="n">
        <v>2.74163298341911</v>
      </c>
      <c r="F118" s="87" t="n">
        <v>2.91489978599012</v>
      </c>
      <c r="G118" s="87" t="n">
        <v>1.95591684058603</v>
      </c>
      <c r="H118" s="87"/>
      <c r="I118" s="114"/>
      <c r="J118" s="87" t="n">
        <v>4.85426712009927</v>
      </c>
      <c r="K118" s="87" t="n">
        <v>4.02267443763728</v>
      </c>
      <c r="L118" s="87" t="n">
        <v>3.7780339279766</v>
      </c>
      <c r="M118" s="87" t="n">
        <v>4.33492038965087</v>
      </c>
      <c r="N118" s="87" t="n">
        <v>1.25271069138389</v>
      </c>
      <c r="P118" s="89" t="n">
        <f aca="false">'Revenue Allocation'!$AB116</f>
        <v>3.82689306092641</v>
      </c>
      <c r="Q118" s="0"/>
    </row>
    <row r="119" customFormat="false" ht="12.75" hidden="false" customHeight="false" outlineLevel="0" collapsed="false">
      <c r="A119" s="92"/>
      <c r="B119" s="82" t="s">
        <v>234</v>
      </c>
      <c r="C119" s="87" t="n">
        <v>0</v>
      </c>
      <c r="D119" s="87" t="n">
        <v>0</v>
      </c>
      <c r="E119" s="87" t="n">
        <v>0</v>
      </c>
      <c r="F119" s="87" t="n">
        <v>0</v>
      </c>
      <c r="G119" s="87" t="n">
        <v>0</v>
      </c>
      <c r="H119" s="87"/>
      <c r="I119" s="116"/>
      <c r="J119" s="87" t="n">
        <v>0</v>
      </c>
      <c r="K119" s="87" t="n">
        <v>0</v>
      </c>
      <c r="L119" s="87" t="n">
        <v>0</v>
      </c>
      <c r="M119" s="87" t="n">
        <v>0</v>
      </c>
      <c r="N119" s="87" t="n">
        <v>0</v>
      </c>
      <c r="P119" s="89" t="n">
        <f aca="false">'Revenue Allocation'!$AB117</f>
        <v>0</v>
      </c>
      <c r="Q119" s="0"/>
    </row>
    <row r="120" customFormat="false" ht="12.75" hidden="false" customHeight="false" outlineLevel="0" collapsed="false">
      <c r="A120" s="92"/>
      <c r="B120" s="82" t="s">
        <v>231</v>
      </c>
      <c r="C120" s="90" t="n">
        <v>3.07647809555056</v>
      </c>
      <c r="D120" s="90" t="n">
        <v>3.13151924193754</v>
      </c>
      <c r="E120" s="90" t="n">
        <v>3.0699721461992</v>
      </c>
      <c r="F120" s="90" t="n">
        <v>3.10064456314937</v>
      </c>
      <c r="G120" s="90" t="n">
        <v>2.51491536818715</v>
      </c>
      <c r="H120" s="90"/>
      <c r="I120" s="115"/>
      <c r="J120" s="90" t="n">
        <v>5.39940940931859</v>
      </c>
      <c r="K120" s="90" t="n">
        <v>5.57631386420044</v>
      </c>
      <c r="L120" s="90" t="n">
        <v>5.37849902683129</v>
      </c>
      <c r="M120" s="90" t="n">
        <v>5.47708140668091</v>
      </c>
      <c r="N120" s="90" t="n">
        <v>3.59452425180891</v>
      </c>
      <c r="P120" s="89" t="n">
        <f aca="false">'Revenue Allocation'!$AB118</f>
        <v>3.82688239654187</v>
      </c>
      <c r="Q120" s="0"/>
    </row>
    <row r="121" customFormat="false" ht="12.75" hidden="false" customHeight="false" outlineLevel="0" collapsed="false">
      <c r="A121" s="97" t="s">
        <v>350</v>
      </c>
      <c r="B121" s="84"/>
      <c r="C121" s="87" t="n">
        <v>3.07647809555056</v>
      </c>
      <c r="D121" s="87" t="n">
        <v>2.84085426176168</v>
      </c>
      <c r="E121" s="87" t="n">
        <v>2.76581142496289</v>
      </c>
      <c r="F121" s="87" t="n">
        <v>2.92857425343327</v>
      </c>
      <c r="G121" s="87" t="n">
        <v>1.99708771864842</v>
      </c>
      <c r="H121" s="87"/>
      <c r="I121" s="114"/>
      <c r="J121" s="87" t="n">
        <v>4.89440986339441</v>
      </c>
      <c r="K121" s="87" t="n">
        <v>4.13710539919363</v>
      </c>
      <c r="L121" s="87" t="n">
        <v>3.89591470808157</v>
      </c>
      <c r="M121" s="87" t="n">
        <v>4.419040975168</v>
      </c>
      <c r="N121" s="87" t="n">
        <v>1.42520584485794</v>
      </c>
      <c r="P121" s="89" t="n">
        <f aca="false">'Revenue Allocation'!$AB119</f>
        <v>3.82688239654187</v>
      </c>
      <c r="Q121" s="0"/>
    </row>
    <row r="122" customFormat="false" ht="12.75" hidden="false" customHeight="false" outlineLevel="0" collapsed="false">
      <c r="A122" s="92"/>
      <c r="B122" s="79"/>
      <c r="C122" s="87" t="n">
        <v>0</v>
      </c>
      <c r="D122" s="87" t="n">
        <v>0</v>
      </c>
      <c r="E122" s="87" t="n">
        <v>0</v>
      </c>
      <c r="F122" s="87" t="n">
        <v>0</v>
      </c>
      <c r="G122" s="87" t="n">
        <v>0</v>
      </c>
      <c r="H122" s="87"/>
      <c r="I122" s="116"/>
      <c r="J122" s="87" t="n">
        <v>0</v>
      </c>
      <c r="K122" s="87" t="n">
        <v>0</v>
      </c>
      <c r="L122" s="87" t="n">
        <v>0</v>
      </c>
      <c r="M122" s="87" t="n">
        <v>0</v>
      </c>
      <c r="N122" s="87" t="n">
        <v>0</v>
      </c>
      <c r="P122" s="89" t="n">
        <f aca="false">'Revenue Allocation'!$AB120</f>
        <v>0</v>
      </c>
      <c r="Q122" s="0"/>
    </row>
    <row r="123" customFormat="false" ht="12.75" hidden="false" customHeight="false" outlineLevel="0" collapsed="false">
      <c r="A123" s="100" t="s">
        <v>351</v>
      </c>
      <c r="B123" s="84" t="s">
        <v>236</v>
      </c>
      <c r="C123" s="87" t="n">
        <v>3.07647809555056</v>
      </c>
      <c r="D123" s="87" t="n">
        <v>2.81774132689083</v>
      </c>
      <c r="E123" s="87" t="n">
        <v>2.74162534332364</v>
      </c>
      <c r="F123" s="87" t="n">
        <v>2.91489166305288</v>
      </c>
      <c r="G123" s="87" t="n">
        <v>1.95591139004196</v>
      </c>
      <c r="H123" s="87"/>
      <c r="I123" s="114"/>
      <c r="J123" s="87" t="n">
        <v>5.0619186386037</v>
      </c>
      <c r="K123" s="87" t="n">
        <v>4.23032827353705</v>
      </c>
      <c r="L123" s="87" t="n">
        <v>3.9856884456149</v>
      </c>
      <c r="M123" s="87" t="n">
        <v>4.54257335541634</v>
      </c>
      <c r="N123" s="87" t="n">
        <v>1.46037224632833</v>
      </c>
      <c r="P123" s="89" t="n">
        <f aca="false">'Revenue Allocation'!$AB121</f>
        <v>3.82688239654188</v>
      </c>
      <c r="Q123" s="0"/>
    </row>
    <row r="124" customFormat="false" ht="12.75" hidden="false" customHeight="false" outlineLevel="0" collapsed="false">
      <c r="A124" s="100"/>
      <c r="B124" s="84" t="s">
        <v>234</v>
      </c>
      <c r="C124" s="87" t="n">
        <v>3.07647809555056</v>
      </c>
      <c r="D124" s="87" t="n">
        <v>2.90616253487157</v>
      </c>
      <c r="E124" s="87" t="n">
        <v>2.83709957463187</v>
      </c>
      <c r="F124" s="87" t="n">
        <v>3.02920114003533</v>
      </c>
      <c r="G124" s="87" t="n">
        <v>2.28868781534508</v>
      </c>
      <c r="H124" s="87"/>
      <c r="I124" s="114"/>
      <c r="J124" s="87" t="n">
        <v>3.93311960259776</v>
      </c>
      <c r="K124" s="87" t="n">
        <v>3.38571855088318</v>
      </c>
      <c r="L124" s="87" t="n">
        <v>3.16374742317753</v>
      </c>
      <c r="M124" s="87" t="n">
        <v>3.78116956897944</v>
      </c>
      <c r="N124" s="87" t="n">
        <v>1.40113000519505</v>
      </c>
      <c r="P124" s="89" t="n">
        <f aca="false">'Revenue Allocation'!$AB122</f>
        <v>3.82688239654187</v>
      </c>
      <c r="Q124" s="0"/>
    </row>
    <row r="125" customFormat="false" ht="12.75" hidden="false" customHeight="false" outlineLevel="0" collapsed="false">
      <c r="A125" s="100"/>
      <c r="B125" s="84" t="s">
        <v>231</v>
      </c>
      <c r="C125" s="90" t="n">
        <v>3.07647809555056</v>
      </c>
      <c r="D125" s="90" t="n">
        <v>3.13151924193754</v>
      </c>
      <c r="E125" s="90" t="n">
        <v>3.0699721461992</v>
      </c>
      <c r="F125" s="90" t="n">
        <v>3.10064456314937</v>
      </c>
      <c r="G125" s="90" t="n">
        <v>2.51491536818715</v>
      </c>
      <c r="H125" s="90"/>
      <c r="I125" s="115"/>
      <c r="J125" s="90" t="n">
        <v>3.47267394058062</v>
      </c>
      <c r="K125" s="90" t="n">
        <v>3.64957839546247</v>
      </c>
      <c r="L125" s="90" t="n">
        <v>3.45176355809332</v>
      </c>
      <c r="M125" s="90" t="n">
        <v>3.55034593794294</v>
      </c>
      <c r="N125" s="90" t="n">
        <v>1.66778878307094</v>
      </c>
      <c r="P125" s="89" t="n">
        <f aca="false">'Revenue Allocation'!$AB123</f>
        <v>3.82688239654187</v>
      </c>
      <c r="Q125" s="0"/>
    </row>
    <row r="126" customFormat="false" ht="12.75" hidden="false" customHeight="false" outlineLevel="0" collapsed="false">
      <c r="A126" s="100" t="s">
        <v>351</v>
      </c>
      <c r="B126" s="84"/>
      <c r="C126" s="87" t="n">
        <v>3.07647809555056</v>
      </c>
      <c r="D126" s="87" t="n">
        <v>2.91484260910896</v>
      </c>
      <c r="E126" s="87" t="n">
        <v>2.84430589181116</v>
      </c>
      <c r="F126" s="87" t="n">
        <v>2.99488525662665</v>
      </c>
      <c r="G126" s="87" t="n">
        <v>2.19256556601226</v>
      </c>
      <c r="H126" s="87"/>
      <c r="I126" s="114"/>
      <c r="J126" s="87" t="n">
        <v>4.32273444537135</v>
      </c>
      <c r="K126" s="87" t="n">
        <v>3.80323150083833</v>
      </c>
      <c r="L126" s="87" t="n">
        <v>3.5765236587634</v>
      </c>
      <c r="M126" s="87" t="n">
        <v>4.06049178438803</v>
      </c>
      <c r="N126" s="87" t="n">
        <v>1.48180407844534</v>
      </c>
      <c r="P126" s="89" t="n">
        <f aca="false">'Revenue Allocation'!$AB124</f>
        <v>3.82688239654187</v>
      </c>
      <c r="Q126" s="0"/>
    </row>
    <row r="127" customFormat="false" ht="12.75" hidden="false" customHeight="false" outlineLevel="0" collapsed="false">
      <c r="A127" s="92"/>
      <c r="B127" s="79"/>
      <c r="C127" s="87" t="n">
        <v>0</v>
      </c>
      <c r="D127" s="87" t="n">
        <v>0</v>
      </c>
      <c r="E127" s="87" t="n">
        <v>0</v>
      </c>
      <c r="F127" s="87" t="n">
        <v>0</v>
      </c>
      <c r="G127" s="87" t="n">
        <v>0</v>
      </c>
      <c r="H127" s="87"/>
      <c r="I127" s="116"/>
      <c r="J127" s="87" t="n">
        <v>0</v>
      </c>
      <c r="K127" s="87" t="n">
        <v>0</v>
      </c>
      <c r="L127" s="87" t="n">
        <v>0</v>
      </c>
      <c r="M127" s="87" t="n">
        <v>0</v>
      </c>
      <c r="N127" s="87" t="n">
        <v>0</v>
      </c>
      <c r="P127" s="89" t="n">
        <f aca="false">'Revenue Allocation'!$AB125</f>
        <v>0</v>
      </c>
      <c r="Q127" s="0"/>
    </row>
    <row r="128" customFormat="false" ht="12.75" hidden="true" customHeight="false" outlineLevel="0" collapsed="false">
      <c r="A128" s="92" t="s">
        <v>352</v>
      </c>
      <c r="B128" s="79" t="s">
        <v>236</v>
      </c>
      <c r="C128" s="87" t="n">
        <v>0</v>
      </c>
      <c r="D128" s="87" t="n">
        <v>0</v>
      </c>
      <c r="E128" s="87" t="n">
        <v>0</v>
      </c>
      <c r="F128" s="87" t="n">
        <v>0</v>
      </c>
      <c r="G128" s="87" t="n">
        <v>0</v>
      </c>
      <c r="H128" s="87"/>
      <c r="I128" s="114"/>
      <c r="J128" s="87" t="n">
        <v>0</v>
      </c>
      <c r="K128" s="87" t="n">
        <v>0</v>
      </c>
      <c r="L128" s="87" t="n">
        <v>0</v>
      </c>
      <c r="M128" s="87" t="n">
        <v>0</v>
      </c>
      <c r="N128" s="87" t="n">
        <v>0</v>
      </c>
      <c r="P128" s="89" t="n">
        <f aca="false">'Revenue Allocation'!$AB126</f>
        <v>0</v>
      </c>
      <c r="Q128" s="0"/>
    </row>
    <row r="129" customFormat="false" ht="12.75" hidden="true" customHeight="false" outlineLevel="0" collapsed="false">
      <c r="A129" s="92"/>
      <c r="B129" s="79" t="s">
        <v>231</v>
      </c>
      <c r="C129" s="90" t="n">
        <v>0</v>
      </c>
      <c r="D129" s="90" t="n">
        <v>0</v>
      </c>
      <c r="E129" s="90" t="n">
        <v>0</v>
      </c>
      <c r="F129" s="90" t="n">
        <v>0</v>
      </c>
      <c r="G129" s="90" t="n">
        <v>0</v>
      </c>
      <c r="H129" s="90"/>
      <c r="I129" s="115"/>
      <c r="J129" s="90" t="n">
        <v>0</v>
      </c>
      <c r="K129" s="90" t="n">
        <v>0</v>
      </c>
      <c r="L129" s="90" t="n">
        <v>0</v>
      </c>
      <c r="M129" s="90" t="n">
        <v>0</v>
      </c>
      <c r="N129" s="90" t="n">
        <v>0</v>
      </c>
      <c r="P129" s="89" t="n">
        <f aca="false">'Revenue Allocation'!$AB127</f>
        <v>0</v>
      </c>
      <c r="Q129" s="0"/>
    </row>
    <row r="130" customFormat="false" ht="12.75" hidden="true" customHeight="false" outlineLevel="0" collapsed="false">
      <c r="A130" s="100" t="s">
        <v>353</v>
      </c>
      <c r="B130" s="84"/>
      <c r="C130" s="87" t="n">
        <v>0</v>
      </c>
      <c r="D130" s="87" t="n">
        <v>0</v>
      </c>
      <c r="E130" s="87" t="n">
        <v>0</v>
      </c>
      <c r="F130" s="87" t="n">
        <v>0</v>
      </c>
      <c r="G130" s="87" t="n">
        <v>0</v>
      </c>
      <c r="H130" s="87"/>
      <c r="I130" s="114"/>
      <c r="J130" s="87" t="n">
        <v>0</v>
      </c>
      <c r="K130" s="87" t="n">
        <v>0</v>
      </c>
      <c r="L130" s="87" t="n">
        <v>0</v>
      </c>
      <c r="M130" s="87" t="n">
        <v>0</v>
      </c>
      <c r="N130" s="87" t="n">
        <v>0</v>
      </c>
      <c r="P130" s="89" t="n">
        <f aca="false">'Revenue Allocation'!$AB128</f>
        <v>0</v>
      </c>
      <c r="Q130" s="0"/>
    </row>
    <row r="131" customFormat="false" ht="12.75" hidden="true" customHeight="false" outlineLevel="0" collapsed="false">
      <c r="A131" s="101"/>
      <c r="B131" s="102"/>
      <c r="C131" s="87" t="n">
        <v>0</v>
      </c>
      <c r="D131" s="87" t="n">
        <v>0</v>
      </c>
      <c r="E131" s="87" t="n">
        <v>0</v>
      </c>
      <c r="F131" s="87" t="n">
        <v>0</v>
      </c>
      <c r="G131" s="87" t="n">
        <v>0</v>
      </c>
      <c r="H131" s="87"/>
      <c r="I131" s="116"/>
      <c r="J131" s="87" t="n">
        <v>0</v>
      </c>
      <c r="K131" s="87" t="n">
        <v>0</v>
      </c>
      <c r="L131" s="87" t="n">
        <v>0</v>
      </c>
      <c r="M131" s="87" t="n">
        <v>0</v>
      </c>
      <c r="N131" s="87" t="n">
        <v>0</v>
      </c>
      <c r="P131" s="89" t="n">
        <f aca="false">'Revenue Allocation'!$AB129</f>
        <v>0</v>
      </c>
      <c r="Q131" s="0"/>
    </row>
    <row r="132" customFormat="false" ht="12.75" hidden="true" customHeight="false" outlineLevel="0" collapsed="false">
      <c r="A132" s="103" t="s">
        <v>354</v>
      </c>
      <c r="B132" s="104"/>
      <c r="C132" s="87" t="n">
        <v>3</v>
      </c>
      <c r="D132" s="87" t="n">
        <v>3</v>
      </c>
      <c r="E132" s="87" t="n">
        <v>3</v>
      </c>
      <c r="F132" s="87" t="n">
        <v>3</v>
      </c>
      <c r="G132" s="87" t="n">
        <v>3</v>
      </c>
      <c r="H132" s="87"/>
      <c r="I132" s="114"/>
      <c r="J132" s="87" t="n">
        <v>3.00081790777033</v>
      </c>
      <c r="K132" s="87" t="n">
        <v>3.00000000052164</v>
      </c>
      <c r="L132" s="87" t="n">
        <v>3.00000000052164</v>
      </c>
      <c r="M132" s="87" t="n">
        <v>3.00000000052164</v>
      </c>
      <c r="N132" s="87" t="n">
        <v>3.00000000052164</v>
      </c>
      <c r="P132" s="89" t="n">
        <f aca="false">'Revenue Allocation'!$AB130</f>
        <v>3.73175001838298</v>
      </c>
      <c r="Q132" s="0"/>
    </row>
    <row r="133" customFormat="false" ht="12.75" hidden="false" customHeight="false" outlineLevel="0" collapsed="false">
      <c r="A133" s="103" t="s">
        <v>355</v>
      </c>
      <c r="B133" s="104"/>
      <c r="C133" s="87" t="n">
        <v>2.9890777279842</v>
      </c>
      <c r="D133" s="87" t="n">
        <v>2.9890777279842</v>
      </c>
      <c r="E133" s="87" t="n">
        <v>2.9890777279842</v>
      </c>
      <c r="F133" s="87" t="n">
        <v>2.9890777279842</v>
      </c>
      <c r="G133" s="87" t="n">
        <v>2.9890777279842</v>
      </c>
      <c r="H133" s="87"/>
      <c r="I133" s="114"/>
      <c r="J133" s="87" t="n">
        <v>2.98989265795082</v>
      </c>
      <c r="K133" s="87" t="n">
        <v>2.98907772850395</v>
      </c>
      <c r="L133" s="87" t="n">
        <v>2.98907772850395</v>
      </c>
      <c r="M133" s="87" t="n">
        <v>2.98907772850395</v>
      </c>
      <c r="N133" s="87" t="n">
        <v>2.98907772850394</v>
      </c>
      <c r="P133" s="89" t="n">
        <f aca="false">'Revenue Allocation'!$AB131</f>
        <v>3.71816362211773</v>
      </c>
      <c r="Q133" s="0"/>
    </row>
    <row r="134" customFormat="false" ht="12.75" hidden="false" customHeight="false" outlineLevel="0" collapsed="false">
      <c r="A134" s="105"/>
      <c r="B134" s="106"/>
      <c r="P134" s="76"/>
      <c r="Q134" s="0"/>
    </row>
    <row r="135" customFormat="false" ht="12.75" hidden="false" customHeight="false" outlineLevel="0" collapsed="false">
      <c r="A135" s="101"/>
      <c r="B135" s="106"/>
      <c r="P135" s="76"/>
      <c r="Q135" s="0"/>
    </row>
    <row r="136" customFormat="false" ht="12.75" hidden="false" customHeight="false" outlineLevel="0" collapsed="false">
      <c r="A136" s="105"/>
      <c r="B136" s="106"/>
      <c r="P136" s="76"/>
      <c r="Q136" s="0"/>
    </row>
    <row r="137" customFormat="false" ht="12.75" hidden="false" customHeight="false" outlineLevel="0" collapsed="false">
      <c r="A137" s="105"/>
      <c r="B137" s="106"/>
      <c r="P137" s="76"/>
      <c r="Q137" s="0"/>
    </row>
    <row r="138" customFormat="false" ht="12.75" hidden="false" customHeight="false" outlineLevel="0" collapsed="false">
      <c r="A138" s="105"/>
      <c r="B138" s="106"/>
      <c r="P138" s="76"/>
      <c r="Q138" s="0"/>
    </row>
    <row r="139" customFormat="false" ht="12.75" hidden="false" customHeight="false" outlineLevel="0" collapsed="false">
      <c r="A139" s="105"/>
      <c r="B139" s="106"/>
      <c r="P139" s="76"/>
      <c r="Q139" s="0"/>
    </row>
    <row r="140" customFormat="false" ht="12.75" hidden="false" customHeight="false" outlineLevel="0" collapsed="false">
      <c r="A140" s="105"/>
      <c r="B140" s="106"/>
      <c r="P140" s="76"/>
      <c r="Q140" s="0"/>
    </row>
    <row r="141" customFormat="false" ht="12.75" hidden="false" customHeight="false" outlineLevel="0" collapsed="false">
      <c r="A141" s="105"/>
      <c r="B141" s="106"/>
      <c r="P141" s="76"/>
      <c r="Q141" s="0"/>
    </row>
    <row r="142" customFormat="false" ht="12.75" hidden="false" customHeight="false" outlineLevel="0" collapsed="false">
      <c r="A142" s="105"/>
      <c r="B142" s="106"/>
      <c r="P142" s="76"/>
      <c r="Q142" s="0"/>
    </row>
    <row r="143" customFormat="false" ht="12.75" hidden="false" customHeight="false" outlineLevel="0" collapsed="false">
      <c r="A143" s="105"/>
      <c r="B143" s="106"/>
      <c r="P143" s="76"/>
      <c r="Q143" s="0"/>
    </row>
    <row r="144" customFormat="false" ht="12.75" hidden="false" customHeight="false" outlineLevel="0" collapsed="false">
      <c r="A144" s="105"/>
      <c r="B144" s="106"/>
      <c r="P144" s="76"/>
      <c r="Q144" s="0"/>
    </row>
    <row r="145" customFormat="false" ht="12.75" hidden="false" customHeight="false" outlineLevel="0" collapsed="false">
      <c r="A145" s="105"/>
      <c r="B145" s="106"/>
    </row>
    <row r="146" customFormat="false" ht="12.75" hidden="false" customHeight="false" outlineLevel="0" collapsed="false">
      <c r="A146" s="105"/>
      <c r="B146" s="106"/>
    </row>
    <row r="147" customFormat="false" ht="12.75" hidden="false" customHeight="false" outlineLevel="0" collapsed="false">
      <c r="A147" s="105"/>
      <c r="B147" s="106"/>
    </row>
    <row r="148" customFormat="false" ht="12.75" hidden="false" customHeight="false" outlineLevel="0" collapsed="false">
      <c r="A148" s="105"/>
      <c r="B148" s="106"/>
    </row>
    <row r="149" customFormat="false" ht="12.75" hidden="false" customHeight="false" outlineLevel="0" collapsed="false">
      <c r="A149" s="105"/>
      <c r="B149" s="106"/>
    </row>
    <row r="150" customFormat="false" ht="12.75" hidden="false" customHeight="false" outlineLevel="0" collapsed="false">
      <c r="A150" s="105"/>
      <c r="B150" s="106"/>
    </row>
    <row r="151" customFormat="false" ht="12.75" hidden="false" customHeight="false" outlineLevel="0" collapsed="false">
      <c r="A151" s="105"/>
      <c r="B151" s="106"/>
    </row>
    <row r="152" customFormat="false" ht="12.75" hidden="false" customHeight="false" outlineLevel="0" collapsed="false">
      <c r="A152" s="105"/>
      <c r="B152" s="106"/>
    </row>
    <row r="153" customFormat="false" ht="12.75" hidden="false" customHeight="false" outlineLevel="0" collapsed="false">
      <c r="A153" s="105"/>
      <c r="B153" s="106"/>
    </row>
    <row r="154" customFormat="false" ht="12.75" hidden="false" customHeight="false" outlineLevel="0" collapsed="false">
      <c r="A154" s="105"/>
      <c r="B154" s="106"/>
    </row>
    <row r="155" customFormat="false" ht="12.75" hidden="false" customHeight="false" outlineLevel="0" collapsed="false">
      <c r="A155" s="105"/>
      <c r="B155" s="106"/>
    </row>
  </sheetData>
  <mergeCells count="2">
    <mergeCell ref="C1:I1"/>
    <mergeCell ref="K1:N1"/>
  </mergeCells>
  <printOptions headings="false" gridLines="false" gridLinesSet="true" horizontalCentered="true" verticalCentered="false"/>
  <pageMargins left="0.25" right="0.25" top="0.75" bottom="0.479861111111111" header="0.25" footer="0.220138888888889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&amp;CPacific Gas and Electric Company
Summary of  RSP Surcharge Rates
(cents per kWh)</oddHeader>
    <oddFooter>&amp;L&amp;D
&amp;T&amp;CPage &amp;P&amp;R&amp;F
&amp;A</oddFooter>
  </headerFooter>
  <colBreaks count="1" manualBreakCount="1">
    <brk id="9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32"/>
    <col collapsed="false" customWidth="true" hidden="false" outlineLevel="0" max="2" min="2" style="0" width="5.99"/>
    <col collapsed="false" customWidth="true" hidden="false" outlineLevel="0" max="3" min="3" style="0" width="32.82"/>
    <col collapsed="false" customWidth="true" hidden="false" outlineLevel="0" max="4" min="4" style="0" width="22.15"/>
    <col collapsed="false" customWidth="true" hidden="false" outlineLevel="0" max="10" min="10" style="0" width="14.82"/>
  </cols>
  <sheetData>
    <row r="1" customFormat="false" ht="12.75" hidden="false" customHeight="false" outlineLevel="0" collapsed="false">
      <c r="A1" s="41" t="s">
        <v>359</v>
      </c>
    </row>
    <row r="2" customFormat="false" ht="12.75" hidden="false" customHeight="false" outlineLevel="0" collapsed="false">
      <c r="A2" s="41"/>
    </row>
    <row r="3" customFormat="false" ht="12.75" hidden="false" customHeight="false" outlineLevel="0" collapsed="false">
      <c r="A3" s="41" t="s">
        <v>360</v>
      </c>
    </row>
    <row r="4" customFormat="false" ht="12.75" hidden="false" customHeight="false" outlineLevel="0" collapsed="false">
      <c r="A4" s="41"/>
    </row>
    <row r="5" customFormat="false" ht="12.75" hidden="false" customHeight="false" outlineLevel="0" collapsed="false">
      <c r="A5" s="0" t="s">
        <v>361</v>
      </c>
      <c r="B5" s="67"/>
      <c r="C5" s="69"/>
      <c r="D5" s="88" t="n">
        <f aca="false">'Test Year 2001 Sales and Revs.'!I132/'Test Year 2001 Sales and Revs.'!F132</f>
        <v>0.0351748891419735</v>
      </c>
    </row>
    <row r="7" customFormat="false" ht="12.75" hidden="false" customHeight="false" outlineLevel="0" collapsed="false">
      <c r="C7" s="0" t="s">
        <v>362</v>
      </c>
      <c r="D7" s="117" t="n">
        <f aca="false">0.03*D18</f>
        <v>579368341.693229</v>
      </c>
    </row>
    <row r="8" customFormat="false" ht="12.75" hidden="false" customHeight="false" outlineLevel="0" collapsed="false">
      <c r="C8" s="0" t="s">
        <v>363</v>
      </c>
      <c r="D8" s="67" t="n">
        <v>12</v>
      </c>
    </row>
    <row r="9" customFormat="false" ht="12.75" hidden="false" customHeight="false" outlineLevel="0" collapsed="false">
      <c r="C9" s="0" t="s">
        <v>364</v>
      </c>
      <c r="D9" s="118" t="n">
        <v>0.065</v>
      </c>
    </row>
    <row r="10" customFormat="false" ht="12.75" hidden="false" customHeight="false" outlineLevel="0" collapsed="false">
      <c r="C10" s="0" t="s">
        <v>365</v>
      </c>
      <c r="D10" s="0" t="n">
        <v>7</v>
      </c>
    </row>
    <row r="12" customFormat="false" ht="12.75" hidden="false" customHeight="false" outlineLevel="0" collapsed="false">
      <c r="A12" s="41" t="s">
        <v>366</v>
      </c>
    </row>
    <row r="13" customFormat="false" ht="12.75" hidden="false" customHeight="false" outlineLevel="0" collapsed="false">
      <c r="B13" s="67"/>
      <c r="C13" s="69"/>
      <c r="D13" s="69"/>
    </row>
    <row r="14" customFormat="false" ht="13.5" hidden="false" customHeight="false" outlineLevel="0" collapsed="false">
      <c r="B14" s="67"/>
      <c r="C14" s="66" t="s">
        <v>367</v>
      </c>
      <c r="D14" s="0" t="s">
        <v>368</v>
      </c>
    </row>
    <row r="15" customFormat="false" ht="12.75" hidden="false" customHeight="false" outlineLevel="0" collapsed="false">
      <c r="B15" s="67"/>
      <c r="C15" s="42" t="s">
        <v>369</v>
      </c>
      <c r="D15" s="119" t="n">
        <v>6537723853.12732</v>
      </c>
    </row>
    <row r="16" customFormat="false" ht="12.75" hidden="false" customHeight="false" outlineLevel="0" collapsed="false">
      <c r="B16" s="67"/>
      <c r="C16" s="0" t="s">
        <v>370</v>
      </c>
      <c r="D16" s="119" t="n">
        <v>6354286776.28757</v>
      </c>
    </row>
    <row r="17" customFormat="false" ht="12.75" hidden="false" customHeight="false" outlineLevel="0" collapsed="false">
      <c r="B17" s="67"/>
      <c r="C17" s="0" t="s">
        <v>371</v>
      </c>
      <c r="D17" s="120" t="n">
        <v>6420267427.02607</v>
      </c>
    </row>
    <row r="18" customFormat="false" ht="12.75" hidden="false" customHeight="false" outlineLevel="0" collapsed="false">
      <c r="B18" s="67"/>
      <c r="C18" s="0" t="s">
        <v>372</v>
      </c>
      <c r="D18" s="69" t="n">
        <f aca="false">SUM(D15:D17)</f>
        <v>19312278056.441</v>
      </c>
    </row>
    <row r="19" customFormat="false" ht="12.75" hidden="false" customHeight="false" outlineLevel="0" collapsed="false">
      <c r="B19" s="67"/>
      <c r="D19" s="67"/>
    </row>
    <row r="20" customFormat="false" ht="12.75" hidden="false" customHeight="false" outlineLevel="0" collapsed="false">
      <c r="B20" s="67"/>
      <c r="C20" s="0" t="s">
        <v>373</v>
      </c>
      <c r="D20" s="119" t="n">
        <v>6845806719.71501</v>
      </c>
    </row>
    <row r="21" customFormat="false" ht="12.75" hidden="false" customHeight="false" outlineLevel="0" collapsed="false">
      <c r="B21" s="67"/>
      <c r="C21" s="0" t="s">
        <v>374</v>
      </c>
      <c r="D21" s="119" t="n">
        <v>7271561223.2955</v>
      </c>
    </row>
    <row r="22" customFormat="false" ht="12.75" hidden="false" customHeight="false" outlineLevel="0" collapsed="false">
      <c r="B22" s="67"/>
      <c r="C22" s="0" t="s">
        <v>375</v>
      </c>
      <c r="D22" s="119" t="n">
        <v>7572236871.32266</v>
      </c>
    </row>
    <row r="23" customFormat="false" ht="12.75" hidden="false" customHeight="false" outlineLevel="0" collapsed="false">
      <c r="B23" s="67"/>
      <c r="C23" s="0" t="s">
        <v>376</v>
      </c>
      <c r="D23" s="119" t="n">
        <v>7670251806.73834</v>
      </c>
    </row>
    <row r="24" customFormat="false" ht="12.75" hidden="false" customHeight="false" outlineLevel="0" collapsed="false">
      <c r="B24" s="67"/>
      <c r="C24" s="0" t="s">
        <v>377</v>
      </c>
      <c r="D24" s="119" t="n">
        <v>6936339220.5751</v>
      </c>
    </row>
    <row r="25" customFormat="false" ht="12.75" hidden="false" customHeight="false" outlineLevel="0" collapsed="false">
      <c r="B25" s="67"/>
      <c r="C25" s="0" t="s">
        <v>378</v>
      </c>
      <c r="D25" s="119" t="n">
        <v>6405069530.20973</v>
      </c>
    </row>
    <row r="26" customFormat="false" ht="12.75" hidden="false" customHeight="false" outlineLevel="0" collapsed="false">
      <c r="B26" s="67"/>
      <c r="C26" s="0" t="s">
        <v>379</v>
      </c>
      <c r="D26" s="120" t="n">
        <v>6770063924.83483</v>
      </c>
    </row>
    <row r="27" customFormat="false" ht="12.75" hidden="false" customHeight="false" outlineLevel="0" collapsed="false">
      <c r="B27" s="67"/>
      <c r="C27" s="121" t="s">
        <v>380</v>
      </c>
      <c r="D27" s="121" t="n">
        <f aca="false">SUM(D20:D26)</f>
        <v>49471329296.6912</v>
      </c>
    </row>
    <row r="28" customFormat="false" ht="12.75" hidden="false" customHeight="false" outlineLevel="0" collapsed="false">
      <c r="D28" s="69"/>
    </row>
    <row r="29" customFormat="false" ht="12.75" hidden="false" customHeight="false" outlineLevel="0" collapsed="false">
      <c r="D29" s="69"/>
    </row>
    <row r="30" customFormat="false" ht="12.75" hidden="false" customHeight="false" outlineLevel="0" collapsed="false">
      <c r="A30" s="69"/>
      <c r="B30" s="67"/>
      <c r="D30" s="69"/>
    </row>
    <row r="31" customFormat="false" ht="12" hidden="false" customHeight="true" outlineLevel="0" collapsed="false">
      <c r="A31" s="0" t="s">
        <v>381</v>
      </c>
      <c r="B31" s="67"/>
      <c r="J31" s="119"/>
    </row>
    <row r="32" customFormat="false" ht="12.75" hidden="false" customHeight="false" outlineLevel="0" collapsed="false">
      <c r="A32" s="0" t="s">
        <v>382</v>
      </c>
      <c r="B32" s="67"/>
      <c r="C32" s="69"/>
      <c r="D32" s="122" t="n">
        <f aca="false">'Inputs and Assumptions'!$C$7</f>
        <v>79952759337.6158</v>
      </c>
      <c r="J32" s="119"/>
    </row>
    <row r="33" customFormat="false" ht="12.75" hidden="false" customHeight="false" outlineLevel="0" collapsed="false">
      <c r="B33" s="67"/>
      <c r="C33" s="69"/>
      <c r="D33" s="69"/>
      <c r="J33" s="120"/>
    </row>
    <row r="34" customFormat="false" ht="12.75" hidden="false" customHeight="false" outlineLevel="0" collapsed="false">
      <c r="B34" s="67"/>
      <c r="C34" s="69"/>
      <c r="D34" s="69"/>
      <c r="J34" s="67"/>
    </row>
    <row r="35" customFormat="false" ht="12.75" hidden="false" customHeight="false" outlineLevel="0" collapsed="false">
      <c r="A35" s="41" t="s">
        <v>383</v>
      </c>
      <c r="B35" s="67"/>
      <c r="C35" s="69"/>
      <c r="D35" s="69"/>
    </row>
    <row r="36" customFormat="false" ht="12.75" hidden="false" customHeight="false" outlineLevel="0" collapsed="false">
      <c r="B36" s="67"/>
      <c r="J36" s="123"/>
    </row>
    <row r="37" customFormat="false" ht="14.25" hidden="false" customHeight="true" outlineLevel="0" collapsed="false">
      <c r="A37" s="0" t="s">
        <v>384</v>
      </c>
      <c r="B37" s="67"/>
      <c r="D37" s="117" t="n">
        <f aca="false">-PMT(D9/12,D8,D7,1)*D8</f>
        <v>599968944.830705</v>
      </c>
      <c r="J37" s="119"/>
    </row>
    <row r="38" customFormat="false" ht="12.75" hidden="false" customHeight="false" outlineLevel="0" collapsed="false">
      <c r="D38" s="69"/>
      <c r="J38" s="120"/>
    </row>
    <row r="39" customFormat="false" ht="13.5" hidden="false" customHeight="false" outlineLevel="0" collapsed="false">
      <c r="A39" s="66" t="s">
        <v>385</v>
      </c>
      <c r="B39" s="67"/>
      <c r="D39" s="124" t="n">
        <f aca="false">D37/D32</f>
        <v>0.00750404300991316</v>
      </c>
      <c r="J39" s="69"/>
    </row>
    <row r="40" customFormat="false" ht="12" hidden="false" customHeight="true" outlineLevel="0" collapsed="false">
      <c r="A40" s="66" t="s">
        <v>386</v>
      </c>
      <c r="D40" s="125" t="n">
        <v>0.0307647809555056</v>
      </c>
      <c r="J40" s="124"/>
    </row>
    <row r="41" customFormat="false" ht="13.5" hidden="false" customHeight="false" outlineLevel="0" collapsed="false">
      <c r="A41" s="66" t="s">
        <v>387</v>
      </c>
      <c r="D41" s="126" t="n">
        <f aca="false">SUM(D39:D40)</f>
        <v>0.0382688239654187</v>
      </c>
    </row>
  </sheetData>
  <printOptions headings="false" gridLines="false" gridLinesSet="true" horizontalCentered="true" verticalCentered="false"/>
  <pageMargins left="0.747916666666667" right="0.747916666666667" top="1.25" bottom="0.984027777777778" header="0.6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Revenue Allocation Workpapers for the 3¢ Surcharge
Development of the Revenue Requirement</oddHeader>
    <oddFooter>&amp;L&amp;D
&amp;T&amp;R&amp;F
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4"/>
  <sheetViews>
    <sheetView showFormulas="false" showGridLines="true" showRowColHeaders="true" showZeros="true" rightToLeft="false" tabSelected="false" showOutlineSymbols="true" defaultGridColor="true" view="normal" topLeftCell="A115" colorId="64" zoomScale="100" zoomScaleNormal="100" zoomScalePageLayoutView="100" workbookViewId="0">
      <selection pane="topLeft" activeCell="D115" activeCellId="0" sqref="D11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63" width="4.65"/>
    <col collapsed="false" customWidth="true" hidden="false" outlineLevel="0" max="2" min="2" style="63" width="17.82"/>
    <col collapsed="false" customWidth="true" hidden="false" outlineLevel="0" max="3" min="3" style="63" width="2.99"/>
    <col collapsed="false" customWidth="true" hidden="false" outlineLevel="0" max="4" min="4" style="127" width="12.82"/>
    <col collapsed="false" customWidth="true" hidden="false" outlineLevel="0" max="5" min="5" style="128" width="13.49"/>
    <col collapsed="false" customWidth="true" hidden="false" outlineLevel="0" max="6" min="6" style="127" width="12.15"/>
    <col collapsed="false" customWidth="true" hidden="false" outlineLevel="0" max="7" min="7" style="127" width="13.49"/>
    <col collapsed="false" customWidth="true" hidden="false" outlineLevel="0" max="9" min="8" style="127" width="12.15"/>
    <col collapsed="false" customWidth="true" hidden="false" outlineLevel="0" max="11" min="10" style="129" width="13.82"/>
    <col collapsed="false" customWidth="true" hidden="true" outlineLevel="0" max="12" min="12" style="129" width="12.49"/>
    <col collapsed="false" customWidth="true" hidden="false" outlineLevel="0" max="13" min="13" style="129" width="14.32"/>
    <col collapsed="false" customWidth="true" hidden="false" outlineLevel="0" max="14" min="14" style="129" width="14.15"/>
    <col collapsed="false" customWidth="true" hidden="false" outlineLevel="0" max="15" min="15" style="129" width="15.49"/>
    <col collapsed="false" customWidth="true" hidden="true" outlineLevel="0" max="16" min="16" style="63" width="12.65"/>
    <col collapsed="false" customWidth="true" hidden="false" outlineLevel="0" max="17" min="17" style="130" width="13.15"/>
    <col collapsed="false" customWidth="true" hidden="false" outlineLevel="0" max="18" min="18" style="63" width="10.99"/>
    <col collapsed="false" customWidth="true" hidden="false" outlineLevel="0" max="19" min="19" style="63" width="12.15"/>
    <col collapsed="false" customWidth="true" hidden="false" outlineLevel="0" max="25" min="20" style="63" width="10.99"/>
    <col collapsed="false" customWidth="true" hidden="true" outlineLevel="0" max="26" min="26" style="63" width="10.99"/>
    <col collapsed="false" customWidth="true" hidden="false" outlineLevel="0" max="27" min="27" style="131" width="10.99"/>
    <col collapsed="false" customWidth="true" hidden="false" outlineLevel="0" max="29" min="28" style="63" width="10.99"/>
    <col collapsed="false" customWidth="true" hidden="true" outlineLevel="0" max="30" min="30" style="63" width="10.99"/>
    <col collapsed="false" customWidth="true" hidden="true" outlineLevel="0" max="31" min="31" style="63" width="5.99"/>
    <col collapsed="false" customWidth="true" hidden="false" outlineLevel="0" max="32" min="32" style="132" width="11.65"/>
    <col collapsed="false" customWidth="true" hidden="true" outlineLevel="0" max="33" min="33" style="63" width="10.99"/>
    <col collapsed="false" customWidth="true" hidden="false" outlineLevel="0" max="34" min="34" style="63" width="14.65"/>
    <col collapsed="false" customWidth="true" hidden="false" outlineLevel="0" max="39" min="35" style="80" width="15.82"/>
    <col collapsed="false" customWidth="false" hidden="false" outlineLevel="0" max="257" min="40" style="63" width="9.32"/>
  </cols>
  <sheetData>
    <row r="1" customFormat="false" ht="12.75" hidden="false" customHeight="false" outlineLevel="0" collapsed="false">
      <c r="C1" s="79" t="s">
        <v>277</v>
      </c>
      <c r="D1" s="133"/>
      <c r="F1" s="134" t="n">
        <v>36892</v>
      </c>
      <c r="G1" s="133"/>
      <c r="H1" s="133"/>
      <c r="I1" s="133"/>
      <c r="K1" s="135"/>
      <c r="L1" s="135"/>
      <c r="M1" s="135"/>
      <c r="Q1" s="136"/>
      <c r="AL1" s="137"/>
    </row>
    <row r="2" customFormat="false" ht="12.75" hidden="false" customHeight="false" outlineLevel="0" collapsed="false">
      <c r="A2" s="84"/>
      <c r="B2" s="79"/>
      <c r="C2" s="79" t="s">
        <v>282</v>
      </c>
      <c r="D2" s="138" t="s">
        <v>388</v>
      </c>
      <c r="E2" s="134" t="n">
        <v>37017</v>
      </c>
      <c r="F2" s="138" t="s">
        <v>389</v>
      </c>
      <c r="G2" s="134" t="s">
        <v>390</v>
      </c>
      <c r="H2" s="134"/>
      <c r="I2" s="134"/>
      <c r="J2" s="106" t="s">
        <v>391</v>
      </c>
      <c r="K2" s="134" t="n">
        <f aca="false">F1</f>
        <v>36892</v>
      </c>
      <c r="L2" s="134"/>
      <c r="M2" s="135" t="s">
        <v>392</v>
      </c>
      <c r="N2" s="80" t="str">
        <f aca="false">CHOOSE(allocation_method,"Equal ¢","99 Loads","00 Loads","¢ by volt","100 Hrs","G equal ¢","G 99 Loads","G 00 Loads","G ¢ by volt","G 100 hrs")</f>
        <v>Equal ¢</v>
      </c>
      <c r="O2" s="138" t="s">
        <v>393</v>
      </c>
      <c r="P2" s="84"/>
      <c r="Q2" s="139"/>
      <c r="R2" s="137"/>
      <c r="S2" s="137"/>
      <c r="T2" s="137" t="s">
        <v>389</v>
      </c>
      <c r="U2" s="137" t="s">
        <v>394</v>
      </c>
      <c r="V2" s="137"/>
      <c r="W2" s="137"/>
      <c r="X2" s="137" t="s">
        <v>395</v>
      </c>
      <c r="Y2" s="137"/>
      <c r="Z2" s="137"/>
      <c r="AA2" s="140" t="str">
        <f aca="false">M2</f>
        <v>Emergency</v>
      </c>
      <c r="AB2" s="80" t="str">
        <f aca="false">N2</f>
        <v>Equal ¢</v>
      </c>
      <c r="AC2" s="137" t="s">
        <v>396</v>
      </c>
      <c r="AD2" s="137"/>
      <c r="AE2" s="84"/>
      <c r="AF2" s="132" t="s">
        <v>285</v>
      </c>
      <c r="AG2" s="137"/>
      <c r="AH2" s="137"/>
      <c r="AI2" s="84"/>
      <c r="AJ2" s="84"/>
      <c r="AK2" s="137"/>
      <c r="AL2" s="137"/>
      <c r="AM2" s="84"/>
      <c r="AN2" s="84"/>
      <c r="AO2" s="84"/>
      <c r="AP2" s="84"/>
      <c r="AQ2" s="84"/>
      <c r="AR2" s="84"/>
      <c r="AS2" s="84"/>
      <c r="AT2" s="141"/>
      <c r="AU2" s="84"/>
      <c r="AV2" s="141"/>
      <c r="AW2" s="84"/>
      <c r="AX2" s="141"/>
      <c r="AY2" s="84"/>
      <c r="AZ2" s="141"/>
      <c r="BA2" s="84"/>
      <c r="BB2" s="141"/>
      <c r="BC2" s="84"/>
      <c r="BD2" s="141"/>
      <c r="BE2" s="84"/>
      <c r="BF2" s="142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  <c r="IW2" s="105"/>
    </row>
    <row r="3" customFormat="false" ht="12.75" hidden="false" customHeight="false" outlineLevel="0" collapsed="false">
      <c r="A3" s="84"/>
      <c r="B3" s="81"/>
      <c r="C3" s="82" t="s">
        <v>288</v>
      </c>
      <c r="D3" s="138" t="s">
        <v>397</v>
      </c>
      <c r="E3" s="143" t="s">
        <v>263</v>
      </c>
      <c r="F3" s="138" t="s">
        <v>398</v>
      </c>
      <c r="G3" s="138" t="s">
        <v>399</v>
      </c>
      <c r="H3" s="138" t="s">
        <v>400</v>
      </c>
      <c r="I3" s="138" t="s">
        <v>401</v>
      </c>
      <c r="J3" s="135" t="s">
        <v>395</v>
      </c>
      <c r="K3" s="135" t="s">
        <v>402</v>
      </c>
      <c r="L3" s="135" t="s">
        <v>246</v>
      </c>
      <c r="M3" s="135" t="s">
        <v>403</v>
      </c>
      <c r="N3" s="135" t="s">
        <v>404</v>
      </c>
      <c r="O3" s="138" t="s">
        <v>380</v>
      </c>
      <c r="P3" s="84"/>
      <c r="Q3" s="139" t="s">
        <v>405</v>
      </c>
      <c r="R3" s="137" t="s">
        <v>406</v>
      </c>
      <c r="S3" s="137" t="s">
        <v>263</v>
      </c>
      <c r="T3" s="137" t="s">
        <v>407</v>
      </c>
      <c r="U3" s="137" t="s">
        <v>408</v>
      </c>
      <c r="V3" s="137" t="s">
        <v>400</v>
      </c>
      <c r="W3" s="137" t="s">
        <v>401</v>
      </c>
      <c r="X3" s="137" t="s">
        <v>409</v>
      </c>
      <c r="Y3" s="137" t="s">
        <v>410</v>
      </c>
      <c r="Z3" s="135" t="str">
        <f aca="false">L3</f>
        <v>Generation</v>
      </c>
      <c r="AA3" s="140" t="str">
        <f aca="false">M3</f>
        <v>Procurement</v>
      </c>
      <c r="AB3" s="135" t="s">
        <v>233</v>
      </c>
      <c r="AC3" s="137" t="s">
        <v>380</v>
      </c>
      <c r="AD3" s="137"/>
      <c r="AE3" s="84"/>
      <c r="AF3" s="141" t="s">
        <v>291</v>
      </c>
      <c r="AG3" s="144" t="n">
        <v>36895</v>
      </c>
      <c r="AH3" s="137"/>
      <c r="AI3" s="84"/>
      <c r="AJ3" s="84"/>
      <c r="AK3" s="137"/>
      <c r="AL3" s="137"/>
      <c r="AM3" s="84"/>
      <c r="AN3" s="84"/>
      <c r="AO3" s="84"/>
      <c r="AP3" s="84"/>
      <c r="AQ3" s="84"/>
      <c r="AR3" s="84"/>
      <c r="AS3" s="141"/>
      <c r="AT3" s="141"/>
      <c r="AU3" s="84"/>
      <c r="AV3" s="141"/>
      <c r="AW3" s="84"/>
      <c r="AX3" s="141"/>
      <c r="AY3" s="84"/>
      <c r="AZ3" s="141"/>
      <c r="BA3" s="84"/>
      <c r="BB3" s="141"/>
      <c r="BC3" s="84"/>
      <c r="BD3" s="141"/>
      <c r="BE3" s="84"/>
      <c r="BF3" s="142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  <c r="IR3" s="105"/>
      <c r="IS3" s="105"/>
      <c r="IT3" s="105"/>
      <c r="IU3" s="105"/>
      <c r="IV3" s="105"/>
      <c r="IW3" s="105"/>
    </row>
    <row r="4" customFormat="false" ht="12.75" hidden="false" customHeight="false" outlineLevel="0" collapsed="false">
      <c r="A4" s="84"/>
      <c r="B4" s="82" t="s">
        <v>287</v>
      </c>
      <c r="C4" s="82" t="s">
        <v>236</v>
      </c>
      <c r="D4" s="145" t="s">
        <v>411</v>
      </c>
      <c r="E4" s="146" t="s">
        <v>388</v>
      </c>
      <c r="F4" s="145" t="s">
        <v>388</v>
      </c>
      <c r="G4" s="145" t="s">
        <v>388</v>
      </c>
      <c r="H4" s="145" t="s">
        <v>388</v>
      </c>
      <c r="I4" s="145" t="s">
        <v>388</v>
      </c>
      <c r="J4" s="147" t="s">
        <v>412</v>
      </c>
      <c r="K4" s="147" t="s">
        <v>412</v>
      </c>
      <c r="L4" s="147" t="s">
        <v>413</v>
      </c>
      <c r="M4" s="147" t="s">
        <v>414</v>
      </c>
      <c r="N4" s="147" t="str">
        <f aca="false">M4</f>
        <v>Surcharge Rev</v>
      </c>
      <c r="O4" s="145" t="s">
        <v>388</v>
      </c>
      <c r="P4" s="148" t="s">
        <v>415</v>
      </c>
      <c r="Q4" s="149" t="s">
        <v>416</v>
      </c>
      <c r="R4" s="148" t="s">
        <v>417</v>
      </c>
      <c r="S4" s="148" t="s">
        <v>417</v>
      </c>
      <c r="T4" s="148" t="s">
        <v>417</v>
      </c>
      <c r="U4" s="148" t="s">
        <v>417</v>
      </c>
      <c r="V4" s="148" t="s">
        <v>417</v>
      </c>
      <c r="W4" s="148" t="s">
        <v>417</v>
      </c>
      <c r="X4" s="148" t="s">
        <v>417</v>
      </c>
      <c r="Y4" s="148" t="s">
        <v>289</v>
      </c>
      <c r="Z4" s="148" t="s">
        <v>418</v>
      </c>
      <c r="AA4" s="150" t="s">
        <v>417</v>
      </c>
      <c r="AB4" s="148" t="s">
        <v>417</v>
      </c>
      <c r="AC4" s="148" t="s">
        <v>417</v>
      </c>
      <c r="AD4" s="148"/>
      <c r="AE4" s="84"/>
      <c r="AF4" s="151" t="s">
        <v>419</v>
      </c>
      <c r="AG4" s="148" t="s">
        <v>417</v>
      </c>
      <c r="AH4" s="152"/>
      <c r="AI4" s="148"/>
      <c r="AJ4" s="148"/>
      <c r="AK4" s="148"/>
      <c r="AL4" s="148"/>
      <c r="AM4" s="148"/>
      <c r="AN4" s="148"/>
      <c r="AO4" s="148"/>
      <c r="AP4" s="148"/>
      <c r="AQ4" s="84"/>
      <c r="AR4" s="84"/>
      <c r="AS4" s="151"/>
      <c r="AT4" s="151"/>
      <c r="AU4" s="148"/>
      <c r="AV4" s="151"/>
      <c r="AW4" s="148"/>
      <c r="AX4" s="151"/>
      <c r="AY4" s="148"/>
      <c r="AZ4" s="151"/>
      <c r="BA4" s="148"/>
      <c r="BB4" s="151"/>
      <c r="BC4" s="148"/>
      <c r="BD4" s="151"/>
      <c r="BE4" s="148"/>
      <c r="BF4" s="153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</row>
    <row r="5" customFormat="false" ht="12.75" hidden="false" customHeight="false" outlineLevel="0" collapsed="false">
      <c r="A5" s="84"/>
      <c r="B5" s="85" t="s">
        <v>293</v>
      </c>
      <c r="C5" s="105"/>
      <c r="D5" s="138"/>
      <c r="E5" s="143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84"/>
      <c r="Q5" s="139"/>
      <c r="R5" s="84"/>
      <c r="S5" s="84"/>
      <c r="T5" s="84"/>
      <c r="U5" s="84"/>
      <c r="V5" s="84"/>
      <c r="W5" s="84"/>
      <c r="X5" s="84"/>
      <c r="Y5" s="84"/>
      <c r="Z5" s="84"/>
      <c r="AA5" s="154"/>
      <c r="AB5" s="84"/>
      <c r="AC5" s="84"/>
      <c r="AD5" s="84"/>
      <c r="AE5" s="84"/>
      <c r="AF5" s="141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</row>
    <row r="6" customFormat="false" ht="6" hidden="true" customHeight="true" outlineLevel="0" collapsed="false">
      <c r="A6" s="84"/>
      <c r="B6" s="84"/>
      <c r="C6" s="84"/>
      <c r="D6" s="138"/>
      <c r="E6" s="143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84"/>
      <c r="Q6" s="139"/>
      <c r="R6" s="84"/>
      <c r="S6" s="84"/>
      <c r="T6" s="84"/>
      <c r="U6" s="84"/>
      <c r="V6" s="84"/>
      <c r="W6" s="84"/>
      <c r="X6" s="84"/>
      <c r="Y6" s="84"/>
      <c r="Z6" s="84"/>
      <c r="AA6" s="154"/>
      <c r="AB6" s="84"/>
      <c r="AC6" s="84"/>
      <c r="AD6" s="84"/>
      <c r="AE6" s="84"/>
      <c r="AF6" s="141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</row>
    <row r="7" customFormat="false" ht="7.5" hidden="true" customHeight="true" outlineLevel="0" collapsed="false">
      <c r="A7" s="84"/>
      <c r="B7" s="105"/>
      <c r="C7" s="79"/>
      <c r="D7" s="155"/>
      <c r="E7" s="156"/>
      <c r="F7" s="155"/>
      <c r="G7" s="155"/>
      <c r="H7" s="155"/>
      <c r="I7" s="155"/>
      <c r="J7" s="155"/>
      <c r="K7" s="155"/>
      <c r="L7" s="157"/>
      <c r="M7" s="155"/>
      <c r="N7" s="155"/>
      <c r="O7" s="155"/>
      <c r="P7" s="158"/>
      <c r="Q7" s="159"/>
      <c r="R7" s="99"/>
      <c r="S7" s="99"/>
      <c r="T7" s="99"/>
      <c r="U7" s="99"/>
      <c r="V7" s="99"/>
      <c r="W7" s="99"/>
      <c r="X7" s="99"/>
      <c r="Y7" s="99"/>
      <c r="Z7" s="99"/>
      <c r="AA7" s="160"/>
      <c r="AB7" s="99"/>
      <c r="AC7" s="99"/>
      <c r="AD7" s="99"/>
      <c r="AE7" s="84"/>
      <c r="AF7" s="141"/>
      <c r="AG7" s="99"/>
      <c r="AH7" s="99"/>
      <c r="AI7" s="84"/>
      <c r="AJ7" s="161"/>
      <c r="AK7" s="161"/>
      <c r="AL7" s="161"/>
      <c r="AM7" s="161"/>
      <c r="AN7" s="158"/>
      <c r="AO7" s="158"/>
      <c r="AP7" s="162"/>
      <c r="AQ7" s="158"/>
      <c r="AR7" s="162"/>
      <c r="AS7" s="162"/>
      <c r="AT7" s="163"/>
      <c r="AU7" s="162"/>
      <c r="AV7" s="163"/>
      <c r="AW7" s="162"/>
      <c r="AX7" s="163"/>
      <c r="AY7" s="162"/>
      <c r="AZ7" s="163"/>
      <c r="BA7" s="162"/>
      <c r="BB7" s="163"/>
      <c r="BC7" s="162"/>
      <c r="BD7" s="163"/>
      <c r="BE7" s="158"/>
      <c r="BF7" s="164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</row>
    <row r="8" customFormat="false" ht="12.75" hidden="false" customHeight="false" outlineLevel="0" collapsed="false">
      <c r="A8" s="84"/>
      <c r="B8" s="86" t="s">
        <v>294</v>
      </c>
      <c r="C8" s="79" t="s">
        <v>231</v>
      </c>
      <c r="D8" s="165" t="n">
        <f aca="false">'Test Year 2001 Sales and Revs.'!G7</f>
        <v>2581981586.01532</v>
      </c>
      <c r="E8" s="166" t="n">
        <v>114113238.131473</v>
      </c>
      <c r="F8" s="167" t="n">
        <v>64266365.6823517</v>
      </c>
      <c r="G8" s="167" t="n">
        <v>81787122.4709543</v>
      </c>
      <c r="H8" s="167" t="n">
        <v>944306358.041968</v>
      </c>
      <c r="I8" s="167" t="n">
        <v>11917321.1475694</v>
      </c>
      <c r="J8" s="155" t="n">
        <f aca="false">D8-SUM(E8:I8,K8)</f>
        <v>1129619656.30897</v>
      </c>
      <c r="K8" s="168" t="n">
        <f aca="false">'Test Year 2001 Sales and Revs.'!N7</f>
        <v>235971524.232041</v>
      </c>
      <c r="L8" s="168" t="n">
        <f aca="false">IF(allocation_method&gt;=6,CHOOSE(gen_choice,'Generation Calculations'!H7-'Generation Calculations'!I7+'Generation Calculations'!J7,'Generation Calculations'!G7+'Generation Calculations'!H7-'Generation Calculations'!I7+'Generation Calculations'!J7),0)</f>
        <v>0</v>
      </c>
      <c r="M8" s="168" t="n">
        <f aca="false">'Test Year 2001 Sales and Revs.'!K7</f>
        <v>233674503.859106</v>
      </c>
      <c r="N8" s="168" t="n">
        <f aca="false">CHOOSE(allocation_method,'RSP Surch Allocations'!E9,'RSP Surch Allocations'!J9,'RSP Surch Allocations'!N9,'RSP Surch Allocations'!Q9,'RSP Surch Allocations'!AA9,'RSP Surch Allocations'!AH9,'RSP Surch Allocations'!AS9,'RSP Surch Allocations'!BD9,'RSP Surch Allocations'!BO9,'RSP Surch Allocations'!BZ9,)</f>
        <v>894244845.339067</v>
      </c>
      <c r="O8" s="155" t="n">
        <f aca="false">SUM(E8:N8)</f>
        <v>3709900935.2135</v>
      </c>
      <c r="P8" s="169" t="n">
        <f aca="false">ROUND(O8-D8,0)</f>
        <v>1127919349</v>
      </c>
      <c r="Q8" s="170" t="n">
        <f aca="false">'Test Year 2001 Sales and Revs.'!F7</f>
        <v>23367450385.9106</v>
      </c>
      <c r="R8" s="152" t="n">
        <f aca="false">D8/$Q8*100</f>
        <v>11.0494792687016</v>
      </c>
      <c r="S8" s="152" t="n">
        <f aca="false">E8/$Q8*100</f>
        <v>0.488342699981842</v>
      </c>
      <c r="T8" s="152" t="n">
        <f aca="false">F8/$Q8*100</f>
        <v>0.275025150887241</v>
      </c>
      <c r="U8" s="152" t="n">
        <f aca="false">G8/$Q8*100</f>
        <v>0.35000447682674</v>
      </c>
      <c r="V8" s="152" t="n">
        <f aca="false">H8/$Q8*100</f>
        <v>4.04111848938102</v>
      </c>
      <c r="W8" s="152" t="n">
        <f aca="false">I8/$Q8*100</f>
        <v>0.0509996638518808</v>
      </c>
      <c r="X8" s="152" t="n">
        <f aca="false">J8/$Q8*100</f>
        <v>4.8341587877729</v>
      </c>
      <c r="Y8" s="152" t="n">
        <f aca="false">K8/$Q8*100</f>
        <v>1.00983</v>
      </c>
      <c r="Z8" s="152" t="n">
        <f aca="false">L8/$Q8*100</f>
        <v>0</v>
      </c>
      <c r="AA8" s="154" t="n">
        <f aca="false">M8/$Q8*100</f>
        <v>1</v>
      </c>
      <c r="AB8" s="152" t="n">
        <f aca="false">N8/$Q8*100</f>
        <v>3.82688239654187</v>
      </c>
      <c r="AC8" s="152" t="n">
        <f aca="false">O8/$Q8*100</f>
        <v>15.8763616652435</v>
      </c>
      <c r="AD8" s="152"/>
      <c r="AE8" s="157"/>
      <c r="AF8" s="141" t="n">
        <f aca="false">(AC8-AG8)/AG8</f>
        <v>0.317597326092104</v>
      </c>
      <c r="AG8" s="152" t="n">
        <f aca="false">AA8+R8</f>
        <v>12.0494792687016</v>
      </c>
      <c r="AH8" s="152"/>
      <c r="AI8" s="141"/>
      <c r="AJ8" s="141"/>
      <c r="AK8" s="141"/>
      <c r="AL8" s="141"/>
      <c r="AM8" s="141"/>
      <c r="AN8" s="162"/>
      <c r="AO8" s="162"/>
      <c r="AP8" s="162"/>
      <c r="AQ8" s="158"/>
      <c r="AR8" s="162"/>
      <c r="AS8" s="163"/>
      <c r="AT8" s="163"/>
      <c r="AU8" s="162"/>
      <c r="AV8" s="163"/>
      <c r="AW8" s="162"/>
      <c r="AX8" s="163"/>
      <c r="AY8" s="162"/>
      <c r="AZ8" s="163"/>
      <c r="BA8" s="162"/>
      <c r="BB8" s="163"/>
      <c r="BC8" s="162"/>
      <c r="BD8" s="163"/>
      <c r="BE8" s="162"/>
      <c r="BF8" s="164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</row>
    <row r="9" customFormat="false" ht="12.75" hidden="false" customHeight="false" outlineLevel="0" collapsed="false">
      <c r="A9" s="84"/>
      <c r="B9" s="86" t="s">
        <v>295</v>
      </c>
      <c r="C9" s="79" t="s">
        <v>231</v>
      </c>
      <c r="D9" s="165" t="n">
        <f aca="false">'Test Year 2001 Sales and Revs.'!G8</f>
        <v>168120011.16367</v>
      </c>
      <c r="E9" s="166" t="n">
        <v>9387877.60304033</v>
      </c>
      <c r="F9" s="167" t="n">
        <v>5287070.85082441</v>
      </c>
      <c r="G9" s="167" t="n">
        <v>5997470.85877827</v>
      </c>
      <c r="H9" s="167" t="n">
        <v>41116397.3374408</v>
      </c>
      <c r="I9" s="167" t="n">
        <v>980442.724619334</v>
      </c>
      <c r="J9" s="155" t="n">
        <f aca="false">D9-SUM(E9:I9,K9)</f>
        <v>85937826.3162818</v>
      </c>
      <c r="K9" s="168" t="n">
        <f aca="false">'Test Year 2001 Sales and Revs.'!N8</f>
        <v>19412925.4726852</v>
      </c>
      <c r="L9" s="168" t="n">
        <f aca="false">IF(allocation_method&gt;=6,CHOOSE(gen_choice,'Generation Calculations'!H8-'Generation Calculations'!I8+'Generation Calculations'!J8,'Generation Calculations'!G8+'Generation Calculations'!H8-'Generation Calculations'!I8+'Generation Calculations'!J8),0)</f>
        <v>0</v>
      </c>
      <c r="M9" s="168" t="n">
        <f aca="false">'Test Year 2001 Sales and Revs.'!K8</f>
        <v>0</v>
      </c>
      <c r="N9" s="168" t="n">
        <f aca="false">CHOOSE(allocation_method,'RSP Surch Allocations'!E10,'RSP Surch Allocations'!J10,'RSP Surch Allocations'!N10,'RSP Surch Allocations'!Q10,'RSP Surch Allocations'!AA10,'RSP Surch Allocations'!AH10,'RSP Surch Allocations'!AS10,'RSP Surch Allocations'!BD10,'RSP Surch Allocations'!BO10,'RSP Surch Allocations'!BZ10,)</f>
        <v>0</v>
      </c>
      <c r="O9" s="155" t="n">
        <f aca="false">SUM(E9:N9)</f>
        <v>168120011.16367</v>
      </c>
      <c r="P9" s="169"/>
      <c r="Q9" s="170" t="n">
        <f aca="false">'Test Year 2001 Sales and Revs.'!F8</f>
        <v>1922395400.48178</v>
      </c>
      <c r="R9" s="152" t="n">
        <f aca="false">D9/$Q9*100</f>
        <v>8.74533985680244</v>
      </c>
      <c r="S9" s="152" t="n">
        <f aca="false">E9/$Q9*100</f>
        <v>0.488342699981886</v>
      </c>
      <c r="T9" s="152" t="n">
        <f aca="false">F9/$Q9*100</f>
        <v>0.275025150887241</v>
      </c>
      <c r="U9" s="152" t="n">
        <f aca="false">G9/$Q9*100</f>
        <v>0.311979047456897</v>
      </c>
      <c r="V9" s="152" t="n">
        <f aca="false">H9/$Q9*100</f>
        <v>2.13881063839085</v>
      </c>
      <c r="W9" s="152" t="n">
        <f aca="false">I9/$Q9*100</f>
        <v>0.0510010960478588</v>
      </c>
      <c r="X9" s="152" t="n">
        <f aca="false">J9/$Q9*100</f>
        <v>4.4703512240377</v>
      </c>
      <c r="Y9" s="152" t="n">
        <f aca="false">K9/$Q9*100</f>
        <v>1.00983</v>
      </c>
      <c r="Z9" s="152" t="n">
        <f aca="false">L9/$Q9*100</f>
        <v>0</v>
      </c>
      <c r="AA9" s="154" t="n">
        <f aca="false">M9/$Q9*100</f>
        <v>0</v>
      </c>
      <c r="AB9" s="152" t="n">
        <f aca="false">N9/$Q9*100</f>
        <v>0</v>
      </c>
      <c r="AC9" s="152" t="n">
        <f aca="false">O9/$Q9*100</f>
        <v>8.74533985680244</v>
      </c>
      <c r="AD9" s="152"/>
      <c r="AE9" s="157"/>
      <c r="AF9" s="141" t="n">
        <f aca="false">(AC9-AG9)/AG9</f>
        <v>0</v>
      </c>
      <c r="AG9" s="152" t="n">
        <f aca="false">AA9+R9</f>
        <v>8.74533985680244</v>
      </c>
      <c r="AH9" s="152"/>
      <c r="AI9" s="141"/>
      <c r="AJ9" s="141"/>
      <c r="AK9" s="141"/>
      <c r="AL9" s="141"/>
      <c r="AM9" s="141"/>
      <c r="AN9" s="162"/>
      <c r="AO9" s="162"/>
      <c r="AP9" s="162"/>
      <c r="AQ9" s="158"/>
      <c r="AR9" s="162"/>
      <c r="AS9" s="163"/>
      <c r="AT9" s="163"/>
      <c r="AU9" s="162"/>
      <c r="AV9" s="163"/>
      <c r="AW9" s="162"/>
      <c r="AX9" s="163"/>
      <c r="AY9" s="162"/>
      <c r="AZ9" s="163"/>
      <c r="BA9" s="162"/>
      <c r="BB9" s="163"/>
      <c r="BC9" s="162"/>
      <c r="BD9" s="163"/>
      <c r="BE9" s="162"/>
      <c r="BF9" s="164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</row>
    <row r="10" customFormat="false" ht="12.75" hidden="false" customHeight="false" outlineLevel="0" collapsed="false">
      <c r="A10" s="84"/>
      <c r="B10" s="86" t="s">
        <v>296</v>
      </c>
      <c r="C10" s="79" t="s">
        <v>231</v>
      </c>
      <c r="D10" s="165" t="n">
        <f aca="false">'Test Year 2001 Sales and Revs.'!G9</f>
        <v>110620380.015856</v>
      </c>
      <c r="E10" s="166" t="n">
        <v>5922898.1639569</v>
      </c>
      <c r="F10" s="167" t="n">
        <v>3335356.47278322</v>
      </c>
      <c r="G10" s="167" t="n">
        <v>3662827.85752921</v>
      </c>
      <c r="H10" s="167" t="n">
        <v>38434227.7836426</v>
      </c>
      <c r="I10" s="167" t="n">
        <v>521528.469780647</v>
      </c>
      <c r="J10" s="155" t="n">
        <f aca="false">D10-SUM(E10:I10,K10)</f>
        <v>46495748.3695914</v>
      </c>
      <c r="K10" s="168" t="n">
        <f aca="false">'Test Year 2001 Sales and Revs.'!N9</f>
        <v>12247792.8985719</v>
      </c>
      <c r="L10" s="168" t="n">
        <f aca="false">IF(allocation_method&gt;=6,CHOOSE(gen_choice,'Generation Calculations'!H9-'Generation Calculations'!I9+'Generation Calculations'!J9,'Generation Calculations'!G9+'Generation Calculations'!H9-'Generation Calculations'!I9+'Generation Calculations'!J9),0)</f>
        <v>0</v>
      </c>
      <c r="M10" s="168" t="n">
        <f aca="false">'Test Year 2001 Sales and Revs.'!K9</f>
        <v>11990110.5946663</v>
      </c>
      <c r="N10" s="168" t="n">
        <f aca="false">CHOOSE(allocation_method,'RSP Surch Allocations'!E11,'RSP Surch Allocations'!J11,'RSP Surch Allocations'!N11,'RSP Surch Allocations'!Q11,'RSP Surch Allocations'!AA11,'RSP Surch Allocations'!AH11,'RSP Surch Allocations'!AS11,'RSP Surch Allocations'!BD11,'RSP Surch Allocations'!BO11,'RSP Surch Allocations'!BZ11,)</f>
        <v>45884743.1673185</v>
      </c>
      <c r="O10" s="155" t="n">
        <f aca="false">SUM(E10:N10)</f>
        <v>168495233.777841</v>
      </c>
      <c r="P10" s="169" t="n">
        <f aca="false">ROUND(O10-D10,0)</f>
        <v>57874854</v>
      </c>
      <c r="Q10" s="170" t="n">
        <f aca="false">'Test Year 2001 Sales and Revs.'!F9</f>
        <v>1212856906.46663</v>
      </c>
      <c r="R10" s="152" t="n">
        <f aca="false">D10/$Q10*100</f>
        <v>9.1206455952106</v>
      </c>
      <c r="S10" s="152" t="n">
        <f aca="false">E10/$Q10*100</f>
        <v>0.488342699981969</v>
      </c>
      <c r="T10" s="152" t="n">
        <f aca="false">F10/$Q10*100</f>
        <v>0.274999998351001</v>
      </c>
      <c r="U10" s="152" t="n">
        <f aca="false">G10/$Q10*100</f>
        <v>0.302</v>
      </c>
      <c r="V10" s="152" t="n">
        <f aca="false">H10/$Q10*100</f>
        <v>3.16890043489233</v>
      </c>
      <c r="W10" s="152" t="n">
        <f aca="false">I10/$Q10*100</f>
        <v>0.0429999999999998</v>
      </c>
      <c r="X10" s="152" t="n">
        <f aca="false">J10/$Q10*100</f>
        <v>3.8335724619853</v>
      </c>
      <c r="Y10" s="152" t="n">
        <f aca="false">K10/$Q10*100</f>
        <v>1.00983</v>
      </c>
      <c r="Z10" s="152" t="n">
        <f aca="false">L10/$Q10*100</f>
        <v>0</v>
      </c>
      <c r="AA10" s="154" t="n">
        <f aca="false">M10/$Q10*100</f>
        <v>0.988584105077707</v>
      </c>
      <c r="AB10" s="152" t="n">
        <f aca="false">N10/$Q10*100</f>
        <v>3.78319510922298</v>
      </c>
      <c r="AC10" s="152" t="n">
        <f aca="false">O10/$Q10*100</f>
        <v>13.8924248095113</v>
      </c>
      <c r="AD10" s="152"/>
      <c r="AE10" s="157"/>
      <c r="AF10" s="141" t="n">
        <f aca="false">(AC10-AG10)/AG10</f>
        <v>0.374231788314701</v>
      </c>
      <c r="AG10" s="152" t="n">
        <f aca="false">AA10+R10</f>
        <v>10.1092297002883</v>
      </c>
      <c r="AH10" s="152"/>
      <c r="AI10" s="141"/>
      <c r="AJ10" s="141"/>
      <c r="AK10" s="141"/>
      <c r="AL10" s="141"/>
      <c r="AM10" s="141"/>
      <c r="AN10" s="162"/>
      <c r="AO10" s="162"/>
      <c r="AP10" s="162"/>
      <c r="AQ10" s="158"/>
      <c r="AR10" s="162"/>
      <c r="AS10" s="163"/>
      <c r="AT10" s="163"/>
      <c r="AU10" s="162"/>
      <c r="AV10" s="163"/>
      <c r="AW10" s="162"/>
      <c r="AX10" s="163"/>
      <c r="AY10" s="162"/>
      <c r="AZ10" s="163"/>
      <c r="BA10" s="162"/>
      <c r="BB10" s="163"/>
      <c r="BC10" s="162"/>
      <c r="BD10" s="163"/>
      <c r="BE10" s="162"/>
      <c r="BF10" s="164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</row>
    <row r="11" customFormat="false" ht="12.75" hidden="false" customHeight="false" outlineLevel="0" collapsed="false">
      <c r="A11" s="84"/>
      <c r="B11" s="86" t="s">
        <v>297</v>
      </c>
      <c r="C11" s="79" t="s">
        <v>231</v>
      </c>
      <c r="D11" s="165" t="n">
        <f aca="false">'Test Year 2001 Sales and Revs.'!G10</f>
        <v>211472700.499817</v>
      </c>
      <c r="E11" s="166" t="n">
        <v>10978477.1834779</v>
      </c>
      <c r="F11" s="167" t="n">
        <v>6182305.94123431</v>
      </c>
      <c r="G11" s="167" t="n">
        <v>6856739.31664169</v>
      </c>
      <c r="H11" s="167" t="n">
        <v>67402501.525204</v>
      </c>
      <c r="I11" s="167" t="n">
        <v>966687.83808391</v>
      </c>
      <c r="J11" s="155" t="n">
        <f aca="false">D11-SUM(E11:I11,K11)</f>
        <v>96383886.8455871</v>
      </c>
      <c r="K11" s="168" t="n">
        <f aca="false">'Test Year 2001 Sales and Revs.'!N10</f>
        <v>22702101.8495878</v>
      </c>
      <c r="L11" s="168" t="n">
        <f aca="false">IF(allocation_method&gt;=6,CHOOSE(gen_choice,'Generation Calculations'!H10-'Generation Calculations'!I10+'Generation Calculations'!J10,'Generation Calculations'!G10+'Generation Calculations'!H10-'Generation Calculations'!I10+'Generation Calculations'!J10),0)</f>
        <v>0</v>
      </c>
      <c r="M11" s="168" t="n">
        <f aca="false">'Test Year 2001 Sales and Revs.'!K10</f>
        <v>22481112.5135793</v>
      </c>
      <c r="N11" s="168" t="n">
        <f aca="false">CHOOSE(allocation_method,'RSP Surch Allocations'!E12,'RSP Surch Allocations'!J12,'RSP Surch Allocations'!N12,'RSP Surch Allocations'!Q12,'RSP Surch Allocations'!AA12,'RSP Surch Allocations'!AH12,'RSP Surch Allocations'!AS12,'RSP Surch Allocations'!BD12,'RSP Surch Allocations'!BO12,'RSP Surch Allocations'!BZ12,)</f>
        <v>86032573.7328938</v>
      </c>
      <c r="O11" s="155" t="n">
        <f aca="false">SUM(E11:N11)</f>
        <v>319986386.74629</v>
      </c>
      <c r="P11" s="169" t="n">
        <f aca="false">ROUND(O11-D11,0)</f>
        <v>108513686</v>
      </c>
      <c r="Q11" s="170" t="n">
        <f aca="false">'Test Year 2001 Sales and Revs.'!F10</f>
        <v>2248111251.35793</v>
      </c>
      <c r="R11" s="152" t="n">
        <f aca="false">D11/$Q11*100</f>
        <v>9.40668307104822</v>
      </c>
      <c r="S11" s="152" t="n">
        <f aca="false">E11/$Q11*100</f>
        <v>0.488342255164043</v>
      </c>
      <c r="T11" s="152" t="n">
        <f aca="false">F11/$Q11*100</f>
        <v>0.275</v>
      </c>
      <c r="U11" s="152" t="n">
        <f aca="false">G11/$Q11*100</f>
        <v>0.305</v>
      </c>
      <c r="V11" s="152" t="n">
        <f aca="false">H11/$Q11*100</f>
        <v>2.99818354116109</v>
      </c>
      <c r="W11" s="152" t="n">
        <f aca="false">I11/$Q11*100</f>
        <v>0.043</v>
      </c>
      <c r="X11" s="152" t="n">
        <f aca="false">J11/$Q11*100</f>
        <v>4.28732727472309</v>
      </c>
      <c r="Y11" s="152" t="n">
        <f aca="false">K11/$Q11*100</f>
        <v>1.00983</v>
      </c>
      <c r="Z11" s="152" t="n">
        <f aca="false">L11/$Q11*100</f>
        <v>0</v>
      </c>
      <c r="AA11" s="154" t="n">
        <f aca="false">M11/$Q11*100</f>
        <v>1</v>
      </c>
      <c r="AB11" s="152" t="n">
        <f aca="false">N11/$Q11*100</f>
        <v>3.82688239654187</v>
      </c>
      <c r="AC11" s="152" t="n">
        <f aca="false">O11/$Q11*100</f>
        <v>14.2335654675901</v>
      </c>
      <c r="AD11" s="152"/>
      <c r="AE11" s="157"/>
      <c r="AF11" s="141" t="n">
        <f aca="false">(AC11-AG11)/AG11</f>
        <v>0.367733154782853</v>
      </c>
      <c r="AG11" s="152" t="n">
        <f aca="false">AA11+R11</f>
        <v>10.4066830710482</v>
      </c>
      <c r="AH11" s="152"/>
      <c r="AI11" s="141"/>
      <c r="AJ11" s="141"/>
      <c r="AK11" s="141"/>
      <c r="AL11" s="141"/>
      <c r="AM11" s="141"/>
      <c r="AN11" s="162"/>
      <c r="AO11" s="162"/>
      <c r="AP11" s="162"/>
      <c r="AQ11" s="158"/>
      <c r="AR11" s="162"/>
      <c r="AS11" s="163"/>
      <c r="AT11" s="163"/>
      <c r="AU11" s="162"/>
      <c r="AV11" s="163"/>
      <c r="AW11" s="162"/>
      <c r="AX11" s="163"/>
      <c r="AY11" s="162"/>
      <c r="AZ11" s="163"/>
      <c r="BA11" s="162"/>
      <c r="BB11" s="163"/>
      <c r="BC11" s="162"/>
      <c r="BD11" s="163"/>
      <c r="BE11" s="162"/>
      <c r="BF11" s="164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  <c r="IW11" s="171"/>
    </row>
    <row r="12" customFormat="false" ht="12.75" hidden="false" customHeight="false" outlineLevel="0" collapsed="false">
      <c r="A12" s="84"/>
      <c r="B12" s="86" t="s">
        <v>298</v>
      </c>
      <c r="C12" s="79" t="s">
        <v>231</v>
      </c>
      <c r="D12" s="172" t="n">
        <f aca="false">'Test Year 2001 Sales and Revs.'!G11</f>
        <v>7831339.59778284</v>
      </c>
      <c r="E12" s="173" t="n">
        <v>472776.152265965</v>
      </c>
      <c r="F12" s="174" t="n">
        <v>266234.023520701</v>
      </c>
      <c r="G12" s="174" t="n">
        <v>258479.033745654</v>
      </c>
      <c r="H12" s="174" t="n">
        <v>1528342.16306202</v>
      </c>
      <c r="I12" s="174" t="n">
        <v>41629.3200414188</v>
      </c>
      <c r="J12" s="175" t="n">
        <f aca="false">D12-SUM(E12:I12,K12)</f>
        <v>4286238.52706741</v>
      </c>
      <c r="K12" s="176" t="n">
        <f aca="false">'Test Year 2001 Sales and Revs.'!N11</f>
        <v>977640.378079672</v>
      </c>
      <c r="L12" s="176" t="n">
        <f aca="false">IF(allocation_method&gt;=6,CHOOSE(gen_choice,'Generation Calculations'!H11-'Generation Calculations'!I11+'Generation Calculations'!J11,'Generation Calculations'!G11+'Generation Calculations'!H11-'Generation Calculations'!I11+'Generation Calculations'!J11),0)</f>
        <v>0</v>
      </c>
      <c r="M12" s="176" t="n">
        <f aca="false">'Test Year 2001 Sales and Revs.'!K11</f>
        <v>0</v>
      </c>
      <c r="N12" s="176" t="n">
        <f aca="false">CHOOSE(allocation_method,'RSP Surch Allocations'!E13,'RSP Surch Allocations'!J13,'RSP Surch Allocations'!N13,'RSP Surch Allocations'!Q13,'RSP Surch Allocations'!AA13,'RSP Surch Allocations'!AH13,'RSP Surch Allocations'!AS13,'RSP Surch Allocations'!BD13,'RSP Surch Allocations'!BO13,'RSP Surch Allocations'!BZ13,)</f>
        <v>0</v>
      </c>
      <c r="O12" s="155" t="n">
        <f aca="false">SUM(E12:N12)</f>
        <v>7831339.59778284</v>
      </c>
      <c r="P12" s="169"/>
      <c r="Q12" s="177" t="n">
        <f aca="false">'Test Year 2001 Sales and Revs.'!F11</f>
        <v>96812372.189346</v>
      </c>
      <c r="R12" s="152" t="n">
        <f aca="false">D12/$Q12*100</f>
        <v>8.08919296230681</v>
      </c>
      <c r="S12" s="152" t="n">
        <f aca="false">E12/$Q12*100</f>
        <v>0.488342699981886</v>
      </c>
      <c r="T12" s="152" t="n">
        <f aca="false">F12/$Q12*100</f>
        <v>0.275</v>
      </c>
      <c r="U12" s="152" t="n">
        <f aca="false">G12/$Q12*100</f>
        <v>0.266989670741793</v>
      </c>
      <c r="V12" s="152" t="n">
        <f aca="false">H12/$Q12*100</f>
        <v>1.57866409891587</v>
      </c>
      <c r="W12" s="152" t="n">
        <f aca="false">I12/$Q12*100</f>
        <v>0.043</v>
      </c>
      <c r="X12" s="152" t="n">
        <f aca="false">J12/$Q12*100</f>
        <v>4.42736649266725</v>
      </c>
      <c r="Y12" s="152" t="n">
        <f aca="false">K12/$Q12*100</f>
        <v>1.00983</v>
      </c>
      <c r="Z12" s="152" t="n">
        <f aca="false">L12/$Q12*100</f>
        <v>0</v>
      </c>
      <c r="AA12" s="154" t="n">
        <f aca="false">M12/$Q12*100</f>
        <v>0</v>
      </c>
      <c r="AB12" s="152" t="n">
        <f aca="false">N12/$Q12*100</f>
        <v>0</v>
      </c>
      <c r="AC12" s="152" t="n">
        <f aca="false">O12/$Q12*100</f>
        <v>8.08919296230681</v>
      </c>
      <c r="AD12" s="178"/>
      <c r="AE12" s="157"/>
      <c r="AF12" s="151" t="n">
        <f aca="false">(AC12-AG12)/AG12</f>
        <v>0</v>
      </c>
      <c r="AG12" s="152" t="n">
        <f aca="false">AA12+R12</f>
        <v>8.08919296230681</v>
      </c>
      <c r="AH12" s="152"/>
      <c r="AI12" s="151"/>
      <c r="AJ12" s="151"/>
      <c r="AK12" s="151"/>
      <c r="AL12" s="151"/>
      <c r="AM12" s="151"/>
      <c r="AN12" s="179"/>
      <c r="AO12" s="179"/>
      <c r="AP12" s="179"/>
      <c r="AQ12" s="180"/>
      <c r="AR12" s="179"/>
      <c r="AS12" s="181"/>
      <c r="AT12" s="181"/>
      <c r="AU12" s="179"/>
      <c r="AV12" s="181"/>
      <c r="AW12" s="179"/>
      <c r="AX12" s="181"/>
      <c r="AY12" s="179"/>
      <c r="AZ12" s="181"/>
      <c r="BA12" s="179"/>
      <c r="BB12" s="181"/>
      <c r="BC12" s="179"/>
      <c r="BD12" s="181"/>
      <c r="BE12" s="179"/>
      <c r="BF12" s="182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</row>
    <row r="13" customFormat="false" ht="12.75" hidden="false" customHeight="false" outlineLevel="0" collapsed="false">
      <c r="A13" s="84"/>
      <c r="B13" s="85" t="s">
        <v>299</v>
      </c>
      <c r="C13" s="79"/>
      <c r="D13" s="155" t="n">
        <f aca="false">SUM(D8:D12)</f>
        <v>3080026017.29245</v>
      </c>
      <c r="E13" s="155" t="n">
        <f aca="false">SUM(E8:E12)</f>
        <v>140875267.234214</v>
      </c>
      <c r="F13" s="155" t="n">
        <f aca="false">SUM(F8:F12)</f>
        <v>79337332.9707144</v>
      </c>
      <c r="G13" s="155" t="n">
        <f aca="false">SUM(G8:G12)</f>
        <v>98562639.5376491</v>
      </c>
      <c r="H13" s="155" t="n">
        <f aca="false">SUM(H8:H12)</f>
        <v>1092787826.85132</v>
      </c>
      <c r="I13" s="155" t="n">
        <f aca="false">SUM(I8:I12)</f>
        <v>14427609.5000947</v>
      </c>
      <c r="J13" s="155" t="n">
        <f aca="false">SUM(J8:J12)</f>
        <v>1362723356.3675</v>
      </c>
      <c r="K13" s="155" t="n">
        <f aca="false">SUM(K8:K12)</f>
        <v>291311984.830965</v>
      </c>
      <c r="L13" s="155" t="n">
        <f aca="false">SUM(L8:L12)</f>
        <v>0</v>
      </c>
      <c r="M13" s="155" t="n">
        <f aca="false">SUM(M8:M12)</f>
        <v>268145726.967351</v>
      </c>
      <c r="N13" s="155" t="n">
        <f aca="false">SUM(N8:N12)</f>
        <v>1026162162.23928</v>
      </c>
      <c r="O13" s="155" t="n">
        <f aca="false">SUM(O8:O12)</f>
        <v>4374333906.49908</v>
      </c>
      <c r="P13" s="169" t="n">
        <f aca="false">ROUND(O13-D13,0)</f>
        <v>1294307889</v>
      </c>
      <c r="Q13" s="159" t="n">
        <f aca="false">SUM(Q8:Q12)</f>
        <v>28847626316.4062</v>
      </c>
      <c r="R13" s="152" t="n">
        <f aca="false">D13/$Q13*100</f>
        <v>10.6768785185656</v>
      </c>
      <c r="S13" s="152" t="n">
        <f aca="false">E13/$Q13*100</f>
        <v>0.488342665316957</v>
      </c>
      <c r="T13" s="152" t="n">
        <f aca="false">F13/$Q13*100</f>
        <v>0.275022048956567</v>
      </c>
      <c r="U13" s="152" t="n">
        <f aca="false">G13/$Q13*100</f>
        <v>0.341666376486562</v>
      </c>
      <c r="V13" s="152" t="n">
        <f aca="false">H13/$Q13*100</f>
        <v>3.7881377651853</v>
      </c>
      <c r="W13" s="152" t="n">
        <f aca="false">I13/$Q13*100</f>
        <v>0.0500131599801313</v>
      </c>
      <c r="X13" s="152" t="n">
        <f aca="false">J13/$Q13*100</f>
        <v>4.72386650264007</v>
      </c>
      <c r="Y13" s="152" t="n">
        <f aca="false">K13/$Q13*100</f>
        <v>1.00983</v>
      </c>
      <c r="Z13" s="152" t="n">
        <f aca="false">L13/$Q13*100</f>
        <v>0</v>
      </c>
      <c r="AA13" s="154" t="n">
        <f aca="false">M13/$Q13*100</f>
        <v>0.929524405322913</v>
      </c>
      <c r="AB13" s="152" t="n">
        <f aca="false">N13/$Q13*100</f>
        <v>3.55718058388631</v>
      </c>
      <c r="AC13" s="152" t="n">
        <f aca="false">O13/$Q13*100</f>
        <v>15.1635835077748</v>
      </c>
      <c r="AD13" s="152"/>
      <c r="AE13" s="157"/>
      <c r="AF13" s="141" t="n">
        <f aca="false">(AC13-AG13)/AG13</f>
        <v>0.306484326557788</v>
      </c>
      <c r="AG13" s="152" t="n">
        <f aca="false">AA13+R13</f>
        <v>11.6064029238885</v>
      </c>
      <c r="AH13" s="152"/>
      <c r="AI13" s="141"/>
      <c r="AJ13" s="141"/>
      <c r="AK13" s="141"/>
      <c r="AL13" s="141"/>
      <c r="AM13" s="141"/>
      <c r="AN13" s="162"/>
      <c r="AO13" s="162"/>
      <c r="AP13" s="162"/>
      <c r="AQ13" s="158"/>
      <c r="AR13" s="162"/>
      <c r="AS13" s="163"/>
      <c r="AT13" s="163"/>
      <c r="AU13" s="162"/>
      <c r="AV13" s="163"/>
      <c r="AW13" s="162"/>
      <c r="AX13" s="163"/>
      <c r="AY13" s="162"/>
      <c r="AZ13" s="163"/>
      <c r="BA13" s="162"/>
      <c r="BB13" s="163"/>
      <c r="BC13" s="162"/>
      <c r="BD13" s="163"/>
      <c r="BE13" s="162"/>
      <c r="BF13" s="164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  <c r="IG13" s="105"/>
      <c r="IH13" s="105"/>
      <c r="II13" s="105"/>
      <c r="IJ13" s="105"/>
      <c r="IK13" s="105"/>
      <c r="IL13" s="105"/>
      <c r="IM13" s="105"/>
      <c r="IN13" s="105"/>
      <c r="IO13" s="105"/>
      <c r="IP13" s="105"/>
      <c r="IQ13" s="105"/>
      <c r="IR13" s="105"/>
      <c r="IS13" s="105"/>
      <c r="IT13" s="105"/>
      <c r="IU13" s="105"/>
      <c r="IV13" s="105"/>
      <c r="IW13" s="105"/>
    </row>
    <row r="14" customFormat="false" ht="9" hidden="false" customHeight="true" outlineLevel="0" collapsed="false">
      <c r="A14" s="84"/>
      <c r="B14" s="92"/>
      <c r="C14" s="79"/>
      <c r="D14" s="167"/>
      <c r="E14" s="156"/>
      <c r="F14" s="167"/>
      <c r="G14" s="167"/>
      <c r="H14" s="167"/>
      <c r="I14" s="167"/>
      <c r="J14" s="155"/>
      <c r="K14" s="155"/>
      <c r="L14" s="155"/>
      <c r="M14" s="155"/>
      <c r="N14" s="155"/>
      <c r="O14" s="155"/>
      <c r="P14" s="169"/>
      <c r="Q14" s="159"/>
      <c r="R14" s="152"/>
      <c r="S14" s="152"/>
      <c r="T14" s="152"/>
      <c r="U14" s="152"/>
      <c r="V14" s="152"/>
      <c r="W14" s="152"/>
      <c r="X14" s="152"/>
      <c r="Y14" s="152"/>
      <c r="Z14" s="152"/>
      <c r="AA14" s="154"/>
      <c r="AB14" s="152"/>
      <c r="AC14" s="152"/>
      <c r="AD14" s="152"/>
      <c r="AE14" s="157"/>
      <c r="AF14" s="141"/>
      <c r="AG14" s="152" t="n">
        <f aca="false">AA14+R14</f>
        <v>0</v>
      </c>
      <c r="AH14" s="152"/>
      <c r="AI14" s="141"/>
      <c r="AJ14" s="141"/>
      <c r="AK14" s="141"/>
      <c r="AL14" s="141"/>
      <c r="AM14" s="141"/>
      <c r="AN14" s="158"/>
      <c r="AO14" s="158"/>
      <c r="AP14" s="162"/>
      <c r="AQ14" s="158"/>
      <c r="AR14" s="162"/>
      <c r="AS14" s="163"/>
      <c r="AT14" s="163"/>
      <c r="AU14" s="162"/>
      <c r="AV14" s="163"/>
      <c r="AW14" s="162"/>
      <c r="AX14" s="163"/>
      <c r="AY14" s="162"/>
      <c r="AZ14" s="163"/>
      <c r="BA14" s="162"/>
      <c r="BB14" s="163"/>
      <c r="BC14" s="162"/>
      <c r="BD14" s="163"/>
      <c r="BE14" s="158"/>
      <c r="BF14" s="164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  <c r="IG14" s="105"/>
      <c r="IH14" s="105"/>
      <c r="II14" s="105"/>
      <c r="IJ14" s="105"/>
      <c r="IK14" s="105"/>
      <c r="IL14" s="105"/>
      <c r="IM14" s="105"/>
      <c r="IN14" s="105"/>
      <c r="IO14" s="105"/>
      <c r="IP14" s="105"/>
      <c r="IQ14" s="105"/>
      <c r="IR14" s="105"/>
      <c r="IS14" s="105"/>
      <c r="IT14" s="105"/>
      <c r="IU14" s="105"/>
      <c r="IV14" s="105"/>
      <c r="IW14" s="105"/>
    </row>
    <row r="15" customFormat="false" ht="12.75" hidden="false" customHeight="false" outlineLevel="0" collapsed="false">
      <c r="A15" s="84"/>
      <c r="B15" s="85" t="s">
        <v>300</v>
      </c>
      <c r="C15" s="79"/>
      <c r="D15" s="167"/>
      <c r="E15" s="156"/>
      <c r="F15" s="167"/>
      <c r="G15" s="167"/>
      <c r="H15" s="167"/>
      <c r="I15" s="167"/>
      <c r="J15" s="155"/>
      <c r="K15" s="155"/>
      <c r="L15" s="155"/>
      <c r="M15" s="155"/>
      <c r="N15" s="155"/>
      <c r="O15" s="155"/>
      <c r="P15" s="169"/>
      <c r="Q15" s="159"/>
      <c r="R15" s="152"/>
      <c r="S15" s="152"/>
      <c r="T15" s="152"/>
      <c r="U15" s="152"/>
      <c r="V15" s="152"/>
      <c r="W15" s="152"/>
      <c r="X15" s="152"/>
      <c r="Y15" s="152"/>
      <c r="Z15" s="152"/>
      <c r="AA15" s="154"/>
      <c r="AB15" s="152"/>
      <c r="AC15" s="152"/>
      <c r="AD15" s="152"/>
      <c r="AE15" s="157"/>
      <c r="AF15" s="141"/>
      <c r="AG15" s="152" t="n">
        <f aca="false">AA15+R15</f>
        <v>0</v>
      </c>
      <c r="AH15" s="152"/>
      <c r="AI15" s="141"/>
      <c r="AJ15" s="141"/>
      <c r="AK15" s="141"/>
      <c r="AL15" s="141"/>
      <c r="AM15" s="141"/>
      <c r="AN15" s="158"/>
      <c r="AO15" s="158"/>
      <c r="AP15" s="162"/>
      <c r="AQ15" s="158"/>
      <c r="AR15" s="162"/>
      <c r="AS15" s="163"/>
      <c r="AT15" s="163"/>
      <c r="AU15" s="162"/>
      <c r="AV15" s="163"/>
      <c r="AW15" s="162"/>
      <c r="AX15" s="163"/>
      <c r="AY15" s="162"/>
      <c r="AZ15" s="163"/>
      <c r="BA15" s="162"/>
      <c r="BB15" s="163"/>
      <c r="BC15" s="162"/>
      <c r="BD15" s="163"/>
      <c r="BE15" s="158"/>
      <c r="BF15" s="164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105"/>
      <c r="IC15" s="105"/>
      <c r="ID15" s="105"/>
      <c r="IE15" s="105"/>
      <c r="IF15" s="105"/>
      <c r="IG15" s="105"/>
      <c r="IH15" s="105"/>
      <c r="II15" s="105"/>
      <c r="IJ15" s="105"/>
      <c r="IK15" s="105"/>
      <c r="IL15" s="105"/>
      <c r="IM15" s="105"/>
      <c r="IN15" s="105"/>
      <c r="IO15" s="105"/>
      <c r="IP15" s="105"/>
      <c r="IQ15" s="105"/>
      <c r="IR15" s="105"/>
      <c r="IS15" s="105"/>
      <c r="IT15" s="105"/>
      <c r="IU15" s="105"/>
      <c r="IV15" s="105"/>
      <c r="IW15" s="105"/>
    </row>
    <row r="16" customFormat="false" ht="12.75" hidden="false" customHeight="false" outlineLevel="0" collapsed="false">
      <c r="A16" s="84"/>
      <c r="B16" s="94" t="s">
        <v>301</v>
      </c>
      <c r="C16" s="82" t="s">
        <v>231</v>
      </c>
      <c r="D16" s="167" t="n">
        <v>710376092.783473</v>
      </c>
      <c r="E16" s="166" t="n">
        <v>40899263.5195353</v>
      </c>
      <c r="F16" s="167" t="n">
        <v>15950473.7624758</v>
      </c>
      <c r="G16" s="167" t="n">
        <v>22562411.1051465</v>
      </c>
      <c r="H16" s="167" t="n">
        <v>253129393.353263</v>
      </c>
      <c r="I16" s="167" t="n">
        <v>3307578.59133038</v>
      </c>
      <c r="J16" s="155" t="n">
        <f aca="false">D16-SUM(E16:I16,K16)</f>
        <v>312180297.283213</v>
      </c>
      <c r="K16" s="168" t="n">
        <f aca="false">'Test Year 2001 Sales and Revs.'!N16</f>
        <v>62346675.1685094</v>
      </c>
      <c r="L16" s="168" t="n">
        <f aca="false">IF(allocation_method&gt;=6,CHOOSE(gen_choice,'Generation Calculations'!H15-'Generation Calculations'!I15+'Generation Calculations'!J15,'Generation Calculations'!G15+'Generation Calculations'!H15-'Generation Calculations'!I15+'Generation Calculations'!J15),0)</f>
        <v>0</v>
      </c>
      <c r="M16" s="168" t="n">
        <f aca="false">'Test Year 2001 Sales and Revs.'!K16</f>
        <v>59018016.326614</v>
      </c>
      <c r="N16" s="168" t="n">
        <f aca="false">CHOOSE(allocation_method,'RSP Surch Allocations'!E17,'RSP Surch Allocations'!J17,'RSP Surch Allocations'!N17,'RSP Surch Allocations'!Q17,'RSP Surch Allocations'!AA17,'RSP Surch Allocations'!AH17,'RSP Surch Allocations'!AS17,'RSP Surch Allocations'!BD17,'RSP Surch Allocations'!BO17,'RSP Surch Allocations'!BZ17,)</f>
        <v>225855007.75914</v>
      </c>
      <c r="O16" s="155" t="n">
        <f aca="false">SUM(E16:N16)</f>
        <v>995249116.869227</v>
      </c>
      <c r="P16" s="169" t="n">
        <f aca="false">ROUND(O16-D16,0)</f>
        <v>284873024</v>
      </c>
      <c r="Q16" s="170" t="n">
        <v>5906390341.6614</v>
      </c>
      <c r="R16" s="152" t="n">
        <f aca="false">D16/$Q16*100</f>
        <v>12.0272459436478</v>
      </c>
      <c r="S16" s="152" t="n">
        <f aca="false">E16/$Q16*100</f>
        <v>0.692457849103668</v>
      </c>
      <c r="T16" s="152" t="n">
        <f aca="false">F16/$Q16*100</f>
        <v>0.270054514514006</v>
      </c>
      <c r="U16" s="152" t="n">
        <f aca="false">G16/$Q16*100</f>
        <v>0.382</v>
      </c>
      <c r="V16" s="152" t="n">
        <f aca="false">H16/$Q16*100</f>
        <v>4.28568683596453</v>
      </c>
      <c r="W16" s="152" t="n">
        <f aca="false">I16/$Q16*100</f>
        <v>0.056</v>
      </c>
      <c r="X16" s="152" t="n">
        <f aca="false">J16/$Q16*100</f>
        <v>5.28546674406555</v>
      </c>
      <c r="Y16" s="152" t="n">
        <f aca="false">K16/$Q16*100</f>
        <v>1.05558</v>
      </c>
      <c r="Z16" s="152" t="n">
        <f aca="false">L16/$Q16*100</f>
        <v>0</v>
      </c>
      <c r="AA16" s="154" t="n">
        <f aca="false">M16/$Q16*100</f>
        <v>0.999223094185355</v>
      </c>
      <c r="AB16" s="152" t="n">
        <f aca="false">N16/$Q16*100</f>
        <v>3.82390926935604</v>
      </c>
      <c r="AC16" s="152" t="n">
        <f aca="false">O16/$Q16*100</f>
        <v>16.8503783071891</v>
      </c>
      <c r="AD16" s="152"/>
      <c r="AE16" s="157"/>
      <c r="AF16" s="141" t="n">
        <f aca="false">(AC16-AG16)/AG16</f>
        <v>0.293549177313527</v>
      </c>
      <c r="AG16" s="152" t="n">
        <f aca="false">AA16+R16</f>
        <v>13.0264690378331</v>
      </c>
      <c r="AH16" s="152"/>
      <c r="AI16" s="141"/>
      <c r="AJ16" s="141"/>
      <c r="AK16" s="141"/>
      <c r="AL16" s="141"/>
      <c r="AM16" s="141"/>
      <c r="AN16" s="162"/>
      <c r="AO16" s="162"/>
      <c r="AP16" s="162"/>
      <c r="AQ16" s="158"/>
      <c r="AR16" s="162"/>
      <c r="AS16" s="163"/>
      <c r="AT16" s="163"/>
      <c r="AU16" s="162"/>
      <c r="AV16" s="163"/>
      <c r="AW16" s="162"/>
      <c r="AX16" s="163"/>
      <c r="AY16" s="162"/>
      <c r="AZ16" s="163"/>
      <c r="BA16" s="162"/>
      <c r="BB16" s="163"/>
      <c r="BC16" s="162"/>
      <c r="BD16" s="163"/>
      <c r="BE16" s="162"/>
      <c r="BF16" s="164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</row>
    <row r="17" customFormat="false" ht="12.75" hidden="false" customHeight="false" outlineLevel="0" collapsed="false">
      <c r="A17" s="84"/>
      <c r="B17" s="94" t="s">
        <v>302</v>
      </c>
      <c r="C17" s="82" t="s">
        <v>231</v>
      </c>
      <c r="D17" s="167" t="n">
        <v>175710435.729645</v>
      </c>
      <c r="E17" s="166" t="n">
        <v>13665243.9727105</v>
      </c>
      <c r="F17" s="167" t="n">
        <v>5331360.19986908</v>
      </c>
      <c r="G17" s="167" t="n">
        <v>5801915.21141299</v>
      </c>
      <c r="H17" s="167" t="n">
        <v>39016945.1751312</v>
      </c>
      <c r="I17" s="167" t="n">
        <v>809110.62472086</v>
      </c>
      <c r="J17" s="155" t="n">
        <f aca="false">D17-SUM(E17:I17,K17)</f>
        <v>90254616.8081701</v>
      </c>
      <c r="K17" s="168" t="n">
        <f aca="false">'Test Year 2001 Sales and Revs.'!N17</f>
        <v>20831243.7376304</v>
      </c>
      <c r="L17" s="168" t="n">
        <f aca="false">IF(allocation_method&gt;=6,CHOOSE(gen_choice,'Generation Calculations'!H16-'Generation Calculations'!I16+'Generation Calculations'!J16,'Generation Calculations'!G16+'Generation Calculations'!H16-'Generation Calculations'!I16+'Generation Calculations'!J16),0)</f>
        <v>0</v>
      </c>
      <c r="M17" s="168" t="n">
        <f aca="false">'Test Year 2001 Sales and Revs.'!K17</f>
        <v>19728712.8709966</v>
      </c>
      <c r="N17" s="168" t="n">
        <f aca="false">CHOOSE(allocation_method,'RSP Surch Allocations'!E18,'RSP Surch Allocations'!J18,'RSP Surch Allocations'!N18,'RSP Surch Allocations'!Q18,'RSP Surch Allocations'!AA18,'RSP Surch Allocations'!AH18,'RSP Surch Allocations'!AS18,'RSP Surch Allocations'!BD18,'RSP Surch Allocations'!BO18,'RSP Surch Allocations'!BZ18,)</f>
        <v>75499463.9924458</v>
      </c>
      <c r="O17" s="155" t="n">
        <f aca="false">SUM(E17:N17)</f>
        <v>270938612.593088</v>
      </c>
      <c r="P17" s="169" t="n">
        <f aca="false">ROUND(O17-D17,0)</f>
        <v>95228177</v>
      </c>
      <c r="Q17" s="170" t="n">
        <v>1973440547.09966</v>
      </c>
      <c r="R17" s="152" t="n">
        <f aca="false">D17/$Q17*100</f>
        <v>8.9037613009363</v>
      </c>
      <c r="S17" s="152" t="n">
        <f aca="false">E17/$Q17*100</f>
        <v>0.692457849454556</v>
      </c>
      <c r="T17" s="152" t="n">
        <f aca="false">F17/$Q17*100</f>
        <v>0.270155602493549</v>
      </c>
      <c r="U17" s="152" t="n">
        <f aca="false">G17/$Q17*100</f>
        <v>0.294000000148978</v>
      </c>
      <c r="V17" s="152" t="n">
        <f aca="false">H17/$Q17*100</f>
        <v>1.97710264099286</v>
      </c>
      <c r="W17" s="152" t="n">
        <f aca="false">I17/$Q17*100</f>
        <v>0.0410000000207759</v>
      </c>
      <c r="X17" s="152" t="n">
        <f aca="false">J17/$Q17*100</f>
        <v>4.57346520729069</v>
      </c>
      <c r="Y17" s="152" t="n">
        <f aca="false">K17/$Q17*100</f>
        <v>1.05558000053489</v>
      </c>
      <c r="Z17" s="152" t="n">
        <f aca="false">L17/$Q17*100</f>
        <v>0</v>
      </c>
      <c r="AA17" s="154" t="n">
        <f aca="false">M17/$Q17*100</f>
        <v>0.999711539321091</v>
      </c>
      <c r="AB17" s="152" t="n">
        <f aca="false">N17/$Q17*100</f>
        <v>3.82577849144766</v>
      </c>
      <c r="AC17" s="152" t="n">
        <f aca="false">O17/$Q17*100</f>
        <v>13.7292513317051</v>
      </c>
      <c r="AD17" s="152"/>
      <c r="AE17" s="157"/>
      <c r="AF17" s="141" t="n">
        <f aca="false">(AC17-AG17)/AG17</f>
        <v>0.386306758564123</v>
      </c>
      <c r="AG17" s="152" t="n">
        <f aca="false">AA17+R17</f>
        <v>9.90347284025739</v>
      </c>
      <c r="AH17" s="152"/>
      <c r="AI17" s="141"/>
      <c r="AJ17" s="141"/>
      <c r="AK17" s="141"/>
      <c r="AL17" s="141"/>
      <c r="AM17" s="141"/>
      <c r="AN17" s="162"/>
      <c r="AO17" s="162"/>
      <c r="AP17" s="162"/>
      <c r="AQ17" s="158"/>
      <c r="AR17" s="162"/>
      <c r="AS17" s="163"/>
      <c r="AT17" s="163"/>
      <c r="AU17" s="162"/>
      <c r="AV17" s="163"/>
      <c r="AW17" s="162"/>
      <c r="AX17" s="163"/>
      <c r="AY17" s="162"/>
      <c r="AZ17" s="163"/>
      <c r="BA17" s="162"/>
      <c r="BB17" s="163"/>
      <c r="BC17" s="162"/>
      <c r="BD17" s="163"/>
      <c r="BE17" s="162"/>
      <c r="BF17" s="164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  <c r="HP17" s="105"/>
      <c r="HQ17" s="105"/>
      <c r="HR17" s="105"/>
      <c r="HS17" s="105"/>
      <c r="HT17" s="105"/>
      <c r="HU17" s="105"/>
      <c r="HV17" s="105"/>
      <c r="HW17" s="105"/>
      <c r="HX17" s="105"/>
      <c r="HY17" s="105"/>
      <c r="HZ17" s="105"/>
      <c r="IA17" s="105"/>
      <c r="IB17" s="105"/>
      <c r="IC17" s="105"/>
      <c r="ID17" s="105"/>
      <c r="IE17" s="105"/>
      <c r="IF17" s="105"/>
      <c r="IG17" s="105"/>
      <c r="IH17" s="105"/>
      <c r="II17" s="105"/>
      <c r="IJ17" s="105"/>
      <c r="IK17" s="105"/>
      <c r="IL17" s="105"/>
      <c r="IM17" s="105"/>
      <c r="IN17" s="105"/>
      <c r="IO17" s="105"/>
      <c r="IP17" s="105"/>
      <c r="IQ17" s="105"/>
      <c r="IR17" s="105"/>
      <c r="IS17" s="105"/>
      <c r="IT17" s="105"/>
      <c r="IU17" s="105"/>
      <c r="IV17" s="105"/>
      <c r="IW17" s="105"/>
    </row>
    <row r="18" customFormat="false" ht="12.75" hidden="false" customHeight="false" outlineLevel="0" collapsed="false">
      <c r="A18" s="84"/>
      <c r="B18" s="94" t="s">
        <v>303</v>
      </c>
      <c r="C18" s="82" t="s">
        <v>231</v>
      </c>
      <c r="D18" s="167" t="n">
        <v>378012.213375161</v>
      </c>
      <c r="E18" s="166" t="n">
        <v>9166.03685027129</v>
      </c>
      <c r="F18" s="167" t="n">
        <v>3573.9792</v>
      </c>
      <c r="G18" s="167" t="n">
        <v>10007.14176</v>
      </c>
      <c r="H18" s="167" t="n">
        <v>297282.8352</v>
      </c>
      <c r="I18" s="167" t="n">
        <v>1547.72432</v>
      </c>
      <c r="J18" s="155" t="n">
        <f aca="false">D18-SUM(E18:I18,K18)</f>
        <v>56434.4960448897</v>
      </c>
      <c r="K18" s="168"/>
      <c r="L18" s="168" t="n">
        <f aca="false">IF(allocation_method&gt;=6,CHOOSE(gen_choice,'Generation Calculations'!H19-'Generation Calculations'!I19+'Generation Calculations'!J19,'Generation Calculations'!G19+'Generation Calculations'!H19-'Generation Calculations'!I19+'Generation Calculations'!J19),0)</f>
        <v>0</v>
      </c>
      <c r="M18" s="168" t="n">
        <f aca="false">'Test Year 2001 Sales and Revs.'!K19</f>
        <v>13236.96</v>
      </c>
      <c r="N18" s="168" t="n">
        <f aca="false">CHOOSE(allocation_method,'RSP Surch Allocations'!E19,'RSP Surch Allocations'!J19,'RSP Surch Allocations'!N19,'RSP Surch Allocations'!Q19,'RSP Surch Allocations'!AA19,'RSP Surch Allocations'!AH19,'RSP Surch Allocations'!AS19,'RSP Surch Allocations'!BD19,'RSP Surch Allocations'!BO19,'RSP Surch Allocations'!BZ19,)</f>
        <v>50656.2892077289</v>
      </c>
      <c r="O18" s="155" t="n">
        <f aca="false">SUM(E18:N18)</f>
        <v>441905.46258289</v>
      </c>
      <c r="P18" s="169" t="n">
        <f aca="false">ROUND(O18-D18,0)</f>
        <v>63893</v>
      </c>
      <c r="Q18" s="170" t="n">
        <v>1323696</v>
      </c>
      <c r="R18" s="152" t="n">
        <f aca="false">D18/$Q18*100</f>
        <v>28.5573283726143</v>
      </c>
      <c r="S18" s="152" t="n">
        <f aca="false">E18/$Q18*100</f>
        <v>0.692457849103668</v>
      </c>
      <c r="T18" s="152" t="n">
        <f aca="false">F18/$Q18*100</f>
        <v>0.27</v>
      </c>
      <c r="U18" s="152" t="n">
        <f aca="false">G18/$Q18*100</f>
        <v>0.756</v>
      </c>
      <c r="V18" s="152" t="n">
        <f aca="false">H18/$Q18*100</f>
        <v>22.4585429887225</v>
      </c>
      <c r="W18" s="152" t="n">
        <f aca="false">I18/$Q18*100</f>
        <v>0.116924453953174</v>
      </c>
      <c r="X18" s="152" t="n">
        <f aca="false">J18/$Q18*100</f>
        <v>4.263403080835</v>
      </c>
      <c r="Y18" s="152" t="n">
        <f aca="false">K18/$Q18*100</f>
        <v>0</v>
      </c>
      <c r="Z18" s="152" t="n">
        <f aca="false">L18/$Q18*100</f>
        <v>0</v>
      </c>
      <c r="AA18" s="154" t="n">
        <f aca="false">M18/$Q18*100</f>
        <v>1</v>
      </c>
      <c r="AB18" s="152" t="n">
        <f aca="false">N18/$Q18*100</f>
        <v>3.82688239654187</v>
      </c>
      <c r="AC18" s="152" t="n">
        <f aca="false">O18/$Q18*100</f>
        <v>33.3842107691562</v>
      </c>
      <c r="AD18" s="152"/>
      <c r="AE18" s="157"/>
      <c r="AF18" s="141" t="n">
        <f aca="false">(AC18-AG18)/AG18</f>
        <v>0.12947321721024</v>
      </c>
      <c r="AG18" s="152" t="n">
        <f aca="false">AA18+R18</f>
        <v>29.5573283726143</v>
      </c>
      <c r="AH18" s="152"/>
      <c r="AI18" s="141"/>
      <c r="AJ18" s="141"/>
      <c r="AK18" s="141"/>
      <c r="AL18" s="141"/>
      <c r="AM18" s="141"/>
      <c r="AN18" s="162"/>
      <c r="AO18" s="162"/>
      <c r="AP18" s="162"/>
      <c r="AQ18" s="158"/>
      <c r="AR18" s="162"/>
      <c r="AS18" s="163"/>
      <c r="AT18" s="163"/>
      <c r="AU18" s="162"/>
      <c r="AV18" s="163"/>
      <c r="AW18" s="162"/>
      <c r="AX18" s="163"/>
      <c r="AY18" s="162"/>
      <c r="AZ18" s="163"/>
      <c r="BA18" s="162"/>
      <c r="BB18" s="163"/>
      <c r="BC18" s="162"/>
      <c r="BD18" s="163"/>
      <c r="BE18" s="162"/>
      <c r="BF18" s="164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5"/>
      <c r="IP18" s="105"/>
      <c r="IQ18" s="105"/>
      <c r="IR18" s="105"/>
      <c r="IS18" s="105"/>
      <c r="IT18" s="105"/>
      <c r="IU18" s="105"/>
      <c r="IV18" s="105"/>
      <c r="IW18" s="105"/>
    </row>
    <row r="19" customFormat="false" ht="12.75" hidden="false" customHeight="false" outlineLevel="0" collapsed="false">
      <c r="A19" s="84"/>
      <c r="B19" s="94" t="s">
        <v>304</v>
      </c>
      <c r="C19" s="82" t="s">
        <v>231</v>
      </c>
      <c r="D19" s="174" t="n">
        <v>13370632.6153714</v>
      </c>
      <c r="E19" s="173" t="n">
        <v>840187.710014327</v>
      </c>
      <c r="F19" s="174" t="n">
        <v>327602.152242925</v>
      </c>
      <c r="G19" s="174" t="n">
        <v>339735.565288959</v>
      </c>
      <c r="H19" s="174" t="n">
        <v>5684423.09095112</v>
      </c>
      <c r="I19" s="174" t="n">
        <v>56813.7000117576</v>
      </c>
      <c r="J19" s="175" t="n">
        <f aca="false">D19-SUM(E19:I19,K19)</f>
        <v>6121870.39686229</v>
      </c>
      <c r="K19" s="176"/>
      <c r="L19" s="176" t="n">
        <f aca="false">IF(allocation_method&gt;=6,CHOOSE(gen_choice,'Generation Calculations'!H20-'Generation Calculations'!I20+'Generation Calculations'!J20,'Generation Calculations'!G20+'Generation Calculations'!H20-'Generation Calculations'!I20+'Generation Calculations'!J20),0)</f>
        <v>0</v>
      </c>
      <c r="M19" s="176" t="n">
        <f aca="false">'Test Year 2001 Sales and Revs.'!K20</f>
        <v>1213341.30460343</v>
      </c>
      <c r="N19" s="176" t="n">
        <f aca="false">CHOOSE(allocation_method,'RSP Surch Allocations'!E20,'RSP Surch Allocations'!J20,'RSP Surch Allocations'!N20,'RSP Surch Allocations'!Q20,'RSP Surch Allocations'!AA20,'RSP Surch Allocations'!AH20,'RSP Surch Allocations'!AS20,'RSP Surch Allocations'!BD20,'RSP Surch Allocations'!BO20,'RSP Surch Allocations'!BZ20,)</f>
        <v>4643314.479584</v>
      </c>
      <c r="O19" s="155" t="n">
        <f aca="false">SUM(E19:N19)</f>
        <v>19227288.3995588</v>
      </c>
      <c r="P19" s="169" t="n">
        <f aca="false">ROUND(O19-D19,0)</f>
        <v>5856656</v>
      </c>
      <c r="Q19" s="177" t="n">
        <v>121334130.460343</v>
      </c>
      <c r="R19" s="178" t="n">
        <f aca="false">D19/$Q19*100</f>
        <v>11.0196797592261</v>
      </c>
      <c r="S19" s="178" t="n">
        <f aca="false">E19/$Q19*100</f>
        <v>0.692457849103668</v>
      </c>
      <c r="T19" s="178" t="n">
        <f aca="false">F19/$Q19*100</f>
        <v>0.27</v>
      </c>
      <c r="U19" s="178" t="n">
        <f aca="false">G19/$Q19*100</f>
        <v>0.28</v>
      </c>
      <c r="V19" s="178" t="n">
        <f aca="false">H19/$Q19*100</f>
        <v>4.68493330721073</v>
      </c>
      <c r="W19" s="178" t="n">
        <f aca="false">I19/$Q19*100</f>
        <v>0.0468241704096003</v>
      </c>
      <c r="X19" s="178" t="n">
        <f aca="false">J19/$Q19*100</f>
        <v>5.04546443250211</v>
      </c>
      <c r="Y19" s="178" t="n">
        <f aca="false">K19/$Q19*100</f>
        <v>0</v>
      </c>
      <c r="Z19" s="178" t="n">
        <f aca="false">L19/$Q19*100</f>
        <v>0</v>
      </c>
      <c r="AA19" s="150" t="n">
        <f aca="false">M19/$Q19*100</f>
        <v>1</v>
      </c>
      <c r="AB19" s="178" t="n">
        <f aca="false">N19/$Q19*100</f>
        <v>3.82688239654187</v>
      </c>
      <c r="AC19" s="178" t="n">
        <f aca="false">O19/$Q19*100</f>
        <v>15.846562155768</v>
      </c>
      <c r="AD19" s="178"/>
      <c r="AE19" s="157"/>
      <c r="AF19" s="151" t="n">
        <f aca="false">(AC19-AG19)/AG19</f>
        <v>0.318384721822927</v>
      </c>
      <c r="AG19" s="152" t="n">
        <f aca="false">AA19+R19</f>
        <v>12.0196797592261</v>
      </c>
      <c r="AH19" s="152"/>
      <c r="AI19" s="151"/>
      <c r="AJ19" s="151"/>
      <c r="AK19" s="151"/>
      <c r="AL19" s="151"/>
      <c r="AM19" s="151"/>
      <c r="AN19" s="179"/>
      <c r="AO19" s="179"/>
      <c r="AP19" s="179"/>
      <c r="AQ19" s="180"/>
      <c r="AR19" s="179"/>
      <c r="AS19" s="181"/>
      <c r="AT19" s="181"/>
      <c r="AU19" s="179"/>
      <c r="AV19" s="181"/>
      <c r="AW19" s="179"/>
      <c r="AX19" s="181"/>
      <c r="AY19" s="179"/>
      <c r="AZ19" s="181"/>
      <c r="BA19" s="179"/>
      <c r="BB19" s="181"/>
      <c r="BC19" s="179"/>
      <c r="BD19" s="181"/>
      <c r="BE19" s="179"/>
      <c r="BF19" s="182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2.75" hidden="false" customHeight="false" outlineLevel="0" collapsed="false">
      <c r="A20" s="84"/>
      <c r="B20" s="85" t="s">
        <v>305</v>
      </c>
      <c r="C20" s="79"/>
      <c r="D20" s="155" t="n">
        <f aca="false">SUM(D16:D19)</f>
        <v>899835173.341865</v>
      </c>
      <c r="E20" s="155" t="n">
        <f aca="false">SUM(E16:E19)</f>
        <v>55413861.2391104</v>
      </c>
      <c r="F20" s="155" t="n">
        <f aca="false">SUM(F16:F19)</f>
        <v>21613010.0937878</v>
      </c>
      <c r="G20" s="155" t="n">
        <f aca="false">SUM(G16:G19)</f>
        <v>28714069.0236085</v>
      </c>
      <c r="H20" s="155" t="n">
        <f aca="false">SUM(H16:H19)</f>
        <v>298128044.454545</v>
      </c>
      <c r="I20" s="155" t="n">
        <f aca="false">SUM(I16:I19)</f>
        <v>4175050.640383</v>
      </c>
      <c r="J20" s="155" t="n">
        <f aca="false">SUM(J16:J19)</f>
        <v>408613218.98429</v>
      </c>
      <c r="K20" s="155" t="n">
        <f aca="false">SUM(K16:K19)</f>
        <v>83177918.9061397</v>
      </c>
      <c r="L20" s="155" t="n">
        <f aca="false">SUM(L16:L19)</f>
        <v>0</v>
      </c>
      <c r="M20" s="155" t="n">
        <f aca="false">SUM(M16:M19)</f>
        <v>79973307.462214</v>
      </c>
      <c r="N20" s="155" t="n">
        <f aca="false">SUM(N16:N19)</f>
        <v>306048442.520377</v>
      </c>
      <c r="O20" s="155" t="n">
        <f aca="false">SUM(O16:O19)</f>
        <v>1285856923.32446</v>
      </c>
      <c r="P20" s="169" t="n">
        <f aca="false">ROUND(O20-D20,0)</f>
        <v>386021750</v>
      </c>
      <c r="Q20" s="159" t="n">
        <f aca="false">SUM(Q16:Q19)</f>
        <v>8002488715.2214</v>
      </c>
      <c r="R20" s="152" t="n">
        <f aca="false">D20/$Q20*100</f>
        <v>11.2444416401401</v>
      </c>
      <c r="S20" s="152" t="n">
        <f aca="false">E20/$Q20*100</f>
        <v>0.692457849190198</v>
      </c>
      <c r="T20" s="152" t="n">
        <f aca="false">F20/$Q20*100</f>
        <v>0.27007860757964</v>
      </c>
      <c r="U20" s="152" t="n">
        <f aca="false">G20/$Q20*100</f>
        <v>0.358814239487673</v>
      </c>
      <c r="V20" s="152" t="n">
        <f aca="false">H20/$Q20*100</f>
        <v>3.72544161027658</v>
      </c>
      <c r="W20" s="152" t="n">
        <f aca="false">I20/$Q20*100</f>
        <v>0.0521719028786845</v>
      </c>
      <c r="X20" s="152" t="n">
        <f aca="false">J20/$Q20*100</f>
        <v>5.10607679092472</v>
      </c>
      <c r="Y20" s="152" t="n">
        <f aca="false">K20/$Q20*100</f>
        <v>1.03940063980257</v>
      </c>
      <c r="Z20" s="152" t="n">
        <f aca="false">L20/$Q20*100</f>
        <v>0</v>
      </c>
      <c r="AA20" s="154" t="n">
        <f aca="false">M20/$Q20*100</f>
        <v>0.99935545438631</v>
      </c>
      <c r="AB20" s="152" t="n">
        <f aca="false">N20/$Q20*100</f>
        <v>3.82441579627907</v>
      </c>
      <c r="AC20" s="152" t="n">
        <f aca="false">O20/$Q20*100</f>
        <v>16.0682128908054</v>
      </c>
      <c r="AD20" s="152"/>
      <c r="AE20" s="157"/>
      <c r="AF20" s="141" t="n">
        <f aca="false">(AC20-AG20)/AG20</f>
        <v>0.312355372010272</v>
      </c>
      <c r="AG20" s="152" t="n">
        <f aca="false">AA20+R20</f>
        <v>12.2437970945264</v>
      </c>
      <c r="AH20" s="152"/>
      <c r="AI20" s="141"/>
      <c r="AJ20" s="141"/>
      <c r="AK20" s="141"/>
      <c r="AL20" s="141"/>
      <c r="AM20" s="141"/>
      <c r="AN20" s="162"/>
      <c r="AO20" s="162"/>
      <c r="AP20" s="162"/>
      <c r="AQ20" s="158"/>
      <c r="AR20" s="162"/>
      <c r="AS20" s="163"/>
      <c r="AT20" s="163"/>
      <c r="AU20" s="162"/>
      <c r="AV20" s="163"/>
      <c r="AW20" s="162"/>
      <c r="AX20" s="163"/>
      <c r="AY20" s="162"/>
      <c r="AZ20" s="163"/>
      <c r="BA20" s="162"/>
      <c r="BB20" s="163"/>
      <c r="BC20" s="162"/>
      <c r="BD20" s="163"/>
      <c r="BE20" s="162"/>
      <c r="BF20" s="164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  <c r="IR20" s="105"/>
      <c r="IS20" s="105"/>
      <c r="IT20" s="105"/>
      <c r="IU20" s="105"/>
      <c r="IV20" s="105"/>
      <c r="IW20" s="105"/>
    </row>
    <row r="21" customFormat="false" ht="9" hidden="false" customHeight="true" outlineLevel="0" collapsed="false">
      <c r="A21" s="84"/>
      <c r="B21" s="92"/>
      <c r="C21" s="79"/>
      <c r="D21" s="167"/>
      <c r="E21" s="156"/>
      <c r="F21" s="167"/>
      <c r="G21" s="167"/>
      <c r="H21" s="167"/>
      <c r="I21" s="167"/>
      <c r="J21" s="155"/>
      <c r="K21" s="155"/>
      <c r="L21" s="155"/>
      <c r="M21" s="155"/>
      <c r="N21" s="155"/>
      <c r="O21" s="155"/>
      <c r="P21" s="169"/>
      <c r="Q21" s="159"/>
      <c r="R21" s="152"/>
      <c r="S21" s="152"/>
      <c r="T21" s="152"/>
      <c r="U21" s="152"/>
      <c r="V21" s="152"/>
      <c r="W21" s="152"/>
      <c r="X21" s="152"/>
      <c r="Y21" s="152"/>
      <c r="Z21" s="152"/>
      <c r="AA21" s="154"/>
      <c r="AB21" s="152"/>
      <c r="AC21" s="152"/>
      <c r="AD21" s="152"/>
      <c r="AE21" s="157"/>
      <c r="AF21" s="141"/>
      <c r="AG21" s="152" t="n">
        <f aca="false">AA21+R21</f>
        <v>0</v>
      </c>
      <c r="AH21" s="152"/>
      <c r="AI21" s="141"/>
      <c r="AJ21" s="141"/>
      <c r="AK21" s="141"/>
      <c r="AL21" s="141"/>
      <c r="AM21" s="141"/>
      <c r="AN21" s="158"/>
      <c r="AO21" s="158"/>
      <c r="AP21" s="162"/>
      <c r="AQ21" s="158"/>
      <c r="AR21" s="162"/>
      <c r="AS21" s="163"/>
      <c r="AT21" s="163"/>
      <c r="AU21" s="162"/>
      <c r="AV21" s="163"/>
      <c r="AW21" s="162"/>
      <c r="AX21" s="163"/>
      <c r="AY21" s="162"/>
      <c r="AZ21" s="163"/>
      <c r="BA21" s="162"/>
      <c r="BB21" s="163"/>
      <c r="BC21" s="162"/>
      <c r="BD21" s="163"/>
      <c r="BE21" s="158"/>
      <c r="BF21" s="164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5"/>
      <c r="IP21" s="105"/>
      <c r="IQ21" s="105"/>
      <c r="IR21" s="105"/>
      <c r="IS21" s="105"/>
      <c r="IT21" s="105"/>
      <c r="IU21" s="105"/>
      <c r="IV21" s="105"/>
      <c r="IW21" s="105"/>
    </row>
    <row r="22" customFormat="false" ht="12.75" hidden="false" customHeight="false" outlineLevel="0" collapsed="false">
      <c r="A22" s="84"/>
      <c r="B22" s="85" t="s">
        <v>306</v>
      </c>
      <c r="C22" s="79"/>
      <c r="D22" s="167"/>
      <c r="E22" s="156"/>
      <c r="F22" s="167"/>
      <c r="G22" s="167"/>
      <c r="H22" s="167"/>
      <c r="I22" s="167"/>
      <c r="J22" s="155"/>
      <c r="K22" s="155"/>
      <c r="L22" s="155"/>
      <c r="M22" s="155"/>
      <c r="N22" s="155"/>
      <c r="O22" s="155"/>
      <c r="P22" s="169"/>
      <c r="Q22" s="159"/>
      <c r="R22" s="152"/>
      <c r="S22" s="152"/>
      <c r="T22" s="152"/>
      <c r="U22" s="152"/>
      <c r="V22" s="152"/>
      <c r="W22" s="152"/>
      <c r="X22" s="152"/>
      <c r="Y22" s="152"/>
      <c r="Z22" s="152"/>
      <c r="AA22" s="154"/>
      <c r="AB22" s="152"/>
      <c r="AC22" s="152"/>
      <c r="AD22" s="152"/>
      <c r="AE22" s="157"/>
      <c r="AF22" s="141"/>
      <c r="AG22" s="152" t="n">
        <f aca="false">AA22+R22</f>
        <v>0</v>
      </c>
      <c r="AH22" s="152"/>
      <c r="AI22" s="141"/>
      <c r="AJ22" s="141"/>
      <c r="AK22" s="141"/>
      <c r="AL22" s="141"/>
      <c r="AM22" s="141"/>
      <c r="AN22" s="158"/>
      <c r="AO22" s="158"/>
      <c r="AP22" s="162"/>
      <c r="AQ22" s="158"/>
      <c r="AR22" s="162"/>
      <c r="AS22" s="163"/>
      <c r="AT22" s="163"/>
      <c r="AU22" s="162"/>
      <c r="AV22" s="163"/>
      <c r="AW22" s="162"/>
      <c r="AX22" s="163"/>
      <c r="AY22" s="162"/>
      <c r="AZ22" s="163"/>
      <c r="BA22" s="162"/>
      <c r="BB22" s="163"/>
      <c r="BC22" s="162"/>
      <c r="BD22" s="163"/>
      <c r="BE22" s="158"/>
      <c r="BF22" s="164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5"/>
      <c r="IP22" s="105"/>
      <c r="IQ22" s="105"/>
      <c r="IR22" s="105"/>
      <c r="IS22" s="105"/>
      <c r="IT22" s="105"/>
      <c r="IU22" s="105"/>
      <c r="IV22" s="105"/>
      <c r="IW22" s="105"/>
    </row>
    <row r="23" customFormat="false" ht="12.75" hidden="false" customHeight="false" outlineLevel="0" collapsed="false">
      <c r="A23" s="84"/>
      <c r="B23" s="94" t="s">
        <v>307</v>
      </c>
      <c r="C23" s="82" t="s">
        <v>234</v>
      </c>
      <c r="D23" s="165" t="n">
        <f aca="false">'Test Year 2001 Sales and Revs.'!G25+'Test Year 2001 Sales and Revs.'!G26</f>
        <v>8480988.73041557</v>
      </c>
      <c r="E23" s="166" t="n">
        <v>426329.56210263</v>
      </c>
      <c r="F23" s="167" t="n">
        <f aca="false">2776.47971254393+245474.915937787</f>
        <v>248251.395650331</v>
      </c>
      <c r="G23" s="167" t="n">
        <v>256424.065638674</v>
      </c>
      <c r="H23" s="167" t="n">
        <v>1689747.77474587</v>
      </c>
      <c r="I23" s="167" t="n">
        <v>36239.3124797614</v>
      </c>
      <c r="J23" s="155" t="n">
        <f aca="false">D23-SUM(E23:I23,K23)</f>
        <v>5812707.81147151</v>
      </c>
      <c r="K23" s="168" t="n">
        <f aca="false">'Test Year 2001 Sales and Revs.'!N26</f>
        <v>11288.8083267999</v>
      </c>
      <c r="L23" s="168" t="n">
        <f aca="false">IF(allocation_method&gt;=6,CHOOSE(gen_choice,'Generation Calculations'!H26-'Generation Calculations'!I26+'Generation Calculations'!J26,'Generation Calculations'!G26+'Generation Calculations'!H26-'Generation Calculations'!I26+'Generation Calculations'!J26),0)</f>
        <v>0</v>
      </c>
      <c r="M23" s="168" t="n">
        <f aca="false">'Test Year 2001 Sales and Revs.'!K26+'Test Year 2001 Sales and Revs.'!K25</f>
        <v>906473.76</v>
      </c>
      <c r="N23" s="168" t="n">
        <f aca="false">CHOOSE(allocation_method,'RSP Surch Allocations'!E24,'RSP Surch Allocations'!J24,'RSP Surch Allocations'!N24,'RSP Surch Allocations'!Q24,'RSP Surch Allocations'!AA24,'RSP Surch Allocations'!AH24,'RSP Surch Allocations'!AS24,'RSP Surch Allocations'!BD24,'RSP Surch Allocations'!BO24,'RSP Surch Allocations'!BZ24,)</f>
        <v>3468968.47507112</v>
      </c>
      <c r="O23" s="155" t="n">
        <f aca="false">SUM(E23:N23)</f>
        <v>12856430.9654867</v>
      </c>
      <c r="P23" s="169" t="n">
        <f aca="false">ROUND(O23-D23,0)</f>
        <v>4375442</v>
      </c>
      <c r="Q23" s="170" t="n">
        <f aca="false">'Test Year 2001 Sales and Revs.'!F25+'Test Year 2001 Sales and Revs.'!F26</f>
        <v>90647376</v>
      </c>
      <c r="R23" s="152" t="n">
        <f aca="false">D23/$Q23*100</f>
        <v>9.35602231929535</v>
      </c>
      <c r="S23" s="152" t="n">
        <f aca="false">E23/$Q23*100</f>
        <v>0.470316495540511</v>
      </c>
      <c r="T23" s="152" t="n">
        <f aca="false">F23/$Q23*100</f>
        <v>0.273864955175681</v>
      </c>
      <c r="U23" s="152" t="n">
        <f aca="false">G23/$Q23*100</f>
        <v>0.282880847691249</v>
      </c>
      <c r="V23" s="152" t="n">
        <f aca="false">H23/$Q23*100</f>
        <v>1.86408901096693</v>
      </c>
      <c r="W23" s="152" t="n">
        <f aca="false">I23/$Q23*100</f>
        <v>0.039978335919797</v>
      </c>
      <c r="X23" s="152" t="n">
        <f aca="false">J23/$Q23*100</f>
        <v>6.41243913279024</v>
      </c>
      <c r="Y23" s="152" t="n">
        <f aca="false">K23/$Q23*100</f>
        <v>0.0124535412109446</v>
      </c>
      <c r="Z23" s="152" t="n">
        <f aca="false">L23/$Q23*100</f>
        <v>0</v>
      </c>
      <c r="AA23" s="154" t="n">
        <f aca="false">M23/$Q23*100</f>
        <v>1</v>
      </c>
      <c r="AB23" s="152" t="n">
        <f aca="false">N23/$Q23*100</f>
        <v>3.82688239654187</v>
      </c>
      <c r="AC23" s="152" t="n">
        <f aca="false">O23/$Q23*100</f>
        <v>14.1829047158372</v>
      </c>
      <c r="AD23" s="152"/>
      <c r="AE23" s="157"/>
      <c r="AF23" s="141" t="n">
        <f aca="false">(AC23-AG23)/AG23</f>
        <v>0.369532073082888</v>
      </c>
      <c r="AG23" s="152" t="n">
        <f aca="false">AA23+R23</f>
        <v>10.3560223192953</v>
      </c>
      <c r="AH23" s="152"/>
      <c r="AI23" s="141"/>
      <c r="AJ23" s="141"/>
      <c r="AK23" s="141"/>
      <c r="AL23" s="141"/>
      <c r="AM23" s="141"/>
      <c r="AN23" s="162"/>
      <c r="AO23" s="162"/>
      <c r="AP23" s="162"/>
      <c r="AQ23" s="158"/>
      <c r="AR23" s="162"/>
      <c r="AS23" s="163"/>
      <c r="AT23" s="163"/>
      <c r="AU23" s="162"/>
      <c r="AV23" s="163"/>
      <c r="AW23" s="162"/>
      <c r="AX23" s="163"/>
      <c r="AY23" s="162"/>
      <c r="AZ23" s="163"/>
      <c r="BA23" s="162"/>
      <c r="BB23" s="163"/>
      <c r="BC23" s="162"/>
      <c r="BD23" s="163"/>
      <c r="BE23" s="162"/>
      <c r="BF23" s="164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5"/>
      <c r="IP23" s="105"/>
      <c r="IQ23" s="105"/>
      <c r="IR23" s="105"/>
      <c r="IS23" s="105"/>
      <c r="IT23" s="105"/>
      <c r="IU23" s="105"/>
      <c r="IV23" s="105"/>
      <c r="IW23" s="105"/>
    </row>
    <row r="24" customFormat="false" ht="12.75" hidden="false" customHeight="false" outlineLevel="0" collapsed="false">
      <c r="A24" s="84"/>
      <c r="B24" s="92" t="s">
        <v>307</v>
      </c>
      <c r="C24" s="82" t="s">
        <v>231</v>
      </c>
      <c r="D24" s="174" t="n">
        <v>1272618916.98408</v>
      </c>
      <c r="E24" s="173" t="n">
        <v>60472000.3242001</v>
      </c>
      <c r="F24" s="174" t="n">
        <v>37242088.1890575</v>
      </c>
      <c r="G24" s="174" t="n">
        <v>38065159.7076438</v>
      </c>
      <c r="H24" s="174" t="n">
        <v>295247868.658954</v>
      </c>
      <c r="I24" s="174" t="n">
        <v>5401137.5260846</v>
      </c>
      <c r="J24" s="175" t="n">
        <f aca="false">D24-SUM(E24:I24,K24)</f>
        <v>827939277.206088</v>
      </c>
      <c r="K24" s="176" t="n">
        <f aca="false">'Test Year 2001 Sales and Revs.'!N27</f>
        <v>8251385.37205624</v>
      </c>
      <c r="L24" s="176" t="n">
        <f aca="false">IF(allocation_method&gt;=6,CHOOSE(gen_choice,'Generation Calculations'!H27-'Generation Calculations'!I27+'Generation Calculations'!J27,'Generation Calculations'!G27+'Generation Calculations'!H27-'Generation Calculations'!I27+'Generation Calculations'!J27),0)</f>
        <v>0</v>
      </c>
      <c r="M24" s="176" t="n">
        <f aca="false">'Test Year 2001 Sales and Revs.'!K27</f>
        <v>128598512.525824</v>
      </c>
      <c r="N24" s="176" t="n">
        <f aca="false">CHOOSE(allocation_method,'RSP Surch Allocations'!E25,'RSP Surch Allocations'!J25,'RSP Surch Allocations'!N25,'RSP Surch Allocations'!Q25,'RSP Surch Allocations'!AA25,'RSP Surch Allocations'!AH25,'RSP Surch Allocations'!AS25,'RSP Surch Allocations'!BD25,'RSP Surch Allocations'!BO25,'RSP Surch Allocations'!BZ25,)</f>
        <v>492131383.806544</v>
      </c>
      <c r="O24" s="155" t="n">
        <f aca="false">SUM(E24:N24)</f>
        <v>1893348813.31645</v>
      </c>
      <c r="P24" s="169" t="n">
        <f aca="false">ROUND(O24-D24,0)</f>
        <v>620729896</v>
      </c>
      <c r="Q24" s="177" t="n">
        <v>12859851252.5824</v>
      </c>
      <c r="R24" s="178" t="n">
        <f aca="false">D24/$Q24*100</f>
        <v>9.89606249705673</v>
      </c>
      <c r="S24" s="178" t="n">
        <f aca="false">E24/$Q24*100</f>
        <v>0.470238723111644</v>
      </c>
      <c r="T24" s="178" t="n">
        <f aca="false">F24/$Q24*100</f>
        <v>0.289599680879504</v>
      </c>
      <c r="U24" s="178" t="n">
        <f aca="false">G24/$Q24*100</f>
        <v>0.296</v>
      </c>
      <c r="V24" s="178" t="n">
        <f aca="false">H24/$Q24*100</f>
        <v>2.29588867600366</v>
      </c>
      <c r="W24" s="178" t="n">
        <f aca="false">I24/$Q24*100</f>
        <v>0.042</v>
      </c>
      <c r="X24" s="178" t="n">
        <f aca="false">J24/$Q24*100</f>
        <v>6.43817149160128</v>
      </c>
      <c r="Y24" s="178" t="n">
        <f aca="false">K24/$Q24*100</f>
        <v>0.0641639254606408</v>
      </c>
      <c r="Z24" s="178" t="n">
        <f aca="false">L24/$Q24*100</f>
        <v>0</v>
      </c>
      <c r="AA24" s="150" t="n">
        <f aca="false">M24/$Q24*100</f>
        <v>1</v>
      </c>
      <c r="AB24" s="178" t="n">
        <f aca="false">N24/$Q24*100</f>
        <v>3.82688239654187</v>
      </c>
      <c r="AC24" s="178" t="n">
        <f aca="false">O24/$Q24*100</f>
        <v>14.7229448935986</v>
      </c>
      <c r="AD24" s="178"/>
      <c r="AE24" s="157"/>
      <c r="AF24" s="151" t="n">
        <f aca="false">(AC24-AG24)/AG24</f>
        <v>0.351217001331958</v>
      </c>
      <c r="AG24" s="152" t="n">
        <f aca="false">AA24+R24</f>
        <v>10.8960624970567</v>
      </c>
      <c r="AH24" s="152"/>
      <c r="AI24" s="151"/>
      <c r="AJ24" s="151"/>
      <c r="AK24" s="151"/>
      <c r="AL24" s="151"/>
      <c r="AM24" s="151"/>
      <c r="AN24" s="179"/>
      <c r="AO24" s="179"/>
      <c r="AP24" s="179"/>
      <c r="AQ24" s="180"/>
      <c r="AR24" s="179"/>
      <c r="AS24" s="181"/>
      <c r="AT24" s="181"/>
      <c r="AU24" s="179"/>
      <c r="AV24" s="181"/>
      <c r="AW24" s="179"/>
      <c r="AX24" s="181"/>
      <c r="AY24" s="179"/>
      <c r="AZ24" s="181"/>
      <c r="BA24" s="179"/>
      <c r="BB24" s="181"/>
      <c r="BC24" s="179"/>
      <c r="BD24" s="181"/>
      <c r="BE24" s="179"/>
      <c r="BF24" s="182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  <c r="IQ24" s="105"/>
      <c r="IR24" s="105"/>
      <c r="IS24" s="105"/>
      <c r="IT24" s="105"/>
      <c r="IU24" s="105"/>
      <c r="IV24" s="105"/>
      <c r="IW24" s="105"/>
    </row>
    <row r="25" customFormat="false" ht="12.75" hidden="false" customHeight="false" outlineLevel="0" collapsed="false">
      <c r="A25" s="84"/>
      <c r="B25" s="95" t="s">
        <v>308</v>
      </c>
      <c r="C25" s="84"/>
      <c r="D25" s="156" t="n">
        <f aca="false">SUM(D23:D24)</f>
        <v>1281099905.7145</v>
      </c>
      <c r="E25" s="156" t="n">
        <f aca="false">SUM(E23:E24)</f>
        <v>60898329.8863027</v>
      </c>
      <c r="F25" s="156" t="n">
        <f aca="false">SUM(F23:F24)</f>
        <v>37490339.5847078</v>
      </c>
      <c r="G25" s="156" t="n">
        <f aca="false">SUM(G23:G24)</f>
        <v>38321583.7732825</v>
      </c>
      <c r="H25" s="156" t="n">
        <f aca="false">SUM(H23:H24)</f>
        <v>296937616.4337</v>
      </c>
      <c r="I25" s="156" t="n">
        <f aca="false">SUM(I23:I24)</f>
        <v>5437376.83856436</v>
      </c>
      <c r="J25" s="156" t="n">
        <f aca="false">SUM(J23:J24)</f>
        <v>833751985.01756</v>
      </c>
      <c r="K25" s="156" t="n">
        <f aca="false">SUM(K23:K24)</f>
        <v>8262674.18038304</v>
      </c>
      <c r="L25" s="156" t="n">
        <f aca="false">SUM(L23:L24)</f>
        <v>0</v>
      </c>
      <c r="M25" s="156" t="n">
        <f aca="false">SUM(M23:M24)</f>
        <v>129504986.285824</v>
      </c>
      <c r="N25" s="156" t="n">
        <f aca="false">SUM(N23:N24)</f>
        <v>495600352.281615</v>
      </c>
      <c r="O25" s="156" t="n">
        <f aca="false">SUM(O23:O24)</f>
        <v>1906205244.28194</v>
      </c>
      <c r="P25" s="169" t="n">
        <f aca="false">ROUND(O25-D25,0)</f>
        <v>625105339</v>
      </c>
      <c r="Q25" s="159" t="n">
        <f aca="false">SUM(Q23:Q24)</f>
        <v>12950498628.5824</v>
      </c>
      <c r="R25" s="152" t="n">
        <f aca="false">D25/$Q25*100</f>
        <v>9.89228247078495</v>
      </c>
      <c r="S25" s="152" t="n">
        <f aca="false">E25/$Q25*100</f>
        <v>0.470239267481927</v>
      </c>
      <c r="T25" s="152" t="n">
        <f aca="false">F25/$Q25*100</f>
        <v>0.289489545228512</v>
      </c>
      <c r="U25" s="152" t="n">
        <f aca="false">G25/$Q25*100</f>
        <v>0.295908172127866</v>
      </c>
      <c r="V25" s="152" t="n">
        <f aca="false">H25/$Q25*100</f>
        <v>2.29286628221669</v>
      </c>
      <c r="W25" s="152" t="n">
        <f aca="false">I25/$Q25*100</f>
        <v>0.0419858493059395</v>
      </c>
      <c r="X25" s="152" t="n">
        <f aca="false">J25/$Q25*100</f>
        <v>6.43799137723878</v>
      </c>
      <c r="Y25" s="152" t="n">
        <f aca="false">K25/$Q25*100</f>
        <v>0.0638019771852407</v>
      </c>
      <c r="Z25" s="152" t="n">
        <f aca="false">L25/$Q25*100</f>
        <v>0</v>
      </c>
      <c r="AA25" s="154" t="n">
        <f aca="false">M25/$Q25*100</f>
        <v>1</v>
      </c>
      <c r="AB25" s="152" t="n">
        <f aca="false">N25/$Q25*100</f>
        <v>3.82688239654187</v>
      </c>
      <c r="AC25" s="152" t="n">
        <f aca="false">O25/$Q25*100</f>
        <v>14.7191648673268</v>
      </c>
      <c r="AD25" s="152"/>
      <c r="AE25" s="157"/>
      <c r="AF25" s="141" t="n">
        <f aca="false">(AC25-AG25)/AG25</f>
        <v>0.351338886666432</v>
      </c>
      <c r="AG25" s="152" t="n">
        <f aca="false">AA25+R25</f>
        <v>10.892282470785</v>
      </c>
      <c r="AH25" s="152"/>
      <c r="AI25" s="141"/>
      <c r="AJ25" s="141"/>
      <c r="AK25" s="141"/>
      <c r="AL25" s="141"/>
      <c r="AM25" s="141"/>
      <c r="AN25" s="162"/>
      <c r="AO25" s="162"/>
      <c r="AP25" s="162"/>
      <c r="AQ25" s="158"/>
      <c r="AR25" s="162"/>
      <c r="AS25" s="163"/>
      <c r="AT25" s="163"/>
      <c r="AU25" s="162"/>
      <c r="AV25" s="163"/>
      <c r="AW25" s="162"/>
      <c r="AX25" s="163"/>
      <c r="AY25" s="162"/>
      <c r="AZ25" s="163"/>
      <c r="BA25" s="162"/>
      <c r="BB25" s="163"/>
      <c r="BC25" s="162"/>
      <c r="BD25" s="163"/>
      <c r="BE25" s="162"/>
      <c r="BF25" s="164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  <c r="IW25" s="171"/>
    </row>
    <row r="26" customFormat="false" ht="9.75" hidden="false" customHeight="true" outlineLevel="0" collapsed="false">
      <c r="A26" s="84"/>
      <c r="B26" s="92"/>
      <c r="C26" s="79"/>
      <c r="D26" s="167"/>
      <c r="E26" s="156"/>
      <c r="F26" s="167"/>
      <c r="G26" s="167"/>
      <c r="H26" s="167"/>
      <c r="I26" s="167"/>
      <c r="J26" s="155"/>
      <c r="K26" s="155"/>
      <c r="L26" s="155"/>
      <c r="M26" s="155"/>
      <c r="N26" s="155"/>
      <c r="O26" s="155"/>
      <c r="P26" s="169"/>
      <c r="Q26" s="159"/>
      <c r="R26" s="152"/>
      <c r="S26" s="152"/>
      <c r="T26" s="152"/>
      <c r="U26" s="152"/>
      <c r="V26" s="152"/>
      <c r="W26" s="152"/>
      <c r="X26" s="152"/>
      <c r="Y26" s="152"/>
      <c r="Z26" s="152"/>
      <c r="AA26" s="154"/>
      <c r="AB26" s="152"/>
      <c r="AC26" s="152"/>
      <c r="AD26" s="152"/>
      <c r="AE26" s="157"/>
      <c r="AF26" s="141"/>
      <c r="AG26" s="152" t="n">
        <f aca="false">AA26+R26</f>
        <v>0</v>
      </c>
      <c r="AH26" s="152"/>
      <c r="AI26" s="141"/>
      <c r="AJ26" s="141"/>
      <c r="AK26" s="141"/>
      <c r="AL26" s="141"/>
      <c r="AM26" s="141"/>
      <c r="AN26" s="158"/>
      <c r="AO26" s="158"/>
      <c r="AP26" s="162"/>
      <c r="AQ26" s="158"/>
      <c r="AR26" s="162"/>
      <c r="AS26" s="163"/>
      <c r="AT26" s="163"/>
      <c r="AU26" s="162"/>
      <c r="AV26" s="163"/>
      <c r="AW26" s="162"/>
      <c r="AX26" s="163"/>
      <c r="AY26" s="162"/>
      <c r="AZ26" s="163"/>
      <c r="BA26" s="162"/>
      <c r="BB26" s="163"/>
      <c r="BC26" s="162"/>
      <c r="BD26" s="163"/>
      <c r="BE26" s="158"/>
      <c r="BF26" s="164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  <c r="IW26" s="105"/>
    </row>
    <row r="27" customFormat="false" ht="12.75" hidden="false" customHeight="false" outlineLevel="0" collapsed="false">
      <c r="A27" s="84"/>
      <c r="B27" s="96" t="s">
        <v>309</v>
      </c>
      <c r="C27" s="79"/>
      <c r="D27" s="167"/>
      <c r="E27" s="156"/>
      <c r="F27" s="167"/>
      <c r="G27" s="167"/>
      <c r="H27" s="167"/>
      <c r="I27" s="167"/>
      <c r="J27" s="155"/>
      <c r="K27" s="155"/>
      <c r="L27" s="155"/>
      <c r="M27" s="155"/>
      <c r="N27" s="155"/>
      <c r="O27" s="155"/>
      <c r="P27" s="169"/>
      <c r="Q27" s="159"/>
      <c r="R27" s="152"/>
      <c r="S27" s="152"/>
      <c r="T27" s="152"/>
      <c r="U27" s="152"/>
      <c r="V27" s="152"/>
      <c r="W27" s="152"/>
      <c r="X27" s="152"/>
      <c r="Y27" s="152"/>
      <c r="Z27" s="152"/>
      <c r="AA27" s="154"/>
      <c r="AB27" s="152"/>
      <c r="AC27" s="152"/>
      <c r="AD27" s="152"/>
      <c r="AE27" s="157"/>
      <c r="AF27" s="141"/>
      <c r="AG27" s="152" t="n">
        <f aca="false">AA27+R27</f>
        <v>0</v>
      </c>
      <c r="AH27" s="152"/>
      <c r="AI27" s="141"/>
      <c r="AJ27" s="141"/>
      <c r="AK27" s="141"/>
      <c r="AL27" s="141"/>
      <c r="AM27" s="141"/>
      <c r="AN27" s="158"/>
      <c r="AO27" s="158"/>
      <c r="AP27" s="162"/>
      <c r="AQ27" s="158"/>
      <c r="AR27" s="162"/>
      <c r="AS27" s="163"/>
      <c r="AT27" s="163"/>
      <c r="AU27" s="162"/>
      <c r="AV27" s="163"/>
      <c r="AW27" s="162"/>
      <c r="AX27" s="163"/>
      <c r="AY27" s="162"/>
      <c r="AZ27" s="163"/>
      <c r="BA27" s="162"/>
      <c r="BB27" s="163"/>
      <c r="BC27" s="162"/>
      <c r="BD27" s="163"/>
      <c r="BE27" s="158"/>
      <c r="BF27" s="164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  <c r="IP27" s="105"/>
      <c r="IQ27" s="105"/>
      <c r="IR27" s="105"/>
      <c r="IS27" s="105"/>
      <c r="IT27" s="105"/>
      <c r="IU27" s="105"/>
      <c r="IV27" s="105"/>
      <c r="IW27" s="105"/>
    </row>
    <row r="28" customFormat="false" ht="12.75" hidden="false" customHeight="false" outlineLevel="0" collapsed="false">
      <c r="A28" s="84"/>
      <c r="B28" s="94" t="s">
        <v>310</v>
      </c>
      <c r="C28" s="82" t="s">
        <v>236</v>
      </c>
      <c r="D28" s="166" t="n">
        <v>740267.477385463</v>
      </c>
      <c r="E28" s="166" t="n">
        <v>40964.5270873572</v>
      </c>
      <c r="F28" s="166" t="n">
        <v>23860.1262066624</v>
      </c>
      <c r="G28" s="166" t="n">
        <v>21426.5797509004</v>
      </c>
      <c r="H28" s="166" t="n">
        <v>61178.0864762471</v>
      </c>
      <c r="I28" s="166" t="n">
        <v>2961.39720134395</v>
      </c>
      <c r="J28" s="155" t="n">
        <f aca="false">D28-SUM(E28:I28,K28)</f>
        <v>589876.760662952</v>
      </c>
      <c r="K28" s="168"/>
      <c r="L28" s="168" t="n">
        <f aca="false">IF(allocation_method&gt;=6,CHOOSE(gen_choice,'Generation Calculations'!H32-'Generation Calculations'!I32+'Generation Calculations'!J32,'Generation Calculations'!G32+'Generation Calculations'!H32-'Generation Calculations'!I32+'Generation Calculations'!J32),0)</f>
        <v>0</v>
      </c>
      <c r="M28" s="168" t="n">
        <f aca="false">'Test Year 2001 Sales and Revs.'!K32</f>
        <v>87099.9176865869</v>
      </c>
      <c r="N28" s="168" t="n">
        <f aca="false">CHOOSE(allocation_method,'RSP Surch Allocations'!E29,'RSP Surch Allocations'!J29,'RSP Surch Allocations'!N29,'RSP Surch Allocations'!Q29,'RSP Surch Allocations'!AA29,'RSP Surch Allocations'!AH29,'RSP Surch Allocations'!AS29,'RSP Surch Allocations'!BD29,'RSP Surch Allocations'!BO29,'RSP Surch Allocations'!BZ29,)</f>
        <v>333321.141735045</v>
      </c>
      <c r="O28" s="155" t="n">
        <f aca="false">SUM(E28:N28)</f>
        <v>1160688.5368071</v>
      </c>
      <c r="P28" s="169" t="n">
        <f aca="false">ROUND(O28-D28,0)</f>
        <v>420421</v>
      </c>
      <c r="Q28" s="170" t="n">
        <v>8709991.76865869</v>
      </c>
      <c r="R28" s="152" t="n">
        <f aca="false">D28/$Q28*100</f>
        <v>8.49906058521411</v>
      </c>
      <c r="S28" s="152" t="n">
        <f aca="false">E28/$Q28*100</f>
        <v>0.470316484508752</v>
      </c>
      <c r="T28" s="152" t="n">
        <f aca="false">F28/$Q28*100</f>
        <v>0.273939710167336</v>
      </c>
      <c r="U28" s="152" t="n">
        <f aca="false">G28/$Q28*100</f>
        <v>0.246</v>
      </c>
      <c r="V28" s="152" t="n">
        <f aca="false">H28/$Q28*100</f>
        <v>0.702389716329989</v>
      </c>
      <c r="W28" s="152" t="n">
        <f aca="false">I28/$Q28*100</f>
        <v>0.034</v>
      </c>
      <c r="X28" s="152" t="n">
        <f aca="false">J28/$Q28*100</f>
        <v>6.77241467420803</v>
      </c>
      <c r="Y28" s="152" t="n">
        <f aca="false">K28/$Q28*100</f>
        <v>0</v>
      </c>
      <c r="Z28" s="152" t="n">
        <f aca="false">L28/$Q28*100</f>
        <v>0</v>
      </c>
      <c r="AA28" s="154" t="n">
        <f aca="false">M28/$Q28*100</f>
        <v>1</v>
      </c>
      <c r="AB28" s="152" t="n">
        <f aca="false">N28/$Q28*100</f>
        <v>3.82688239654187</v>
      </c>
      <c r="AC28" s="152" t="n">
        <f aca="false">O28/$Q28*100</f>
        <v>13.325942981756</v>
      </c>
      <c r="AD28" s="152"/>
      <c r="AE28" s="157"/>
      <c r="AF28" s="141" t="n">
        <f aca="false">(AC28-AG28)/AG28</f>
        <v>0.402869564017589</v>
      </c>
      <c r="AG28" s="152" t="n">
        <f aca="false">AA28+R28</f>
        <v>9.49906058521411</v>
      </c>
      <c r="AH28" s="152"/>
      <c r="AI28" s="141"/>
      <c r="AJ28" s="141"/>
      <c r="AK28" s="141"/>
      <c r="AL28" s="141"/>
      <c r="AM28" s="141"/>
      <c r="AN28" s="162"/>
      <c r="AO28" s="162"/>
      <c r="AP28" s="162"/>
      <c r="AQ28" s="158"/>
      <c r="AR28" s="162"/>
      <c r="AS28" s="163"/>
      <c r="AT28" s="163"/>
      <c r="AU28" s="162"/>
      <c r="AV28" s="163"/>
      <c r="AW28" s="162"/>
      <c r="AX28" s="163"/>
      <c r="AY28" s="162"/>
      <c r="AZ28" s="163"/>
      <c r="BA28" s="162"/>
      <c r="BB28" s="163"/>
      <c r="BC28" s="162"/>
      <c r="BD28" s="163"/>
      <c r="BE28" s="162"/>
      <c r="BF28" s="164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  <c r="IQ28" s="105"/>
      <c r="IR28" s="105"/>
      <c r="IS28" s="105"/>
      <c r="IT28" s="105"/>
      <c r="IU28" s="105"/>
      <c r="IV28" s="105"/>
      <c r="IW28" s="105"/>
    </row>
    <row r="29" customFormat="false" ht="12.75" hidden="false" customHeight="false" outlineLevel="0" collapsed="false">
      <c r="A29" s="84"/>
      <c r="B29" s="94" t="s">
        <v>311</v>
      </c>
      <c r="C29" s="82" t="s">
        <v>236</v>
      </c>
      <c r="D29" s="166" t="n">
        <v>175856.716813805</v>
      </c>
      <c r="E29" s="166" t="n">
        <v>10056.6758656358</v>
      </c>
      <c r="F29" s="166" t="n">
        <v>4425.51636201392</v>
      </c>
      <c r="G29" s="166" t="n">
        <v>5260.16479833619</v>
      </c>
      <c r="H29" s="166" t="n">
        <v>13370.9847532651</v>
      </c>
      <c r="I29" s="166" t="n">
        <v>727.014660745652</v>
      </c>
      <c r="J29" s="155" t="n">
        <f aca="false">D29-SUM(E29:I29,K29)</f>
        <v>142016.360373808</v>
      </c>
      <c r="K29" s="168"/>
      <c r="L29" s="168" t="n">
        <f aca="false">IF(allocation_method&gt;=6,CHOOSE(gen_choice,'Generation Calculations'!H33-'Generation Calculations'!I33+'Generation Calculations'!J33,'Generation Calculations'!G33+'Generation Calculations'!H33-'Generation Calculations'!I33+'Generation Calculations'!J33),0)</f>
        <v>0</v>
      </c>
      <c r="M29" s="168" t="n">
        <f aca="false">'Test Year 2001 Sales and Revs.'!K33</f>
        <v>21382.784139578</v>
      </c>
      <c r="N29" s="168" t="n">
        <f aca="false">CHOOSE(allocation_method,'RSP Surch Allocations'!E30,'RSP Surch Allocations'!J30,'RSP Surch Allocations'!N30,'RSP Surch Allocations'!Q30,'RSP Surch Allocations'!AA30,'RSP Surch Allocations'!AH30,'RSP Surch Allocations'!AS30,'RSP Surch Allocations'!BD30,'RSP Surch Allocations'!BO30,'RSP Surch Allocations'!BZ30,)</f>
        <v>81829.4002128057</v>
      </c>
      <c r="O29" s="155" t="n">
        <f aca="false">SUM(E29:N29)</f>
        <v>279068.901166189</v>
      </c>
      <c r="P29" s="169" t="n">
        <f aca="false">ROUND(O29-D29,0)</f>
        <v>103212</v>
      </c>
      <c r="Q29" s="170" t="n">
        <v>2138278.4139578</v>
      </c>
      <c r="R29" s="152" t="n">
        <f aca="false">D29/$Q29*100</f>
        <v>8.2242198053296</v>
      </c>
      <c r="S29" s="152" t="n">
        <f aca="false">E29/$Q29*100</f>
        <v>0.470316484513428</v>
      </c>
      <c r="T29" s="152" t="n">
        <f aca="false">F29/$Q29*100</f>
        <v>0.206966330161964</v>
      </c>
      <c r="U29" s="152" t="n">
        <f aca="false">G29/$Q29*100</f>
        <v>0.245999995323341</v>
      </c>
      <c r="V29" s="152" t="n">
        <f aca="false">H29/$Q29*100</f>
        <v>0.625315425062744</v>
      </c>
      <c r="W29" s="152" t="n">
        <f aca="false">I29/$Q29*100</f>
        <v>0.034</v>
      </c>
      <c r="X29" s="152" t="n">
        <f aca="false">J29/$Q29*100</f>
        <v>6.64162157026812</v>
      </c>
      <c r="Y29" s="152" t="n">
        <f aca="false">K29/$Q29*100</f>
        <v>0</v>
      </c>
      <c r="Z29" s="152" t="n">
        <f aca="false">L29/$Q29*100</f>
        <v>0</v>
      </c>
      <c r="AA29" s="154" t="n">
        <f aca="false">M29/$Q29*100</f>
        <v>1</v>
      </c>
      <c r="AB29" s="152" t="n">
        <f aca="false">N29/$Q29*100</f>
        <v>3.82688239654187</v>
      </c>
      <c r="AC29" s="152" t="n">
        <f aca="false">O29/$Q29*100</f>
        <v>13.0511022018715</v>
      </c>
      <c r="AD29" s="152"/>
      <c r="AE29" s="157"/>
      <c r="AF29" s="141" t="n">
        <f aca="false">(AC29-AG29)/AG29</f>
        <v>0.414873287639001</v>
      </c>
      <c r="AG29" s="152" t="n">
        <f aca="false">AA29+R29</f>
        <v>9.2242198053296</v>
      </c>
      <c r="AH29" s="152"/>
      <c r="AI29" s="141"/>
      <c r="AJ29" s="141"/>
      <c r="AK29" s="141"/>
      <c r="AL29" s="141"/>
      <c r="AM29" s="141"/>
      <c r="AN29" s="162"/>
      <c r="AO29" s="162"/>
      <c r="AP29" s="162"/>
      <c r="AQ29" s="158"/>
      <c r="AR29" s="162"/>
      <c r="AS29" s="163"/>
      <c r="AT29" s="163"/>
      <c r="AU29" s="162"/>
      <c r="AV29" s="163"/>
      <c r="AW29" s="162"/>
      <c r="AX29" s="163"/>
      <c r="AY29" s="162"/>
      <c r="AZ29" s="163"/>
      <c r="BA29" s="162"/>
      <c r="BB29" s="163"/>
      <c r="BC29" s="162"/>
      <c r="BD29" s="163"/>
      <c r="BE29" s="162"/>
      <c r="BF29" s="164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  <c r="IG29" s="105"/>
      <c r="IH29" s="105"/>
      <c r="II29" s="105"/>
      <c r="IJ29" s="105"/>
      <c r="IK29" s="105"/>
      <c r="IL29" s="105"/>
      <c r="IM29" s="105"/>
      <c r="IN29" s="105"/>
      <c r="IO29" s="105"/>
      <c r="IP29" s="105"/>
      <c r="IQ29" s="105"/>
      <c r="IR29" s="105"/>
      <c r="IS29" s="105"/>
      <c r="IT29" s="105"/>
      <c r="IU29" s="105"/>
      <c r="IV29" s="105"/>
      <c r="IW29" s="105"/>
    </row>
    <row r="30" customFormat="false" ht="12.75" hidden="false" customHeight="false" outlineLevel="0" collapsed="false">
      <c r="A30" s="84"/>
      <c r="B30" s="94" t="s">
        <v>312</v>
      </c>
      <c r="C30" s="82" t="s">
        <v>236</v>
      </c>
      <c r="D30" s="173" t="n">
        <v>0</v>
      </c>
      <c r="E30" s="173" t="n">
        <v>0</v>
      </c>
      <c r="F30" s="173" t="n">
        <v>0</v>
      </c>
      <c r="G30" s="173" t="n">
        <v>0</v>
      </c>
      <c r="H30" s="173" t="n">
        <v>0</v>
      </c>
      <c r="I30" s="173" t="n">
        <v>0</v>
      </c>
      <c r="J30" s="155" t="n">
        <f aca="false">D30-SUM(E30:I30,K30)</f>
        <v>0</v>
      </c>
      <c r="K30" s="168"/>
      <c r="L30" s="176" t="n">
        <f aca="false">IF(allocation_method&gt;=6,CHOOSE(gen_choice,'Generation Calculations'!H34-'Generation Calculations'!I34+'Generation Calculations'!J34,'Generation Calculations'!G34+'Generation Calculations'!H34-'Generation Calculations'!I34+'Generation Calculations'!J34),0)</f>
        <v>0</v>
      </c>
      <c r="M30" s="168"/>
      <c r="N30" s="176" t="n">
        <f aca="false">CHOOSE(allocation_method,'RSP Surch Allocations'!E31,'RSP Surch Allocations'!J31,'RSP Surch Allocations'!N31,'RSP Surch Allocations'!Q31,'RSP Surch Allocations'!AA31,'RSP Surch Allocations'!AH31,'RSP Surch Allocations'!AS31,'RSP Surch Allocations'!BD31,'RSP Surch Allocations'!BO31,'RSP Surch Allocations'!BZ31,)</f>
        <v>0</v>
      </c>
      <c r="O30" s="155" t="n">
        <f aca="false">SUM(E30:N30)</f>
        <v>0</v>
      </c>
      <c r="P30" s="169"/>
      <c r="Q30" s="170" t="n">
        <v>0</v>
      </c>
      <c r="R30" s="178"/>
      <c r="S30" s="178"/>
      <c r="T30" s="178"/>
      <c r="U30" s="178"/>
      <c r="V30" s="178"/>
      <c r="W30" s="178"/>
      <c r="X30" s="178"/>
      <c r="Y30" s="178"/>
      <c r="Z30" s="178"/>
      <c r="AA30" s="150"/>
      <c r="AB30" s="178"/>
      <c r="AC30" s="178"/>
      <c r="AD30" s="178"/>
      <c r="AE30" s="183"/>
      <c r="AF30" s="151"/>
      <c r="AG30" s="152" t="n">
        <f aca="false">AA30+R30</f>
        <v>0</v>
      </c>
      <c r="AH30" s="152"/>
      <c r="AI30" s="151"/>
      <c r="AJ30" s="151"/>
      <c r="AK30" s="151"/>
      <c r="AL30" s="151"/>
      <c r="AM30" s="141"/>
      <c r="AN30" s="184"/>
      <c r="AO30" s="179"/>
      <c r="AP30" s="184"/>
      <c r="AQ30" s="180"/>
      <c r="AR30" s="179"/>
      <c r="AS30" s="181"/>
      <c r="AT30" s="181"/>
      <c r="AU30" s="179"/>
      <c r="AV30" s="181"/>
      <c r="AW30" s="179"/>
      <c r="AX30" s="181"/>
      <c r="AY30" s="179"/>
      <c r="AZ30" s="181"/>
      <c r="BA30" s="179"/>
      <c r="BB30" s="181"/>
      <c r="BC30" s="179"/>
      <c r="BD30" s="181"/>
      <c r="BE30" s="179"/>
      <c r="BF30" s="182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  <c r="IP30" s="105"/>
      <c r="IQ30" s="105"/>
      <c r="IR30" s="105"/>
      <c r="IS30" s="105"/>
      <c r="IT30" s="105"/>
      <c r="IU30" s="105"/>
      <c r="IV30" s="105"/>
      <c r="IW30" s="105"/>
    </row>
    <row r="31" customFormat="false" ht="12.75" hidden="false" customHeight="false" outlineLevel="0" collapsed="false">
      <c r="A31" s="84"/>
      <c r="B31" s="97" t="s">
        <v>313</v>
      </c>
      <c r="C31" s="98" t="s">
        <v>236</v>
      </c>
      <c r="D31" s="156" t="n">
        <f aca="false">SUM(D28:D30)</f>
        <v>916124.194199268</v>
      </c>
      <c r="E31" s="156" t="n">
        <f aca="false">SUM(E28:E30)</f>
        <v>51021.202952993</v>
      </c>
      <c r="F31" s="156" t="n">
        <f aca="false">SUM(F28:F30)</f>
        <v>28285.6425686764</v>
      </c>
      <c r="G31" s="156" t="n">
        <f aca="false">SUM(G28:G30)</f>
        <v>26686.7445492366</v>
      </c>
      <c r="H31" s="156" t="n">
        <f aca="false">SUM(H28:H30)</f>
        <v>74549.0712295122</v>
      </c>
      <c r="I31" s="156" t="n">
        <f aca="false">SUM(I28:I30)</f>
        <v>3688.4118620896</v>
      </c>
      <c r="J31" s="156" t="n">
        <f aca="false">SUM(J28:J30)</f>
        <v>731893.121036761</v>
      </c>
      <c r="K31" s="156" t="n">
        <f aca="false">SUM(K28:K30)</f>
        <v>0</v>
      </c>
      <c r="L31" s="156" t="n">
        <f aca="false">SUM(L28:L30)</f>
        <v>0</v>
      </c>
      <c r="M31" s="156" t="n">
        <f aca="false">SUM(M28:M30)</f>
        <v>108482.701826165</v>
      </c>
      <c r="N31" s="156" t="n">
        <f aca="false">SUM(N28:N30)</f>
        <v>415150.541947851</v>
      </c>
      <c r="O31" s="156" t="n">
        <f aca="false">SUM(O28:O30)</f>
        <v>1439757.43797328</v>
      </c>
      <c r="P31" s="169" t="n">
        <f aca="false">ROUND(O31-D31,0)</f>
        <v>523633</v>
      </c>
      <c r="Q31" s="159" t="n">
        <f aca="false">SUM(Q28:Q30)</f>
        <v>10848270.1826165</v>
      </c>
      <c r="R31" s="152" t="n">
        <f aca="false">D31/$Q31*100</f>
        <v>8.44488733021498</v>
      </c>
      <c r="S31" s="152" t="n">
        <f aca="false">F31/$Q31*100</f>
        <v>0.260738736153548</v>
      </c>
      <c r="T31" s="152" t="n">
        <f aca="false">G31/$Q31*100</f>
        <v>0.245999999078194</v>
      </c>
      <c r="U31" s="152" t="n">
        <f aca="false">G31/$Q31*100</f>
        <v>0.245999999078194</v>
      </c>
      <c r="V31" s="152" t="n">
        <f aca="false">H31/$Q31*100</f>
        <v>0.687197774157315</v>
      </c>
      <c r="W31" s="152" t="n">
        <f aca="false">I31/$Q31*100</f>
        <v>0.034</v>
      </c>
      <c r="X31" s="152" t="n">
        <f aca="false">J31/$Q31*100</f>
        <v>6.74663433631625</v>
      </c>
      <c r="Y31" s="152" t="n">
        <f aca="false">K31/$Q31*100</f>
        <v>0</v>
      </c>
      <c r="Z31" s="152" t="n">
        <f aca="false">L31/$Q31*100</f>
        <v>0</v>
      </c>
      <c r="AA31" s="154" t="n">
        <f aca="false">M31/$Q31*100</f>
        <v>1</v>
      </c>
      <c r="AB31" s="152" t="n">
        <f aca="false">N31/$Q31*100</f>
        <v>3.82688239654187</v>
      </c>
      <c r="AC31" s="152" t="n">
        <f aca="false">O31/$Q31*100</f>
        <v>13.2717697267568</v>
      </c>
      <c r="AD31" s="152"/>
      <c r="AE31" s="157"/>
      <c r="AF31" s="141" t="n">
        <f aca="false">(AC31-AG31)/AG31</f>
        <v>0.405180312135578</v>
      </c>
      <c r="AG31" s="152" t="n">
        <f aca="false">AA31+R31</f>
        <v>9.44488733021498</v>
      </c>
      <c r="AH31" s="152"/>
      <c r="AI31" s="141"/>
      <c r="AJ31" s="141"/>
      <c r="AK31" s="141"/>
      <c r="AL31" s="141"/>
      <c r="AM31" s="141"/>
      <c r="AN31" s="162"/>
      <c r="AO31" s="162"/>
      <c r="AP31" s="162"/>
      <c r="AQ31" s="158"/>
      <c r="AR31" s="162"/>
      <c r="AS31" s="163"/>
      <c r="AT31" s="163"/>
      <c r="AU31" s="162"/>
      <c r="AV31" s="163"/>
      <c r="AW31" s="162"/>
      <c r="AX31" s="163"/>
      <c r="AY31" s="162"/>
      <c r="AZ31" s="163"/>
      <c r="BA31" s="162"/>
      <c r="BB31" s="163"/>
      <c r="BC31" s="162"/>
      <c r="BD31" s="163"/>
      <c r="BE31" s="162"/>
      <c r="BF31" s="164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  <c r="IW31" s="171"/>
    </row>
    <row r="32" customFormat="false" ht="9.75" hidden="false" customHeight="true" outlineLevel="0" collapsed="false">
      <c r="A32" s="84"/>
      <c r="B32" s="92"/>
      <c r="C32" s="79"/>
      <c r="D32" s="167"/>
      <c r="E32" s="156"/>
      <c r="F32" s="167"/>
      <c r="G32" s="167"/>
      <c r="H32" s="167"/>
      <c r="I32" s="167"/>
      <c r="J32" s="155"/>
      <c r="K32" s="155"/>
      <c r="L32" s="155"/>
      <c r="M32" s="155"/>
      <c r="N32" s="155"/>
      <c r="O32" s="155"/>
      <c r="P32" s="169"/>
      <c r="Q32" s="159"/>
      <c r="R32" s="152"/>
      <c r="S32" s="152"/>
      <c r="T32" s="152"/>
      <c r="U32" s="152"/>
      <c r="V32" s="152"/>
      <c r="W32" s="152"/>
      <c r="X32" s="152"/>
      <c r="Y32" s="152"/>
      <c r="Z32" s="152"/>
      <c r="AA32" s="154"/>
      <c r="AB32" s="152"/>
      <c r="AC32" s="152"/>
      <c r="AD32" s="152"/>
      <c r="AE32" s="157"/>
      <c r="AF32" s="141"/>
      <c r="AG32" s="152" t="n">
        <f aca="false">AA32+R32</f>
        <v>0</v>
      </c>
      <c r="AH32" s="152"/>
      <c r="AI32" s="141"/>
      <c r="AJ32" s="141"/>
      <c r="AK32" s="141"/>
      <c r="AL32" s="141"/>
      <c r="AM32" s="141"/>
      <c r="AN32" s="158"/>
      <c r="AO32" s="158"/>
      <c r="AP32" s="162"/>
      <c r="AQ32" s="158"/>
      <c r="AR32" s="162"/>
      <c r="AS32" s="163"/>
      <c r="AT32" s="163"/>
      <c r="AU32" s="162"/>
      <c r="AV32" s="163"/>
      <c r="AW32" s="162"/>
      <c r="AX32" s="163"/>
      <c r="AY32" s="162"/>
      <c r="AZ32" s="163"/>
      <c r="BA32" s="162"/>
      <c r="BB32" s="163"/>
      <c r="BC32" s="162"/>
      <c r="BD32" s="163"/>
      <c r="BE32" s="158"/>
      <c r="BF32" s="164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  <c r="IW32" s="105"/>
    </row>
    <row r="33" customFormat="false" ht="12.75" hidden="false" customHeight="false" outlineLevel="0" collapsed="false">
      <c r="A33" s="84"/>
      <c r="B33" s="94" t="s">
        <v>310</v>
      </c>
      <c r="C33" s="82" t="s">
        <v>234</v>
      </c>
      <c r="D33" s="165" t="n">
        <f aca="false">'Test Year 2001 Sales and Revs.'!G37</f>
        <v>49241569.4128643</v>
      </c>
      <c r="E33" s="166" t="n">
        <v>2972424.69022876</v>
      </c>
      <c r="F33" s="167" t="n">
        <v>1343586.09645134</v>
      </c>
      <c r="G33" s="167" t="n">
        <v>1477852.35004047</v>
      </c>
      <c r="H33" s="167" t="n">
        <v>7565472.26046567</v>
      </c>
      <c r="I33" s="167" t="n">
        <v>202241.667516016</v>
      </c>
      <c r="J33" s="155" t="n">
        <f aca="false">D33-SUM(E33:I33,K33)</f>
        <v>35679992.348162</v>
      </c>
      <c r="K33" s="168"/>
      <c r="L33" s="168" t="n">
        <f aca="false">IF(allocation_method&gt;=6,CHOOSE(gen_choice,'Generation Calculations'!H37-'Generation Calculations'!I37+'Generation Calculations'!J37,'Generation Calculations'!G37+'Generation Calculations'!H37-'Generation Calculations'!I37+'Generation Calculations'!J37),0)</f>
        <v>0</v>
      </c>
      <c r="M33" s="168" t="n">
        <f aca="false">'Test Year 2001 Sales and Revs.'!K37</f>
        <v>6320052.1098755</v>
      </c>
      <c r="N33" s="168" t="n">
        <f aca="false">CHOOSE(allocation_method,'RSP Surch Allocations'!E34,'RSP Surch Allocations'!J34,'RSP Surch Allocations'!N34,'RSP Surch Allocations'!Q34,'RSP Surch Allocations'!AA34,'RSP Surch Allocations'!AH34,'RSP Surch Allocations'!AS34,'RSP Surch Allocations'!BD34,'RSP Surch Allocations'!BO34,'RSP Surch Allocations'!BZ34,)</f>
        <v>24186096.1645099</v>
      </c>
      <c r="O33" s="155" t="n">
        <f aca="false">SUM(E33:N33)</f>
        <v>79747717.6872496</v>
      </c>
      <c r="P33" s="169" t="n">
        <f aca="false">ROUND(O33-D33,0)</f>
        <v>30506148</v>
      </c>
      <c r="Q33" s="170" t="n">
        <v>632005210.98756</v>
      </c>
      <c r="R33" s="152" t="n">
        <f aca="false">D33/$Q33*100</f>
        <v>7.79132332404669</v>
      </c>
      <c r="S33" s="152" t="n">
        <f aca="false">E33/$Q33*100</f>
        <v>0.470316484508744</v>
      </c>
      <c r="T33" s="152" t="n">
        <f aca="false">F33/$Q33*100</f>
        <v>0.212590983917976</v>
      </c>
      <c r="U33" s="152" t="n">
        <f aca="false">G33/$Q33*100</f>
        <v>0.233835469130263</v>
      </c>
      <c r="V33" s="152" t="n">
        <f aca="false">H33/$Q33*100</f>
        <v>1.19705852561627</v>
      </c>
      <c r="W33" s="152" t="n">
        <f aca="false">I33/$Q33*100</f>
        <v>0.0319999999999995</v>
      </c>
      <c r="X33" s="152" t="n">
        <f aca="false">J33/$Q33*100</f>
        <v>5.64552186087344</v>
      </c>
      <c r="Y33" s="152" t="n">
        <f aca="false">K33/$Q33*100</f>
        <v>0</v>
      </c>
      <c r="Z33" s="152" t="n">
        <f aca="false">L33/$Q33*100</f>
        <v>0</v>
      </c>
      <c r="AA33" s="154" t="n">
        <f aca="false">M33/$Q33*100</f>
        <v>0.999999999999984</v>
      </c>
      <c r="AB33" s="152" t="n">
        <f aca="false">N33/$Q33*100</f>
        <v>3.82688239654181</v>
      </c>
      <c r="AC33" s="152" t="n">
        <f aca="false">O33/$Q33*100</f>
        <v>12.6182057205885</v>
      </c>
      <c r="AD33" s="152"/>
      <c r="AE33" s="157"/>
      <c r="AF33" s="141" t="n">
        <f aca="false">(AC33-AG33)/AG33</f>
        <v>0.435302201441533</v>
      </c>
      <c r="AG33" s="152" t="n">
        <f aca="false">AA33+R33</f>
        <v>8.79132332404667</v>
      </c>
      <c r="AH33" s="152"/>
      <c r="AI33" s="141"/>
      <c r="AJ33" s="141"/>
      <c r="AK33" s="141"/>
      <c r="AL33" s="141"/>
      <c r="AM33" s="141"/>
      <c r="AN33" s="162"/>
      <c r="AO33" s="162"/>
      <c r="AP33" s="162"/>
      <c r="AQ33" s="158"/>
      <c r="AR33" s="162"/>
      <c r="AS33" s="163"/>
      <c r="AT33" s="163"/>
      <c r="AU33" s="162"/>
      <c r="AV33" s="163"/>
      <c r="AW33" s="162"/>
      <c r="AX33" s="163"/>
      <c r="AY33" s="162"/>
      <c r="AZ33" s="163"/>
      <c r="BA33" s="162"/>
      <c r="BB33" s="163"/>
      <c r="BC33" s="162"/>
      <c r="BD33" s="163"/>
      <c r="BE33" s="162"/>
      <c r="BF33" s="164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  <c r="IG33" s="105"/>
      <c r="IH33" s="105"/>
      <c r="II33" s="105"/>
      <c r="IJ33" s="105"/>
      <c r="IK33" s="105"/>
      <c r="IL33" s="105"/>
      <c r="IM33" s="105"/>
      <c r="IN33" s="105"/>
      <c r="IO33" s="105"/>
      <c r="IP33" s="105"/>
      <c r="IQ33" s="105"/>
      <c r="IR33" s="105"/>
      <c r="IS33" s="105"/>
      <c r="IT33" s="105"/>
      <c r="IU33" s="105"/>
      <c r="IV33" s="105"/>
      <c r="IW33" s="105"/>
    </row>
    <row r="34" customFormat="false" ht="12.75" hidden="false" customHeight="false" outlineLevel="0" collapsed="false">
      <c r="A34" s="84"/>
      <c r="B34" s="94" t="s">
        <v>311</v>
      </c>
      <c r="C34" s="82" t="s">
        <v>234</v>
      </c>
      <c r="D34" s="167" t="n">
        <v>8600971.53475724</v>
      </c>
      <c r="E34" s="166" t="n">
        <v>514345.745156847</v>
      </c>
      <c r="F34" s="167" t="n">
        <v>253613.298226721</v>
      </c>
      <c r="G34" s="167" t="n">
        <v>259187.047758239</v>
      </c>
      <c r="H34" s="167" t="n">
        <v>1401403.39922904</v>
      </c>
      <c r="I34" s="167" t="n">
        <v>34795.7196635696</v>
      </c>
      <c r="J34" s="155" t="n">
        <f aca="false">D34-SUM(E34:I34,K34)</f>
        <v>6136721.16019152</v>
      </c>
      <c r="K34" s="168" t="n">
        <f aca="false">'Test Year 2001 Sales and Revs.'!N38</f>
        <v>905.164531307569</v>
      </c>
      <c r="L34" s="168" t="n">
        <f aca="false">IF(allocation_method&gt;=6,CHOOSE(gen_choice,'Generation Calculations'!H38-'Generation Calculations'!I38+'Generation Calculations'!J38,'Generation Calculations'!G38+'Generation Calculations'!H38-'Generation Calculations'!I38+'Generation Calculations'!J38),0)</f>
        <v>0</v>
      </c>
      <c r="M34" s="168" t="n">
        <f aca="false">'Test Year 2001 Sales and Revs.'!K38</f>
        <v>1093616.23948624</v>
      </c>
      <c r="N34" s="168" t="n">
        <f aca="false">CHOOSE(allocation_method,'RSP Surch Allocations'!E35,'RSP Surch Allocations'!J35,'RSP Surch Allocations'!N35,'RSP Surch Allocations'!Q35,'RSP Surch Allocations'!AA35,'RSP Surch Allocations'!AH35,'RSP Surch Allocations'!AS35,'RSP Surch Allocations'!BD35,'RSP Surch Allocations'!BO35,'RSP Surch Allocations'!BZ35,)</f>
        <v>4185140.73546221</v>
      </c>
      <c r="O34" s="155" t="n">
        <f aca="false">SUM(E34:N34)</f>
        <v>13879728.5097057</v>
      </c>
      <c r="P34" s="169" t="n">
        <f aca="false">ROUND(O34-D34,0)</f>
        <v>5278757</v>
      </c>
      <c r="Q34" s="170" t="n">
        <v>109361623.947624</v>
      </c>
      <c r="R34" s="152" t="n">
        <f aca="false">D34/$Q34*100</f>
        <v>7.86470722021873</v>
      </c>
      <c r="S34" s="152" t="n">
        <f aca="false">E34/$Q34*100</f>
        <v>0.47031648451305</v>
      </c>
      <c r="T34" s="152" t="n">
        <f aca="false">F34/$Q34*100</f>
        <v>0.23190337622289</v>
      </c>
      <c r="U34" s="152" t="n">
        <f aca="false">G34/$Q34*100</f>
        <v>0.23699999908777</v>
      </c>
      <c r="V34" s="152" t="n">
        <f aca="false">H34/$Q34*100</f>
        <v>1.28143982198016</v>
      </c>
      <c r="W34" s="152" t="n">
        <f aca="false">I34/$Q34*100</f>
        <v>0.0318171204921336</v>
      </c>
      <c r="X34" s="152" t="n">
        <f aca="false">J34/$Q34*100</f>
        <v>5.61140273770125</v>
      </c>
      <c r="Y34" s="152" t="n">
        <f aca="false">K34/$Q34*100</f>
        <v>0.000827680221483429</v>
      </c>
      <c r="Z34" s="152" t="n">
        <f aca="false">L34/$Q34*100</f>
        <v>0</v>
      </c>
      <c r="AA34" s="154" t="n">
        <f aca="false">M34/$Q34*100</f>
        <v>1.00000000000914</v>
      </c>
      <c r="AB34" s="152" t="n">
        <f aca="false">N34/$Q34*100</f>
        <v>3.82688239657686</v>
      </c>
      <c r="AC34" s="152" t="n">
        <f aca="false">O34/$Q34*100</f>
        <v>12.6915896168047</v>
      </c>
      <c r="AD34" s="152"/>
      <c r="AE34" s="157"/>
      <c r="AF34" s="141" t="n">
        <f aca="false">(AC34-AG34)/AG34</f>
        <v>0.431698678986771</v>
      </c>
      <c r="AG34" s="152" t="n">
        <f aca="false">AA34+R34</f>
        <v>8.86470722022787</v>
      </c>
      <c r="AH34" s="152"/>
      <c r="AI34" s="141"/>
      <c r="AJ34" s="141"/>
      <c r="AK34" s="141"/>
      <c r="AL34" s="141"/>
      <c r="AM34" s="141"/>
      <c r="AN34" s="162"/>
      <c r="AO34" s="162"/>
      <c r="AP34" s="162"/>
      <c r="AQ34" s="158"/>
      <c r="AR34" s="162"/>
      <c r="AS34" s="163"/>
      <c r="AT34" s="163"/>
      <c r="AU34" s="162"/>
      <c r="AV34" s="163"/>
      <c r="AW34" s="162"/>
      <c r="AX34" s="163"/>
      <c r="AY34" s="162"/>
      <c r="AZ34" s="163"/>
      <c r="BA34" s="162"/>
      <c r="BB34" s="163"/>
      <c r="BC34" s="162"/>
      <c r="BD34" s="163"/>
      <c r="BE34" s="162"/>
      <c r="BF34" s="164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  <c r="IG34" s="105"/>
      <c r="IH34" s="105"/>
      <c r="II34" s="105"/>
      <c r="IJ34" s="105"/>
      <c r="IK34" s="105"/>
      <c r="IL34" s="105"/>
      <c r="IM34" s="105"/>
      <c r="IN34" s="105"/>
      <c r="IO34" s="105"/>
      <c r="IP34" s="105"/>
      <c r="IQ34" s="105"/>
      <c r="IR34" s="105"/>
      <c r="IS34" s="105"/>
      <c r="IT34" s="105"/>
      <c r="IU34" s="105"/>
      <c r="IV34" s="105"/>
      <c r="IW34" s="105"/>
    </row>
    <row r="35" customFormat="false" ht="12.75" hidden="false" customHeight="false" outlineLevel="0" collapsed="false">
      <c r="A35" s="84"/>
      <c r="B35" s="94" t="s">
        <v>312</v>
      </c>
      <c r="C35" s="82" t="s">
        <v>234</v>
      </c>
      <c r="D35" s="174" t="n">
        <v>2712151.19325783</v>
      </c>
      <c r="E35" s="173" t="n">
        <v>200291.186627514</v>
      </c>
      <c r="F35" s="174" t="n">
        <v>78472.0802214783</v>
      </c>
      <c r="G35" s="174" t="n">
        <v>100929.932915922</v>
      </c>
      <c r="H35" s="174" t="n">
        <v>458197.500757393</v>
      </c>
      <c r="I35" s="174" t="n">
        <v>13627.6702671288</v>
      </c>
      <c r="J35" s="175" t="n">
        <f aca="false">D35-SUM(E35:I35,K35)</f>
        <v>1860632.8224684</v>
      </c>
      <c r="K35" s="176"/>
      <c r="L35" s="176" t="n">
        <f aca="false">IF(allocation_method&gt;=6,CHOOSE(gen_choice,'Generation Calculations'!H39-'Generation Calculations'!I39+'Generation Calculations'!J39,'Generation Calculations'!G39+'Generation Calculations'!H39-'Generation Calculations'!I39+'Generation Calculations'!J39),0)</f>
        <v>0</v>
      </c>
      <c r="M35" s="176" t="n">
        <f aca="false">'Test Year 2001 Sales and Revs.'!K39</f>
        <v>425864.695847774</v>
      </c>
      <c r="N35" s="176" t="n">
        <f aca="false">CHOOSE(allocation_method,'RSP Surch Allocations'!E36,'RSP Surch Allocations'!J36,'RSP Surch Allocations'!N36,'RSP Surch Allocations'!Q36,'RSP Surch Allocations'!AA36,'RSP Surch Allocations'!AH36,'RSP Surch Allocations'!AS36,'RSP Surch Allocations'!BD36,'RSP Surch Allocations'!BO36,'RSP Surch Allocations'!BZ36,)</f>
        <v>1629734.10784851</v>
      </c>
      <c r="O35" s="155" t="n">
        <f aca="false">SUM(E35:N35)</f>
        <v>4767749.99695411</v>
      </c>
      <c r="P35" s="169" t="n">
        <f aca="false">ROUND(O35-D35,0)</f>
        <v>2055599</v>
      </c>
      <c r="Q35" s="177" t="n">
        <v>42586469.5847774</v>
      </c>
      <c r="R35" s="178" t="n">
        <f aca="false">D35/$Q35*100</f>
        <v>6.36857485417691</v>
      </c>
      <c r="S35" s="178" t="n">
        <f aca="false">E35/$Q35*100</f>
        <v>0.470316484508752</v>
      </c>
      <c r="T35" s="178" t="n">
        <f aca="false">F35/$Q35*100</f>
        <v>0.184265286572448</v>
      </c>
      <c r="U35" s="178" t="n">
        <f aca="false">G35/$Q35*100</f>
        <v>0.237</v>
      </c>
      <c r="V35" s="178" t="n">
        <f aca="false">H35/$Q35*100</f>
        <v>1.07592271729699</v>
      </c>
      <c r="W35" s="178" t="n">
        <f aca="false">I35/$Q35*100</f>
        <v>0.032</v>
      </c>
      <c r="X35" s="178" t="n">
        <f aca="false">J35/$Q35*100</f>
        <v>4.36907036579872</v>
      </c>
      <c r="Y35" s="178" t="n">
        <f aca="false">K35/$Q35*100</f>
        <v>0</v>
      </c>
      <c r="Z35" s="178" t="n">
        <f aca="false">L35/$Q35*100</f>
        <v>0</v>
      </c>
      <c r="AA35" s="150" t="n">
        <f aca="false">M35/$Q35*100</f>
        <v>1</v>
      </c>
      <c r="AB35" s="178" t="n">
        <f aca="false">N35/$Q35*100</f>
        <v>3.82688239654187</v>
      </c>
      <c r="AC35" s="178" t="n">
        <f aca="false">O35/$Q35*100</f>
        <v>11.1954572507188</v>
      </c>
      <c r="AD35" s="178"/>
      <c r="AE35" s="157"/>
      <c r="AF35" s="151" t="n">
        <f aca="false">(AC35-AG35)/AG35</f>
        <v>0.519351770495021</v>
      </c>
      <c r="AG35" s="152" t="n">
        <f aca="false">AA35+R35</f>
        <v>7.36857485417691</v>
      </c>
      <c r="AH35" s="152"/>
      <c r="AI35" s="151"/>
      <c r="AJ35" s="151"/>
      <c r="AK35" s="151"/>
      <c r="AL35" s="151"/>
      <c r="AM35" s="151"/>
      <c r="AN35" s="179"/>
      <c r="AO35" s="179"/>
      <c r="AP35" s="179"/>
      <c r="AQ35" s="180"/>
      <c r="AR35" s="179"/>
      <c r="AS35" s="181"/>
      <c r="AT35" s="181"/>
      <c r="AU35" s="179"/>
      <c r="AV35" s="181"/>
      <c r="AW35" s="179"/>
      <c r="AX35" s="181"/>
      <c r="AY35" s="179"/>
      <c r="AZ35" s="181"/>
      <c r="BA35" s="179"/>
      <c r="BB35" s="181"/>
      <c r="BC35" s="179"/>
      <c r="BD35" s="181"/>
      <c r="BE35" s="179"/>
      <c r="BF35" s="182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  <c r="EO35" s="105"/>
      <c r="EP35" s="105"/>
      <c r="EQ35" s="105"/>
      <c r="ER35" s="105"/>
      <c r="ES35" s="105"/>
      <c r="ET35" s="105"/>
      <c r="EU35" s="105"/>
      <c r="EV35" s="105"/>
      <c r="EW35" s="105"/>
      <c r="EX35" s="105"/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  <c r="FL35" s="105"/>
      <c r="FM35" s="105"/>
      <c r="FN35" s="105"/>
      <c r="FO35" s="105"/>
      <c r="FP35" s="105"/>
      <c r="FQ35" s="105"/>
      <c r="FR35" s="105"/>
      <c r="FS35" s="105"/>
      <c r="FT35" s="105"/>
      <c r="FU35" s="105"/>
      <c r="FV35" s="105"/>
      <c r="FW35" s="105"/>
      <c r="FX35" s="105"/>
      <c r="FY35" s="105"/>
      <c r="FZ35" s="105"/>
      <c r="GA35" s="105"/>
      <c r="GB35" s="105"/>
      <c r="GC35" s="105"/>
      <c r="GD35" s="105"/>
      <c r="GE35" s="105"/>
      <c r="GF35" s="105"/>
      <c r="GG35" s="105"/>
      <c r="GH35" s="105"/>
      <c r="GI35" s="105"/>
      <c r="GJ35" s="105"/>
      <c r="GK35" s="105"/>
      <c r="GL35" s="105"/>
      <c r="GM35" s="105"/>
      <c r="GN35" s="105"/>
      <c r="GO35" s="105"/>
      <c r="GP35" s="105"/>
      <c r="GQ35" s="105"/>
      <c r="GR35" s="105"/>
      <c r="GS35" s="105"/>
      <c r="GT35" s="105"/>
      <c r="GU35" s="105"/>
      <c r="GV35" s="105"/>
      <c r="GW35" s="105"/>
      <c r="GX35" s="105"/>
      <c r="GY35" s="105"/>
      <c r="GZ35" s="105"/>
      <c r="HA35" s="105"/>
      <c r="HB35" s="105"/>
      <c r="HC35" s="105"/>
      <c r="HD35" s="105"/>
      <c r="HE35" s="105"/>
      <c r="HF35" s="105"/>
      <c r="HG35" s="105"/>
      <c r="HH35" s="105"/>
      <c r="HI35" s="105"/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5"/>
      <c r="HU35" s="105"/>
      <c r="HV35" s="105"/>
      <c r="HW35" s="105"/>
      <c r="HX35" s="105"/>
      <c r="HY35" s="105"/>
      <c r="HZ35" s="105"/>
      <c r="IA35" s="105"/>
      <c r="IB35" s="105"/>
      <c r="IC35" s="105"/>
      <c r="ID35" s="105"/>
      <c r="IE35" s="105"/>
      <c r="IF35" s="105"/>
      <c r="IG35" s="105"/>
      <c r="IH35" s="105"/>
      <c r="II35" s="105"/>
      <c r="IJ35" s="105"/>
      <c r="IK35" s="105"/>
      <c r="IL35" s="105"/>
      <c r="IM35" s="105"/>
      <c r="IN35" s="105"/>
      <c r="IO35" s="105"/>
      <c r="IP35" s="105"/>
      <c r="IQ35" s="105"/>
      <c r="IR35" s="105"/>
      <c r="IS35" s="105"/>
      <c r="IT35" s="105"/>
      <c r="IU35" s="105"/>
      <c r="IV35" s="105"/>
      <c r="IW35" s="105"/>
    </row>
    <row r="36" customFormat="false" ht="12.75" hidden="false" customHeight="false" outlineLevel="0" collapsed="false">
      <c r="A36" s="84"/>
      <c r="B36" s="97" t="s">
        <v>313</v>
      </c>
      <c r="C36" s="98" t="s">
        <v>234</v>
      </c>
      <c r="D36" s="155" t="n">
        <f aca="false">SUM(D33:D35)</f>
        <v>60554692.1408793</v>
      </c>
      <c r="E36" s="155" t="n">
        <f aca="false">SUM(E33:E35)</f>
        <v>3687061.62201313</v>
      </c>
      <c r="F36" s="155" t="n">
        <f aca="false">SUM(F33:F35)</f>
        <v>1675671.47489953</v>
      </c>
      <c r="G36" s="155" t="n">
        <f aca="false">SUM(G33:G35)</f>
        <v>1837969.33071463</v>
      </c>
      <c r="H36" s="155" t="n">
        <f aca="false">SUM(H33:H35)</f>
        <v>9425073.1604521</v>
      </c>
      <c r="I36" s="155" t="n">
        <f aca="false">SUM(I33:I35)</f>
        <v>250665.057446714</v>
      </c>
      <c r="J36" s="155" t="n">
        <f aca="false">SUM(J33:J35)</f>
        <v>43677346.3308219</v>
      </c>
      <c r="K36" s="155" t="n">
        <f aca="false">SUM(K33:K35)</f>
        <v>905.164531307569</v>
      </c>
      <c r="L36" s="156" t="n">
        <f aca="false">SUM(L33:L35)</f>
        <v>0</v>
      </c>
      <c r="M36" s="155" t="n">
        <f aca="false">SUM(M33:M35)</f>
        <v>7839533.04520951</v>
      </c>
      <c r="N36" s="155" t="n">
        <f aca="false">SUM(N33:N35)</f>
        <v>30000971.0078206</v>
      </c>
      <c r="O36" s="155" t="n">
        <f aca="false">SUM(O33:O35)</f>
        <v>98395196.1939094</v>
      </c>
      <c r="P36" s="169" t="n">
        <f aca="false">ROUND(O36-D36,0)</f>
        <v>37840504</v>
      </c>
      <c r="Q36" s="159" t="n">
        <f aca="false">SUM(Q33:Q35)</f>
        <v>783953304.519962</v>
      </c>
      <c r="R36" s="152" t="n">
        <f aca="false">D36/$Q36*100</f>
        <v>7.72427283509683</v>
      </c>
      <c r="S36" s="152" t="n">
        <f aca="false">E36/$Q36*100</f>
        <v>0.470316484509345</v>
      </c>
      <c r="T36" s="152" t="n">
        <f aca="false">F36/$Q36*100</f>
        <v>0.21374633734411</v>
      </c>
      <c r="U36" s="152" t="n">
        <f aca="false">G36/$Q36*100</f>
        <v>0.234448827515317</v>
      </c>
      <c r="V36" s="152" t="n">
        <f aca="false">H36/$Q36*100</f>
        <v>1.2022493056807</v>
      </c>
      <c r="W36" s="152" t="n">
        <f aca="false">I36/$Q36*100</f>
        <v>0.0319744882764675</v>
      </c>
      <c r="X36" s="152" t="n">
        <f aca="false">J36/$Q36*100</f>
        <v>5.57142193023434</v>
      </c>
      <c r="Y36" s="152" t="n">
        <f aca="false">K36/$Q36*100</f>
        <v>0.00011546153655948</v>
      </c>
      <c r="Z36" s="152" t="n">
        <f aca="false">L36/$Q36*100</f>
        <v>0</v>
      </c>
      <c r="AA36" s="154" t="n">
        <f aca="false">M36/$Q36*100</f>
        <v>1.00000000000126</v>
      </c>
      <c r="AB36" s="152" t="n">
        <f aca="false">N36/$Q36*100</f>
        <v>3.8268823965467</v>
      </c>
      <c r="AC36" s="152" t="n">
        <f aca="false">O36/$Q36*100</f>
        <v>12.5511552316448</v>
      </c>
      <c r="AD36" s="152"/>
      <c r="AE36" s="157"/>
      <c r="AF36" s="141" t="n">
        <f aca="false">(AC36-AG36)/AG36</f>
        <v>0.438647721005584</v>
      </c>
      <c r="AG36" s="152" t="n">
        <f aca="false">AA36+R36</f>
        <v>8.7242728350981</v>
      </c>
      <c r="AH36" s="152"/>
      <c r="AI36" s="141"/>
      <c r="AJ36" s="141"/>
      <c r="AK36" s="141"/>
      <c r="AL36" s="141"/>
      <c r="AM36" s="141"/>
      <c r="AN36" s="162"/>
      <c r="AO36" s="162"/>
      <c r="AP36" s="162"/>
      <c r="AQ36" s="158"/>
      <c r="AR36" s="162"/>
      <c r="AS36" s="163"/>
      <c r="AT36" s="163"/>
      <c r="AU36" s="162"/>
      <c r="AV36" s="163"/>
      <c r="AW36" s="162"/>
      <c r="AX36" s="163"/>
      <c r="AY36" s="162"/>
      <c r="AZ36" s="163"/>
      <c r="BA36" s="162"/>
      <c r="BB36" s="163"/>
      <c r="BC36" s="162"/>
      <c r="BD36" s="163"/>
      <c r="BE36" s="162"/>
      <c r="BF36" s="164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  <c r="CK36" s="171"/>
      <c r="CL36" s="171"/>
      <c r="CM36" s="171"/>
      <c r="CN36" s="171"/>
      <c r="CO36" s="171"/>
      <c r="CP36" s="171"/>
      <c r="CQ36" s="171"/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171"/>
      <c r="FP36" s="171"/>
      <c r="FQ36" s="171"/>
      <c r="FR36" s="171"/>
      <c r="FS36" s="171"/>
      <c r="FT36" s="171"/>
      <c r="FU36" s="171"/>
      <c r="FV36" s="171"/>
      <c r="FW36" s="171"/>
      <c r="FX36" s="171"/>
      <c r="FY36" s="171"/>
      <c r="FZ36" s="171"/>
      <c r="GA36" s="171"/>
      <c r="GB36" s="171"/>
      <c r="GC36" s="171"/>
      <c r="GD36" s="171"/>
      <c r="GE36" s="171"/>
      <c r="GF36" s="171"/>
      <c r="GG36" s="171"/>
      <c r="GH36" s="171"/>
      <c r="GI36" s="171"/>
      <c r="GJ36" s="171"/>
      <c r="GK36" s="171"/>
      <c r="GL36" s="171"/>
      <c r="GM36" s="171"/>
      <c r="GN36" s="171"/>
      <c r="GO36" s="171"/>
      <c r="GP36" s="171"/>
      <c r="GQ36" s="171"/>
      <c r="GR36" s="171"/>
      <c r="GS36" s="171"/>
      <c r="GT36" s="171"/>
      <c r="GU36" s="171"/>
      <c r="GV36" s="171"/>
      <c r="GW36" s="171"/>
      <c r="GX36" s="171"/>
      <c r="GY36" s="171"/>
      <c r="GZ36" s="171"/>
      <c r="HA36" s="171"/>
      <c r="HB36" s="171"/>
      <c r="HC36" s="171"/>
      <c r="HD36" s="171"/>
      <c r="HE36" s="171"/>
      <c r="HF36" s="171"/>
      <c r="HG36" s="171"/>
      <c r="HH36" s="171"/>
      <c r="HI36" s="171"/>
      <c r="HJ36" s="171"/>
      <c r="HK36" s="171"/>
      <c r="HL36" s="171"/>
      <c r="HM36" s="171"/>
      <c r="HN36" s="171"/>
      <c r="HO36" s="171"/>
      <c r="HP36" s="171"/>
      <c r="HQ36" s="171"/>
      <c r="HR36" s="171"/>
      <c r="HS36" s="171"/>
      <c r="HT36" s="171"/>
      <c r="HU36" s="171"/>
      <c r="HV36" s="171"/>
      <c r="HW36" s="171"/>
      <c r="HX36" s="171"/>
      <c r="HY36" s="171"/>
      <c r="HZ36" s="171"/>
      <c r="IA36" s="171"/>
      <c r="IB36" s="171"/>
      <c r="IC36" s="171"/>
      <c r="ID36" s="171"/>
      <c r="IE36" s="171"/>
      <c r="IF36" s="171"/>
      <c r="IG36" s="171"/>
      <c r="IH36" s="171"/>
      <c r="II36" s="171"/>
      <c r="IJ36" s="171"/>
      <c r="IK36" s="171"/>
      <c r="IL36" s="171"/>
      <c r="IM36" s="171"/>
      <c r="IN36" s="171"/>
      <c r="IO36" s="171"/>
      <c r="IP36" s="171"/>
      <c r="IQ36" s="171"/>
      <c r="IR36" s="171"/>
      <c r="IS36" s="171"/>
      <c r="IT36" s="171"/>
      <c r="IU36" s="171"/>
      <c r="IV36" s="171"/>
      <c r="IW36" s="171"/>
    </row>
    <row r="37" customFormat="false" ht="10.5" hidden="false" customHeight="true" outlineLevel="0" collapsed="false">
      <c r="A37" s="84"/>
      <c r="B37" s="92"/>
      <c r="C37" s="79"/>
      <c r="D37" s="167"/>
      <c r="E37" s="156"/>
      <c r="F37" s="167"/>
      <c r="G37" s="167"/>
      <c r="H37" s="167"/>
      <c r="I37" s="167"/>
      <c r="J37" s="155"/>
      <c r="K37" s="155"/>
      <c r="L37" s="156"/>
      <c r="M37" s="155"/>
      <c r="N37" s="155"/>
      <c r="O37" s="155"/>
      <c r="P37" s="169"/>
      <c r="Q37" s="159"/>
      <c r="R37" s="152"/>
      <c r="S37" s="152"/>
      <c r="T37" s="152"/>
      <c r="U37" s="152"/>
      <c r="V37" s="152"/>
      <c r="W37" s="152"/>
      <c r="X37" s="152"/>
      <c r="Y37" s="152"/>
      <c r="Z37" s="152"/>
      <c r="AA37" s="154"/>
      <c r="AB37" s="152"/>
      <c r="AC37" s="152"/>
      <c r="AD37" s="152"/>
      <c r="AE37" s="157"/>
      <c r="AF37" s="141"/>
      <c r="AG37" s="152" t="n">
        <f aca="false">AA37+R37</f>
        <v>0</v>
      </c>
      <c r="AH37" s="152"/>
      <c r="AI37" s="141"/>
      <c r="AJ37" s="141"/>
      <c r="AK37" s="141"/>
      <c r="AL37" s="141"/>
      <c r="AM37" s="141"/>
      <c r="AN37" s="158"/>
      <c r="AO37" s="158"/>
      <c r="AP37" s="162"/>
      <c r="AQ37" s="158"/>
      <c r="AR37" s="162"/>
      <c r="AS37" s="163"/>
      <c r="AT37" s="163"/>
      <c r="AU37" s="162"/>
      <c r="AV37" s="163"/>
      <c r="AW37" s="162"/>
      <c r="AX37" s="163"/>
      <c r="AY37" s="162"/>
      <c r="AZ37" s="163"/>
      <c r="BA37" s="162"/>
      <c r="BB37" s="163"/>
      <c r="BC37" s="162"/>
      <c r="BD37" s="163"/>
      <c r="BE37" s="158"/>
      <c r="BF37" s="164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  <c r="EO37" s="105"/>
      <c r="EP37" s="105"/>
      <c r="EQ37" s="105"/>
      <c r="ER37" s="105"/>
      <c r="ES37" s="105"/>
      <c r="ET37" s="105"/>
      <c r="EU37" s="105"/>
      <c r="EV37" s="105"/>
      <c r="EW37" s="105"/>
      <c r="EX37" s="105"/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  <c r="FL37" s="105"/>
      <c r="FM37" s="105"/>
      <c r="FN37" s="105"/>
      <c r="FO37" s="105"/>
      <c r="FP37" s="105"/>
      <c r="FQ37" s="105"/>
      <c r="FR37" s="105"/>
      <c r="FS37" s="105"/>
      <c r="FT37" s="105"/>
      <c r="FU37" s="105"/>
      <c r="FV37" s="105"/>
      <c r="FW37" s="105"/>
      <c r="FX37" s="105"/>
      <c r="FY37" s="105"/>
      <c r="FZ37" s="105"/>
      <c r="GA37" s="105"/>
      <c r="GB37" s="105"/>
      <c r="GC37" s="105"/>
      <c r="GD37" s="105"/>
      <c r="GE37" s="105"/>
      <c r="GF37" s="105"/>
      <c r="GG37" s="105"/>
      <c r="GH37" s="105"/>
      <c r="GI37" s="105"/>
      <c r="GJ37" s="105"/>
      <c r="GK37" s="105"/>
      <c r="GL37" s="105"/>
      <c r="GM37" s="105"/>
      <c r="GN37" s="105"/>
      <c r="GO37" s="105"/>
      <c r="GP37" s="105"/>
      <c r="GQ37" s="105"/>
      <c r="GR37" s="105"/>
      <c r="GS37" s="105"/>
      <c r="GT37" s="105"/>
      <c r="GU37" s="105"/>
      <c r="GV37" s="105"/>
      <c r="GW37" s="105"/>
      <c r="GX37" s="105"/>
      <c r="GY37" s="105"/>
      <c r="GZ37" s="105"/>
      <c r="HA37" s="105"/>
      <c r="HB37" s="105"/>
      <c r="HC37" s="105"/>
      <c r="HD37" s="105"/>
      <c r="HE37" s="105"/>
      <c r="HF37" s="105"/>
      <c r="HG37" s="105"/>
      <c r="HH37" s="105"/>
      <c r="HI37" s="105"/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5"/>
      <c r="HU37" s="105"/>
      <c r="HV37" s="105"/>
      <c r="HW37" s="105"/>
      <c r="HX37" s="105"/>
      <c r="HY37" s="105"/>
      <c r="HZ37" s="105"/>
      <c r="IA37" s="105"/>
      <c r="IB37" s="105"/>
      <c r="IC37" s="105"/>
      <c r="ID37" s="105"/>
      <c r="IE37" s="105"/>
      <c r="IF37" s="105"/>
      <c r="IG37" s="105"/>
      <c r="IH37" s="105"/>
      <c r="II37" s="105"/>
      <c r="IJ37" s="105"/>
      <c r="IK37" s="105"/>
      <c r="IL37" s="105"/>
      <c r="IM37" s="105"/>
      <c r="IN37" s="105"/>
      <c r="IO37" s="105"/>
      <c r="IP37" s="105"/>
      <c r="IQ37" s="105"/>
      <c r="IR37" s="105"/>
      <c r="IS37" s="105"/>
      <c r="IT37" s="105"/>
      <c r="IU37" s="105"/>
      <c r="IV37" s="105"/>
      <c r="IW37" s="105"/>
    </row>
    <row r="38" customFormat="false" ht="12.75" hidden="false" customHeight="false" outlineLevel="0" collapsed="false">
      <c r="A38" s="84"/>
      <c r="B38" s="94" t="s">
        <v>310</v>
      </c>
      <c r="C38" s="82" t="s">
        <v>231</v>
      </c>
      <c r="D38" s="167" t="n">
        <v>431805371.238501</v>
      </c>
      <c r="E38" s="166" t="n">
        <v>22361710.066222</v>
      </c>
      <c r="F38" s="167" t="n">
        <v>10218323.0398747</v>
      </c>
      <c r="G38" s="167" t="n">
        <v>12647260.0334715</v>
      </c>
      <c r="H38" s="167" t="n">
        <v>91174520.5630253</v>
      </c>
      <c r="I38" s="167" t="n">
        <v>1759205.34300307</v>
      </c>
      <c r="J38" s="155" t="n">
        <f aca="false">D38-SUM(E38:I38,K38)</f>
        <v>293644352.192905</v>
      </c>
      <c r="K38" s="168"/>
      <c r="L38" s="168" t="n">
        <f aca="false">IF(allocation_method&gt;=6,CHOOSE(gen_choice,'Generation Calculations'!H42-'Generation Calculations'!I42+'Generation Calculations'!J42,'Generation Calculations'!G42+'Generation Calculations'!H42-'Generation Calculations'!I42+'Generation Calculations'!J42),0)</f>
        <v>0</v>
      </c>
      <c r="M38" s="168" t="n">
        <f aca="false">'Test Year 2001 Sales and Revs.'!K42</f>
        <v>47546090.3514343</v>
      </c>
      <c r="N38" s="168" t="n">
        <f aca="false">CHOOSE(allocation_method,'RSP Surch Allocations'!E39,'RSP Surch Allocations'!J39,'RSP Surch Allocations'!N39,'RSP Surch Allocations'!Q39,'RSP Surch Allocations'!AA39,'RSP Surch Allocations'!AH39,'RSP Surch Allocations'!AS39,'RSP Surch Allocations'!BD39,'RSP Surch Allocations'!BO39,'RSP Surch Allocations'!BZ39,)</f>
        <v>181953296.190293</v>
      </c>
      <c r="O38" s="155" t="n">
        <f aca="false">SUM(E38:N38)</f>
        <v>661304757.780228</v>
      </c>
      <c r="P38" s="169" t="n">
        <f aca="false">ROUND(O38-D38,0)</f>
        <v>229499387</v>
      </c>
      <c r="Q38" s="170" t="n">
        <v>4754609035.14342</v>
      </c>
      <c r="R38" s="152" t="n">
        <f aca="false">D38/$Q38*100</f>
        <v>9.08182708708195</v>
      </c>
      <c r="S38" s="152" t="n">
        <f aca="false">E38/$Q38*100</f>
        <v>0.470316484508752</v>
      </c>
      <c r="T38" s="152" t="n">
        <f aca="false">F38/$Q38*100</f>
        <v>0.214914054222894</v>
      </c>
      <c r="U38" s="152" t="n">
        <f aca="false">G38/$Q38*100</f>
        <v>0.26599999999979</v>
      </c>
      <c r="V38" s="152" t="n">
        <f aca="false">H38/$Q38*100</f>
        <v>1.91760289624476</v>
      </c>
      <c r="W38" s="152" t="n">
        <f aca="false">I38/$Q38*100</f>
        <v>0.037</v>
      </c>
      <c r="X38" s="152" t="n">
        <f aca="false">J38/$Q38*100</f>
        <v>6.17599365210575</v>
      </c>
      <c r="Y38" s="152" t="n">
        <f aca="false">K38/$Q38*100</f>
        <v>0</v>
      </c>
      <c r="Z38" s="152" t="n">
        <f aca="false">L38/$Q38*100</f>
        <v>0</v>
      </c>
      <c r="AA38" s="154" t="n">
        <f aca="false">M38/$Q38*100</f>
        <v>1</v>
      </c>
      <c r="AB38" s="152" t="n">
        <f aca="false">N38/$Q38*100</f>
        <v>3.82688239654187</v>
      </c>
      <c r="AC38" s="152" t="n">
        <f aca="false">O38/$Q38*100</f>
        <v>13.9087094836238</v>
      </c>
      <c r="AD38" s="152"/>
      <c r="AE38" s="157"/>
      <c r="AF38" s="141" t="n">
        <f aca="false">(AC38-AG38)/AG38</f>
        <v>0.379582228844743</v>
      </c>
      <c r="AG38" s="152" t="n">
        <f aca="false">AA38+R38</f>
        <v>10.081827087082</v>
      </c>
      <c r="AH38" s="152"/>
      <c r="AI38" s="141"/>
      <c r="AJ38" s="141"/>
      <c r="AK38" s="141"/>
      <c r="AL38" s="141"/>
      <c r="AM38" s="141"/>
      <c r="AN38" s="162"/>
      <c r="AO38" s="162"/>
      <c r="AP38" s="162"/>
      <c r="AQ38" s="158"/>
      <c r="AR38" s="162"/>
      <c r="AS38" s="163"/>
      <c r="AT38" s="163"/>
      <c r="AU38" s="162"/>
      <c r="AV38" s="163"/>
      <c r="AW38" s="162"/>
      <c r="AX38" s="163"/>
      <c r="AY38" s="162"/>
      <c r="AZ38" s="163"/>
      <c r="BA38" s="162"/>
      <c r="BB38" s="163"/>
      <c r="BC38" s="162"/>
      <c r="BD38" s="163"/>
      <c r="BE38" s="162"/>
      <c r="BF38" s="164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  <c r="IW38" s="105"/>
    </row>
    <row r="39" customFormat="false" ht="12.75" hidden="false" customHeight="false" outlineLevel="0" collapsed="false">
      <c r="A39" s="84"/>
      <c r="B39" s="94" t="s">
        <v>311</v>
      </c>
      <c r="C39" s="82" t="s">
        <v>231</v>
      </c>
      <c r="D39" s="167" t="n">
        <v>462134547.108204</v>
      </c>
      <c r="E39" s="166" t="n">
        <v>25375134.0478137</v>
      </c>
      <c r="F39" s="167" t="n">
        <v>9954374.61914177</v>
      </c>
      <c r="G39" s="167" t="n">
        <v>14351582.1346739</v>
      </c>
      <c r="H39" s="167" t="n">
        <v>95793190.4586805</v>
      </c>
      <c r="I39" s="167" t="n">
        <v>1996272.70294336</v>
      </c>
      <c r="J39" s="155" t="n">
        <f aca="false">D39-SUM(E39:I39,K39)</f>
        <v>313450445.728827</v>
      </c>
      <c r="K39" s="168" t="n">
        <f aca="false">'Test Year 2001 Sales and Revs.'!N43</f>
        <v>1213547.41612431</v>
      </c>
      <c r="L39" s="168" t="n">
        <f aca="false">IF(allocation_method&gt;=6,CHOOSE(gen_choice,'Generation Calculations'!H43-'Generation Calculations'!I43+'Generation Calculations'!J43,'Generation Calculations'!G43+'Generation Calculations'!H43-'Generation Calculations'!I43+'Generation Calculations'!J43),0)</f>
        <v>0</v>
      </c>
      <c r="M39" s="168" t="n">
        <f aca="false">'Test Year 2001 Sales and Revs.'!K43</f>
        <v>53953316.2957666</v>
      </c>
      <c r="N39" s="168" t="n">
        <f aca="false">CHOOSE(allocation_method,'RSP Surch Allocations'!E40,'RSP Surch Allocations'!J40,'RSP Surch Allocations'!N40,'RSP Surch Allocations'!Q40,'RSP Surch Allocations'!AA40,'RSP Surch Allocations'!AH40,'RSP Surch Allocations'!AS40,'RSP Surch Allocations'!BD40,'RSP Surch Allocations'!BO40,'RSP Surch Allocations'!BZ40,)</f>
        <v>206472996.367325</v>
      </c>
      <c r="O39" s="155" t="n">
        <f aca="false">SUM(E39:N39)</f>
        <v>722560859.771295</v>
      </c>
      <c r="P39" s="169" t="n">
        <f aca="false">ROUND(O39-D39,0)</f>
        <v>260426313</v>
      </c>
      <c r="Q39" s="170" t="n">
        <v>5395331629.57665</v>
      </c>
      <c r="R39" s="152" t="n">
        <f aca="false">D39/$Q39*100</f>
        <v>8.56545211372791</v>
      </c>
      <c r="S39" s="152" t="n">
        <f aca="false">E39/$Q39*100</f>
        <v>0.470316484508752</v>
      </c>
      <c r="T39" s="152" t="n">
        <f aca="false">F39/$Q39*100</f>
        <v>0.184499773184894</v>
      </c>
      <c r="U39" s="152" t="n">
        <f aca="false">G39/$Q39*100</f>
        <v>0.266</v>
      </c>
      <c r="V39" s="152" t="n">
        <f aca="false">H39/$Q39*100</f>
        <v>1.77548289957844</v>
      </c>
      <c r="W39" s="152" t="n">
        <f aca="false">I39/$Q39*100</f>
        <v>0.037</v>
      </c>
      <c r="X39" s="152" t="n">
        <f aca="false">J39/$Q39*100</f>
        <v>5.80966041105839</v>
      </c>
      <c r="Y39" s="152" t="n">
        <f aca="false">K39/$Q39*100</f>
        <v>0.0224925453974278</v>
      </c>
      <c r="Z39" s="152" t="n">
        <f aca="false">L39/$Q39*100</f>
        <v>0</v>
      </c>
      <c r="AA39" s="154" t="n">
        <f aca="false">M39/$Q39*100</f>
        <v>1</v>
      </c>
      <c r="AB39" s="152" t="n">
        <f aca="false">N39/$Q39*100</f>
        <v>3.82688239654187</v>
      </c>
      <c r="AC39" s="152" t="n">
        <f aca="false">O39/$Q39*100</f>
        <v>13.3923345102698</v>
      </c>
      <c r="AD39" s="152"/>
      <c r="AE39" s="157"/>
      <c r="AF39" s="141" t="n">
        <f aca="false">(AC39-AG39)/AG39</f>
        <v>0.400073342173728</v>
      </c>
      <c r="AG39" s="152" t="n">
        <f aca="false">AA39+R39</f>
        <v>9.56545211372791</v>
      </c>
      <c r="AH39" s="152"/>
      <c r="AI39" s="141"/>
      <c r="AJ39" s="141"/>
      <c r="AK39" s="141"/>
      <c r="AL39" s="141"/>
      <c r="AM39" s="141"/>
      <c r="AN39" s="162"/>
      <c r="AO39" s="162"/>
      <c r="AP39" s="162"/>
      <c r="AQ39" s="158"/>
      <c r="AR39" s="162"/>
      <c r="AS39" s="163"/>
      <c r="AT39" s="163"/>
      <c r="AU39" s="162"/>
      <c r="AV39" s="163"/>
      <c r="AW39" s="162"/>
      <c r="AX39" s="163"/>
      <c r="AY39" s="162"/>
      <c r="AZ39" s="163"/>
      <c r="BA39" s="162"/>
      <c r="BB39" s="163"/>
      <c r="BC39" s="162"/>
      <c r="BD39" s="163"/>
      <c r="BE39" s="162"/>
      <c r="BF39" s="164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  <c r="EO39" s="105"/>
      <c r="EP39" s="105"/>
      <c r="EQ39" s="105"/>
      <c r="ER39" s="105"/>
      <c r="ES39" s="105"/>
      <c r="ET39" s="105"/>
      <c r="EU39" s="105"/>
      <c r="EV39" s="105"/>
      <c r="EW39" s="105"/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  <c r="FL39" s="105"/>
      <c r="FM39" s="105"/>
      <c r="FN39" s="105"/>
      <c r="FO39" s="105"/>
      <c r="FP39" s="105"/>
      <c r="FQ39" s="105"/>
      <c r="FR39" s="105"/>
      <c r="FS39" s="105"/>
      <c r="FT39" s="105"/>
      <c r="FU39" s="105"/>
      <c r="FV39" s="105"/>
      <c r="FW39" s="105"/>
      <c r="FX39" s="105"/>
      <c r="FY39" s="105"/>
      <c r="FZ39" s="105"/>
      <c r="GA39" s="105"/>
      <c r="GB39" s="105"/>
      <c r="GC39" s="105"/>
      <c r="GD39" s="105"/>
      <c r="GE39" s="105"/>
      <c r="GF39" s="105"/>
      <c r="GG39" s="105"/>
      <c r="GH39" s="105"/>
      <c r="GI39" s="105"/>
      <c r="GJ39" s="105"/>
      <c r="GK39" s="105"/>
      <c r="GL39" s="105"/>
      <c r="GM39" s="105"/>
      <c r="GN39" s="105"/>
      <c r="GO39" s="105"/>
      <c r="GP39" s="105"/>
      <c r="GQ39" s="105"/>
      <c r="GR39" s="105"/>
      <c r="GS39" s="105"/>
      <c r="GT39" s="105"/>
      <c r="GU39" s="105"/>
      <c r="GV39" s="105"/>
      <c r="GW39" s="105"/>
      <c r="GX39" s="105"/>
      <c r="GY39" s="105"/>
      <c r="GZ39" s="105"/>
      <c r="HA39" s="105"/>
      <c r="HB39" s="105"/>
      <c r="HC39" s="105"/>
      <c r="HD39" s="105"/>
      <c r="HE39" s="105"/>
      <c r="HF39" s="105"/>
      <c r="HG39" s="105"/>
      <c r="HH39" s="105"/>
      <c r="HI39" s="105"/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5"/>
      <c r="HU39" s="105"/>
      <c r="HV39" s="105"/>
      <c r="HW39" s="105"/>
      <c r="HX39" s="105"/>
      <c r="HY39" s="105"/>
      <c r="HZ39" s="105"/>
      <c r="IA39" s="105"/>
      <c r="IB39" s="105"/>
      <c r="IC39" s="105"/>
      <c r="ID39" s="105"/>
      <c r="IE39" s="105"/>
      <c r="IF39" s="105"/>
      <c r="IG39" s="105"/>
      <c r="IH39" s="105"/>
      <c r="II39" s="105"/>
      <c r="IJ39" s="105"/>
      <c r="IK39" s="105"/>
      <c r="IL39" s="105"/>
      <c r="IM39" s="105"/>
      <c r="IN39" s="105"/>
      <c r="IO39" s="105"/>
      <c r="IP39" s="105"/>
      <c r="IQ39" s="105"/>
      <c r="IR39" s="105"/>
      <c r="IS39" s="105"/>
      <c r="IT39" s="105"/>
      <c r="IU39" s="105"/>
      <c r="IV39" s="105"/>
      <c r="IW39" s="105"/>
    </row>
    <row r="40" customFormat="false" ht="12.75" hidden="false" customHeight="false" outlineLevel="0" collapsed="false">
      <c r="A40" s="84"/>
      <c r="B40" s="94" t="s">
        <v>312</v>
      </c>
      <c r="C40" s="82" t="s">
        <v>231</v>
      </c>
      <c r="D40" s="174" t="n">
        <v>1868731.8864175</v>
      </c>
      <c r="E40" s="173" t="n">
        <v>115269.788461075</v>
      </c>
      <c r="F40" s="174" t="n">
        <v>47250.1398922157</v>
      </c>
      <c r="G40" s="174" t="n">
        <v>65193.8954737516</v>
      </c>
      <c r="H40" s="174" t="n">
        <v>438815.959316015</v>
      </c>
      <c r="I40" s="174" t="n">
        <v>9068.32380647928</v>
      </c>
      <c r="J40" s="175" t="n">
        <f aca="false">D40-SUM(E40:I40,K40)</f>
        <v>1193133.77946796</v>
      </c>
      <c r="K40" s="176"/>
      <c r="L40" s="176" t="n">
        <f aca="false">IF(allocation_method&gt;=6,CHOOSE(gen_choice,'Generation Calculations'!H44-'Generation Calculations'!I44+'Generation Calculations'!J44,'Generation Calculations'!G44+'Generation Calculations'!H44-'Generation Calculations'!I44+'Generation Calculations'!J44),0)</f>
        <v>0</v>
      </c>
      <c r="M40" s="176" t="n">
        <f aca="false">'Test Year 2001 Sales and Revs.'!K44</f>
        <v>245089.832608089</v>
      </c>
      <c r="N40" s="176" t="n">
        <f aca="false">CHOOSE(allocation_method,'RSP Surch Allocations'!E41,'RSP Surch Allocations'!J41,'RSP Surch Allocations'!N41,'RSP Surch Allocations'!Q41,'RSP Surch Allocations'!AA41,'RSP Surch Allocations'!AH41,'RSP Surch Allocations'!AS41,'RSP Surch Allocations'!BD41,'RSP Surch Allocations'!BO41,'RSP Surch Allocations'!BZ41,)</f>
        <v>937929.965979288</v>
      </c>
      <c r="O40" s="155" t="n">
        <f aca="false">SUM(E40:N40)</f>
        <v>3051751.68500488</v>
      </c>
      <c r="P40" s="169" t="n">
        <f aca="false">ROUND(O40-D40,0)</f>
        <v>1183020</v>
      </c>
      <c r="Q40" s="177" t="n">
        <v>24508983.2608089</v>
      </c>
      <c r="R40" s="178" t="n">
        <f aca="false">D40/$Q40*100</f>
        <v>7.62468139347787</v>
      </c>
      <c r="S40" s="178" t="n">
        <f aca="false">E40/$Q40*100</f>
        <v>0.470316484508752</v>
      </c>
      <c r="T40" s="178" t="n">
        <f aca="false">F40/$Q40*100</f>
        <v>0.192787025840322</v>
      </c>
      <c r="U40" s="178" t="n">
        <f aca="false">G40/$Q40*100</f>
        <v>0.266</v>
      </c>
      <c r="V40" s="178" t="n">
        <f aca="false">H40/$Q40*100</f>
        <v>1.79042906287224</v>
      </c>
      <c r="W40" s="178" t="n">
        <f aca="false">I40/$Q40*100</f>
        <v>0.0369999999999184</v>
      </c>
      <c r="X40" s="178" t="n">
        <f aca="false">J40/$Q40*100</f>
        <v>4.86814882025663</v>
      </c>
      <c r="Y40" s="178" t="n">
        <f aca="false">K40/$Q40*100</f>
        <v>0</v>
      </c>
      <c r="Z40" s="178" t="n">
        <f aca="false">L40/$Q40*100</f>
        <v>0</v>
      </c>
      <c r="AA40" s="150" t="n">
        <f aca="false">M40/$Q40*100</f>
        <v>1</v>
      </c>
      <c r="AB40" s="178" t="n">
        <f aca="false">N40/$Q40*100</f>
        <v>3.82688239654187</v>
      </c>
      <c r="AC40" s="178" t="n">
        <f aca="false">O40/$Q40*100</f>
        <v>12.4515637900197</v>
      </c>
      <c r="AD40" s="178"/>
      <c r="AE40" s="157"/>
      <c r="AF40" s="151" t="n">
        <f aca="false">(AC40-AG40)/AG40</f>
        <v>0.443712900448222</v>
      </c>
      <c r="AG40" s="152" t="n">
        <f aca="false">AA40+R40</f>
        <v>8.62468139347787</v>
      </c>
      <c r="AH40" s="152"/>
      <c r="AI40" s="151"/>
      <c r="AJ40" s="151"/>
      <c r="AK40" s="151"/>
      <c r="AL40" s="151"/>
      <c r="AM40" s="151"/>
      <c r="AN40" s="179"/>
      <c r="AO40" s="179"/>
      <c r="AP40" s="179"/>
      <c r="AQ40" s="180"/>
      <c r="AR40" s="179"/>
      <c r="AS40" s="181"/>
      <c r="AT40" s="181"/>
      <c r="AU40" s="179"/>
      <c r="AV40" s="181"/>
      <c r="AW40" s="179"/>
      <c r="AX40" s="181"/>
      <c r="AY40" s="179"/>
      <c r="AZ40" s="181"/>
      <c r="BA40" s="179"/>
      <c r="BB40" s="181"/>
      <c r="BC40" s="179"/>
      <c r="BD40" s="181"/>
      <c r="BE40" s="179"/>
      <c r="BF40" s="182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5"/>
      <c r="HU40" s="105"/>
      <c r="HV40" s="105"/>
      <c r="HW40" s="105"/>
      <c r="HX40" s="105"/>
      <c r="HY40" s="105"/>
      <c r="HZ40" s="105"/>
      <c r="IA40" s="105"/>
      <c r="IB40" s="105"/>
      <c r="IC40" s="105"/>
      <c r="ID40" s="105"/>
      <c r="IE40" s="105"/>
      <c r="IF40" s="105"/>
      <c r="IG40" s="105"/>
      <c r="IH40" s="105"/>
      <c r="II40" s="105"/>
      <c r="IJ40" s="105"/>
      <c r="IK40" s="105"/>
      <c r="IL40" s="105"/>
      <c r="IM40" s="105"/>
      <c r="IN40" s="105"/>
      <c r="IO40" s="105"/>
      <c r="IP40" s="105"/>
      <c r="IQ40" s="105"/>
      <c r="IR40" s="105"/>
      <c r="IS40" s="105"/>
      <c r="IT40" s="105"/>
      <c r="IU40" s="105"/>
      <c r="IV40" s="105"/>
      <c r="IW40" s="105"/>
    </row>
    <row r="41" customFormat="false" ht="12.75" hidden="false" customHeight="false" outlineLevel="0" collapsed="false">
      <c r="A41" s="84"/>
      <c r="B41" s="97" t="s">
        <v>313</v>
      </c>
      <c r="C41" s="98" t="s">
        <v>231</v>
      </c>
      <c r="D41" s="155" t="n">
        <f aca="false">SUM(D38:D40)</f>
        <v>895808650.233123</v>
      </c>
      <c r="E41" s="155" t="n">
        <f aca="false">SUM(E38:E40)</f>
        <v>47852113.9024968</v>
      </c>
      <c r="F41" s="155" t="n">
        <f aca="false">SUM(F38:F40)</f>
        <v>20219947.7989087</v>
      </c>
      <c r="G41" s="155" t="n">
        <f aca="false">SUM(G38:G40)</f>
        <v>27064036.0636192</v>
      </c>
      <c r="H41" s="155" t="n">
        <f aca="false">SUM(H38:H40)</f>
        <v>187406526.981022</v>
      </c>
      <c r="I41" s="155" t="n">
        <f aca="false">SUM(I38:I40)</f>
        <v>3764546.36975291</v>
      </c>
      <c r="J41" s="155" t="n">
        <f aca="false">SUM(J38:J40)</f>
        <v>608287931.701199</v>
      </c>
      <c r="K41" s="155" t="n">
        <f aca="false">SUM(K38:K40)</f>
        <v>1213547.41612431</v>
      </c>
      <c r="L41" s="156" t="n">
        <f aca="false">SUM(L38:L40)</f>
        <v>0</v>
      </c>
      <c r="M41" s="155" t="n">
        <f aca="false">SUM(M38:M40)</f>
        <v>101744496.479809</v>
      </c>
      <c r="N41" s="155" t="n">
        <f aca="false">SUM(N38:N40)</f>
        <v>389364222.523597</v>
      </c>
      <c r="O41" s="155" t="n">
        <f aca="false">SUM(O38:O40)</f>
        <v>1386917369.23653</v>
      </c>
      <c r="P41" s="169" t="n">
        <f aca="false">ROUND(O41-D41,0)</f>
        <v>491108719</v>
      </c>
      <c r="Q41" s="159" t="n">
        <f aca="false">SUM(Q38:Q40)</f>
        <v>10174449647.9809</v>
      </c>
      <c r="R41" s="152" t="n">
        <f aca="false">D41/$Q41*100</f>
        <v>8.80449244162209</v>
      </c>
      <c r="S41" s="152" t="n">
        <f aca="false">E41/$Q41*100</f>
        <v>0.470316484508752</v>
      </c>
      <c r="T41" s="152" t="n">
        <f aca="false">F41/$Q41*100</f>
        <v>0.198732594867393</v>
      </c>
      <c r="U41" s="152" t="n">
        <f aca="false">G41/$Q41*100</f>
        <v>0.265999999999902</v>
      </c>
      <c r="V41" s="152" t="n">
        <f aca="false">H41/$Q41*100</f>
        <v>1.84193281666309</v>
      </c>
      <c r="W41" s="152" t="n">
        <f aca="false">I41/$Q41*100</f>
        <v>0.0369999999999998</v>
      </c>
      <c r="X41" s="152" t="n">
        <f aca="false">J41/$Q41*100</f>
        <v>5.97858314451351</v>
      </c>
      <c r="Y41" s="152" t="n">
        <f aca="false">K41/$Q41*100</f>
        <v>0.0119274010694538</v>
      </c>
      <c r="Z41" s="152" t="n">
        <f aca="false">L41/$Q41*100</f>
        <v>0</v>
      </c>
      <c r="AA41" s="154" t="n">
        <f aca="false">M41/$Q41*100</f>
        <v>1</v>
      </c>
      <c r="AB41" s="152" t="n">
        <f aca="false">N41/$Q41*100</f>
        <v>3.82688239654187</v>
      </c>
      <c r="AC41" s="152" t="n">
        <f aca="false">O41/$Q41*100</f>
        <v>13.631374838164</v>
      </c>
      <c r="AD41" s="152"/>
      <c r="AE41" s="157"/>
      <c r="AF41" s="141" t="n">
        <f aca="false">(AC41-AG41)/AG41</f>
        <v>0.390319276528377</v>
      </c>
      <c r="AG41" s="152" t="n">
        <f aca="false">AA41+R41</f>
        <v>9.80449244162209</v>
      </c>
      <c r="AH41" s="152"/>
      <c r="AI41" s="141"/>
      <c r="AJ41" s="141"/>
      <c r="AK41" s="141"/>
      <c r="AL41" s="141"/>
      <c r="AM41" s="141"/>
      <c r="AN41" s="162"/>
      <c r="AO41" s="162"/>
      <c r="AP41" s="162"/>
      <c r="AQ41" s="158"/>
      <c r="AR41" s="162"/>
      <c r="AS41" s="163"/>
      <c r="AT41" s="163"/>
      <c r="AU41" s="162"/>
      <c r="AV41" s="163"/>
      <c r="AW41" s="162"/>
      <c r="AX41" s="163"/>
      <c r="AY41" s="162"/>
      <c r="AZ41" s="163"/>
      <c r="BA41" s="162"/>
      <c r="BB41" s="163"/>
      <c r="BC41" s="162"/>
      <c r="BD41" s="163"/>
      <c r="BE41" s="162"/>
      <c r="BF41" s="164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171"/>
      <c r="CP41" s="171"/>
      <c r="CQ41" s="171"/>
      <c r="CR41" s="171"/>
      <c r="CS41" s="171"/>
      <c r="CT41" s="171"/>
      <c r="CU41" s="171"/>
      <c r="CV41" s="171"/>
      <c r="CW41" s="171"/>
      <c r="CX41" s="171"/>
      <c r="CY41" s="171"/>
      <c r="CZ41" s="171"/>
      <c r="DA41" s="171"/>
      <c r="DB41" s="171"/>
      <c r="DC41" s="171"/>
      <c r="DD41" s="171"/>
      <c r="DE41" s="171"/>
      <c r="DF41" s="171"/>
      <c r="DG41" s="171"/>
      <c r="DH41" s="171"/>
      <c r="DI41" s="171"/>
      <c r="DJ41" s="171"/>
      <c r="DK41" s="171"/>
      <c r="DL41" s="171"/>
      <c r="DM41" s="171"/>
      <c r="DN41" s="171"/>
      <c r="DO41" s="171"/>
      <c r="DP41" s="171"/>
      <c r="DQ41" s="171"/>
      <c r="DR41" s="171"/>
      <c r="DS41" s="171"/>
      <c r="DT41" s="171"/>
      <c r="DU41" s="171"/>
      <c r="DV41" s="171"/>
      <c r="DW41" s="171"/>
      <c r="DX41" s="171"/>
      <c r="DY41" s="171"/>
      <c r="DZ41" s="171"/>
      <c r="EA41" s="171"/>
      <c r="EB41" s="171"/>
      <c r="EC41" s="171"/>
      <c r="ED41" s="171"/>
      <c r="EE41" s="171"/>
      <c r="EF41" s="171"/>
      <c r="EG41" s="171"/>
      <c r="EH41" s="171"/>
      <c r="EI41" s="171"/>
      <c r="EJ41" s="171"/>
      <c r="EK41" s="171"/>
      <c r="EL41" s="171"/>
      <c r="EM41" s="171"/>
      <c r="EN41" s="171"/>
      <c r="EO41" s="171"/>
      <c r="EP41" s="171"/>
      <c r="EQ41" s="171"/>
      <c r="ER41" s="171"/>
      <c r="ES41" s="171"/>
      <c r="ET41" s="171"/>
      <c r="EU41" s="171"/>
      <c r="EV41" s="171"/>
      <c r="EW41" s="171"/>
      <c r="EX41" s="171"/>
      <c r="EY41" s="171"/>
      <c r="EZ41" s="171"/>
      <c r="FA41" s="171"/>
      <c r="FB41" s="171"/>
      <c r="FC41" s="171"/>
      <c r="FD41" s="171"/>
      <c r="FE41" s="171"/>
      <c r="FF41" s="171"/>
      <c r="FG41" s="171"/>
      <c r="FH41" s="171"/>
      <c r="FI41" s="171"/>
      <c r="FJ41" s="171"/>
      <c r="FK41" s="171"/>
      <c r="FL41" s="171"/>
      <c r="FM41" s="171"/>
      <c r="FN41" s="171"/>
      <c r="FO41" s="171"/>
      <c r="FP41" s="171"/>
      <c r="FQ41" s="171"/>
      <c r="FR41" s="171"/>
      <c r="FS41" s="171"/>
      <c r="FT41" s="171"/>
      <c r="FU41" s="171"/>
      <c r="FV41" s="171"/>
      <c r="FW41" s="171"/>
      <c r="FX41" s="171"/>
      <c r="FY41" s="171"/>
      <c r="FZ41" s="171"/>
      <c r="GA41" s="171"/>
      <c r="GB41" s="171"/>
      <c r="GC41" s="171"/>
      <c r="GD41" s="171"/>
      <c r="GE41" s="171"/>
      <c r="GF41" s="171"/>
      <c r="GG41" s="171"/>
      <c r="GH41" s="171"/>
      <c r="GI41" s="171"/>
      <c r="GJ41" s="171"/>
      <c r="GK41" s="171"/>
      <c r="GL41" s="171"/>
      <c r="GM41" s="171"/>
      <c r="GN41" s="171"/>
      <c r="GO41" s="171"/>
      <c r="GP41" s="171"/>
      <c r="GQ41" s="171"/>
      <c r="GR41" s="171"/>
      <c r="GS41" s="171"/>
      <c r="GT41" s="171"/>
      <c r="GU41" s="171"/>
      <c r="GV41" s="171"/>
      <c r="GW41" s="171"/>
      <c r="GX41" s="171"/>
      <c r="GY41" s="171"/>
      <c r="GZ41" s="171"/>
      <c r="HA41" s="171"/>
      <c r="HB41" s="171"/>
      <c r="HC41" s="171"/>
      <c r="HD41" s="171"/>
      <c r="HE41" s="171"/>
      <c r="HF41" s="171"/>
      <c r="HG41" s="171"/>
      <c r="HH41" s="171"/>
      <c r="HI41" s="171"/>
      <c r="HJ41" s="171"/>
      <c r="HK41" s="171"/>
      <c r="HL41" s="171"/>
      <c r="HM41" s="171"/>
      <c r="HN41" s="171"/>
      <c r="HO41" s="171"/>
      <c r="HP41" s="171"/>
      <c r="HQ41" s="171"/>
      <c r="HR41" s="171"/>
      <c r="HS41" s="171"/>
      <c r="HT41" s="171"/>
      <c r="HU41" s="171"/>
      <c r="HV41" s="171"/>
      <c r="HW41" s="171"/>
      <c r="HX41" s="171"/>
      <c r="HY41" s="171"/>
      <c r="HZ41" s="171"/>
      <c r="IA41" s="171"/>
      <c r="IB41" s="171"/>
      <c r="IC41" s="171"/>
      <c r="ID41" s="171"/>
      <c r="IE41" s="171"/>
      <c r="IF41" s="171"/>
      <c r="IG41" s="171"/>
      <c r="IH41" s="171"/>
      <c r="II41" s="171"/>
      <c r="IJ41" s="171"/>
      <c r="IK41" s="171"/>
      <c r="IL41" s="171"/>
      <c r="IM41" s="171"/>
      <c r="IN41" s="171"/>
      <c r="IO41" s="171"/>
      <c r="IP41" s="171"/>
      <c r="IQ41" s="171"/>
      <c r="IR41" s="171"/>
      <c r="IS41" s="171"/>
      <c r="IT41" s="171"/>
      <c r="IU41" s="171"/>
      <c r="IV41" s="171"/>
      <c r="IW41" s="171"/>
    </row>
    <row r="42" customFormat="false" ht="9" hidden="false" customHeight="true" outlineLevel="0" collapsed="false">
      <c r="A42" s="84"/>
      <c r="B42" s="94"/>
      <c r="C42" s="82"/>
      <c r="D42" s="167"/>
      <c r="E42" s="156"/>
      <c r="F42" s="167"/>
      <c r="G42" s="167"/>
      <c r="H42" s="167"/>
      <c r="I42" s="167"/>
      <c r="J42" s="155"/>
      <c r="K42" s="155"/>
      <c r="L42" s="155"/>
      <c r="M42" s="155"/>
      <c r="N42" s="155"/>
      <c r="O42" s="155"/>
      <c r="P42" s="169"/>
      <c r="Q42" s="159"/>
      <c r="R42" s="152"/>
      <c r="S42" s="152"/>
      <c r="T42" s="152"/>
      <c r="U42" s="152"/>
      <c r="V42" s="152"/>
      <c r="W42" s="152"/>
      <c r="X42" s="152"/>
      <c r="Y42" s="152"/>
      <c r="Z42" s="152"/>
      <c r="AA42" s="154"/>
      <c r="AB42" s="152"/>
      <c r="AC42" s="152"/>
      <c r="AD42" s="152"/>
      <c r="AE42" s="157"/>
      <c r="AF42" s="141"/>
      <c r="AG42" s="152" t="n">
        <f aca="false">AA42+R42</f>
        <v>0</v>
      </c>
      <c r="AH42" s="152"/>
      <c r="AI42" s="141"/>
      <c r="AJ42" s="141"/>
      <c r="AK42" s="141"/>
      <c r="AL42" s="141"/>
      <c r="AM42" s="141"/>
      <c r="AN42" s="158"/>
      <c r="AO42" s="158"/>
      <c r="AP42" s="162"/>
      <c r="AQ42" s="158"/>
      <c r="AR42" s="162"/>
      <c r="AS42" s="163"/>
      <c r="AT42" s="163"/>
      <c r="AU42" s="162"/>
      <c r="AV42" s="163"/>
      <c r="AW42" s="162"/>
      <c r="AX42" s="163"/>
      <c r="AY42" s="162"/>
      <c r="AZ42" s="163"/>
      <c r="BA42" s="162"/>
      <c r="BB42" s="163"/>
      <c r="BC42" s="162"/>
      <c r="BD42" s="163"/>
      <c r="BE42" s="158"/>
      <c r="BF42" s="164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5"/>
      <c r="IP42" s="105"/>
      <c r="IQ42" s="105"/>
      <c r="IR42" s="105"/>
      <c r="IS42" s="105"/>
      <c r="IT42" s="105"/>
      <c r="IU42" s="105"/>
      <c r="IV42" s="105"/>
      <c r="IW42" s="105"/>
    </row>
    <row r="43" customFormat="false" ht="12.75" hidden="false" customHeight="false" outlineLevel="0" collapsed="false">
      <c r="A43" s="84"/>
      <c r="B43" s="97" t="s">
        <v>313</v>
      </c>
      <c r="C43" s="84"/>
      <c r="D43" s="155" t="n">
        <f aca="false">D31+D36+D41</f>
        <v>957279466.568201</v>
      </c>
      <c r="E43" s="155" t="n">
        <f aca="false">E31+E36+E41</f>
        <v>51590196.7274629</v>
      </c>
      <c r="F43" s="155" t="n">
        <f aca="false">F31+F36+F41</f>
        <v>21923904.9163769</v>
      </c>
      <c r="G43" s="155" t="n">
        <f aca="false">G31+G36+G41</f>
        <v>28928692.138883</v>
      </c>
      <c r="H43" s="155" t="n">
        <f aca="false">H31+H36+H41</f>
        <v>196906149.212703</v>
      </c>
      <c r="I43" s="155" t="n">
        <f aca="false">I31+I36+I41</f>
        <v>4018899.83906171</v>
      </c>
      <c r="J43" s="155" t="n">
        <f aca="false">D43-SUM(E43:I43,K43)</f>
        <v>652697171.153058</v>
      </c>
      <c r="K43" s="155" t="n">
        <f aca="false">K31+K36+K41</f>
        <v>1214452.58065562</v>
      </c>
      <c r="L43" s="155" t="n">
        <f aca="false">L31+L36+L41</f>
        <v>0</v>
      </c>
      <c r="M43" s="155" t="n">
        <f aca="false">M31+M36+M41</f>
        <v>109692512.226845</v>
      </c>
      <c r="N43" s="155" t="n">
        <f aca="false">N31+N36+N41</f>
        <v>419780344.073366</v>
      </c>
      <c r="O43" s="155" t="n">
        <f aca="false">O31+O36+O41</f>
        <v>1486752322.86841</v>
      </c>
      <c r="P43" s="169" t="n">
        <f aca="false">ROUND(O43-D43,0)</f>
        <v>529472856</v>
      </c>
      <c r="Q43" s="159" t="n">
        <f aca="false">Q31+Q36+Q41</f>
        <v>10969251222.6835</v>
      </c>
      <c r="R43" s="152" t="n">
        <f aca="false">D43/$Q43*100</f>
        <v>8.72693538633366</v>
      </c>
      <c r="S43" s="152" t="n">
        <f aca="false">E43/$Q43*100</f>
        <v>0.470316484508795</v>
      </c>
      <c r="T43" s="152" t="n">
        <f aca="false">F43/$Q43*100</f>
        <v>0.199866923195634</v>
      </c>
      <c r="U43" s="152" t="n">
        <f aca="false">G43/$Q43*100</f>
        <v>0.26372531316505</v>
      </c>
      <c r="V43" s="152" t="n">
        <f aca="false">H43/$Q43*100</f>
        <v>1.79507374947816</v>
      </c>
      <c r="W43" s="152" t="n">
        <f aca="false">I43/$Q43*100</f>
        <v>0.0366378685060196</v>
      </c>
      <c r="X43" s="152" t="n">
        <f aca="false">J43/$Q43*100</f>
        <v>5.95024362103528</v>
      </c>
      <c r="Y43" s="152" t="n">
        <f aca="false">K43/$Q43*100</f>
        <v>0.011071426444717</v>
      </c>
      <c r="Z43" s="152" t="n">
        <f aca="false">L43/$Q43*100</f>
        <v>0</v>
      </c>
      <c r="AA43" s="154" t="n">
        <f aca="false">M43/$Q43*100</f>
        <v>1.00000000000009</v>
      </c>
      <c r="AB43" s="152" t="n">
        <f aca="false">N43/$Q43*100</f>
        <v>3.82688239654222</v>
      </c>
      <c r="AC43" s="152" t="n">
        <f aca="false">O43/$Q43*100</f>
        <v>13.553817782876</v>
      </c>
      <c r="AD43" s="152"/>
      <c r="AE43" s="157"/>
      <c r="AF43" s="141" t="n">
        <f aca="false">(AC43-AG43)/AG43</f>
        <v>0.393431460634451</v>
      </c>
      <c r="AG43" s="152" t="n">
        <f aca="false">AA43+R43</f>
        <v>9.72693538633375</v>
      </c>
      <c r="AH43" s="152"/>
      <c r="AI43" s="141"/>
      <c r="AJ43" s="141"/>
      <c r="AK43" s="141"/>
      <c r="AL43" s="141"/>
      <c r="AM43" s="141"/>
      <c r="AN43" s="162"/>
      <c r="AO43" s="162"/>
      <c r="AP43" s="162"/>
      <c r="AQ43" s="158"/>
      <c r="AR43" s="162"/>
      <c r="AS43" s="163"/>
      <c r="AT43" s="163"/>
      <c r="AU43" s="162"/>
      <c r="AV43" s="163"/>
      <c r="AW43" s="162"/>
      <c r="AX43" s="163"/>
      <c r="AY43" s="162"/>
      <c r="AZ43" s="163"/>
      <c r="BA43" s="162"/>
      <c r="BB43" s="163"/>
      <c r="BC43" s="162"/>
      <c r="BD43" s="163"/>
      <c r="BE43" s="162"/>
      <c r="BF43" s="164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1"/>
      <c r="HD43" s="171"/>
      <c r="HE43" s="171"/>
      <c r="HF43" s="171"/>
      <c r="HG43" s="171"/>
      <c r="HH43" s="171"/>
      <c r="HI43" s="171"/>
      <c r="HJ43" s="171"/>
      <c r="HK43" s="171"/>
      <c r="HL43" s="171"/>
      <c r="HM43" s="171"/>
      <c r="HN43" s="171"/>
      <c r="HO43" s="171"/>
      <c r="HP43" s="171"/>
      <c r="HQ43" s="171"/>
      <c r="HR43" s="171"/>
      <c r="HS43" s="171"/>
      <c r="HT43" s="171"/>
      <c r="HU43" s="171"/>
      <c r="HV43" s="171"/>
      <c r="HW43" s="171"/>
      <c r="HX43" s="171"/>
      <c r="HY43" s="171"/>
      <c r="HZ43" s="171"/>
      <c r="IA43" s="171"/>
      <c r="IB43" s="171"/>
      <c r="IC43" s="171"/>
      <c r="ID43" s="171"/>
      <c r="IE43" s="171"/>
      <c r="IF43" s="171"/>
      <c r="IG43" s="171"/>
      <c r="IH43" s="171"/>
      <c r="II43" s="171"/>
      <c r="IJ43" s="171"/>
      <c r="IK43" s="171"/>
      <c r="IL43" s="171"/>
      <c r="IM43" s="171"/>
      <c r="IN43" s="171"/>
      <c r="IO43" s="171"/>
      <c r="IP43" s="171"/>
      <c r="IQ43" s="171"/>
      <c r="IR43" s="171"/>
      <c r="IS43" s="171"/>
      <c r="IT43" s="171"/>
      <c r="IU43" s="171"/>
      <c r="IV43" s="171"/>
      <c r="IW43" s="171"/>
    </row>
    <row r="44" customFormat="false" ht="6" hidden="false" customHeight="true" outlineLevel="0" collapsed="false">
      <c r="A44" s="84"/>
      <c r="B44" s="94"/>
      <c r="C44" s="79"/>
      <c r="D44" s="167"/>
      <c r="E44" s="156"/>
      <c r="F44" s="167"/>
      <c r="G44" s="167"/>
      <c r="H44" s="167"/>
      <c r="I44" s="167"/>
      <c r="J44" s="155"/>
      <c r="K44" s="155"/>
      <c r="L44" s="155"/>
      <c r="M44" s="155"/>
      <c r="N44" s="155"/>
      <c r="O44" s="155"/>
      <c r="P44" s="169"/>
      <c r="Q44" s="159"/>
      <c r="R44" s="152"/>
      <c r="S44" s="152"/>
      <c r="T44" s="152"/>
      <c r="U44" s="152"/>
      <c r="V44" s="152"/>
      <c r="W44" s="152"/>
      <c r="X44" s="152"/>
      <c r="Y44" s="152"/>
      <c r="Z44" s="152"/>
      <c r="AA44" s="154"/>
      <c r="AB44" s="152"/>
      <c r="AC44" s="152"/>
      <c r="AD44" s="152"/>
      <c r="AE44" s="157"/>
      <c r="AF44" s="141"/>
      <c r="AG44" s="152" t="n">
        <f aca="false">AA44+R44</f>
        <v>0</v>
      </c>
      <c r="AH44" s="152"/>
      <c r="AI44" s="141"/>
      <c r="AJ44" s="141"/>
      <c r="AK44" s="141"/>
      <c r="AL44" s="141"/>
      <c r="AM44" s="141"/>
      <c r="AN44" s="158"/>
      <c r="AO44" s="158"/>
      <c r="AP44" s="162"/>
      <c r="AQ44" s="158"/>
      <c r="AR44" s="162"/>
      <c r="AS44" s="163"/>
      <c r="AT44" s="163"/>
      <c r="AU44" s="162"/>
      <c r="AV44" s="163"/>
      <c r="AW44" s="162"/>
      <c r="AX44" s="163"/>
      <c r="AY44" s="162"/>
      <c r="AZ44" s="163"/>
      <c r="BA44" s="162"/>
      <c r="BB44" s="163"/>
      <c r="BC44" s="162"/>
      <c r="BD44" s="163"/>
      <c r="BE44" s="158"/>
      <c r="BF44" s="164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5"/>
      <c r="IP44" s="105"/>
      <c r="IQ44" s="105"/>
      <c r="IR44" s="105"/>
      <c r="IS44" s="105"/>
      <c r="IT44" s="105"/>
      <c r="IU44" s="105"/>
      <c r="IV44" s="105"/>
      <c r="IW44" s="105"/>
    </row>
    <row r="45" customFormat="false" ht="12.75" hidden="false" customHeight="false" outlineLevel="0" collapsed="false">
      <c r="A45" s="84"/>
      <c r="B45" s="94" t="s">
        <v>314</v>
      </c>
      <c r="C45" s="82" t="s">
        <v>231</v>
      </c>
      <c r="D45" s="174" t="n">
        <v>3103936.42460821</v>
      </c>
      <c r="E45" s="173" t="n">
        <v>216942.621432121</v>
      </c>
      <c r="F45" s="174" t="n">
        <v>108750.601401767</v>
      </c>
      <c r="G45" s="174" t="n">
        <v>109782.12672</v>
      </c>
      <c r="H45" s="174" t="n">
        <v>740651.241251843</v>
      </c>
      <c r="I45" s="174" t="n">
        <v>14760.62208</v>
      </c>
      <c r="J45" s="175" t="n">
        <f aca="false">D45-SUM(E45:I45,K45)</f>
        <v>1913049.21172248</v>
      </c>
      <c r="K45" s="176"/>
      <c r="L45" s="168" t="n">
        <f aca="false">IF(allocation_method&gt;=6,CHOOSE(gen_choice,'Generation Calculations'!H47-'Generation Calculations'!I47+'Generation Calculations'!J47,'Generation Calculations'!G47+'Generation Calculations'!H47-'Generation Calculations'!I47+'Generation Calculations'!J47),0)</f>
        <v>0</v>
      </c>
      <c r="M45" s="176" t="n">
        <f aca="false">'Test Year 2001 Sales and Revs.'!K47</f>
        <v>461269.44</v>
      </c>
      <c r="N45" s="168" t="n">
        <f aca="false">CHOOSE(allocation_method,'RSP Surch Allocations'!E46,'RSP Surch Allocations'!J46,'RSP Surch Allocations'!N46,'RSP Surch Allocations'!Q46,'RSP Surch Allocations'!AA46,'RSP Surch Allocations'!AH46,'RSP Surch Allocations'!AS46,'RSP Surch Allocations'!BD46,'RSP Surch Allocations'!BO46,'RSP Surch Allocations'!BZ46,)</f>
        <v>1765223.89999873</v>
      </c>
      <c r="O45" s="155" t="n">
        <f aca="false">SUM(E45:N45)</f>
        <v>5330429.76460694</v>
      </c>
      <c r="P45" s="169" t="n">
        <f aca="false">ROUND(O45-D45,0)</f>
        <v>2226493</v>
      </c>
      <c r="Q45" s="177" t="n">
        <v>46126944</v>
      </c>
      <c r="R45" s="178" t="n">
        <f aca="false">D45/$Q45*100</f>
        <v>6.72911785486637</v>
      </c>
      <c r="S45" s="178" t="n">
        <f aca="false">E45/$Q45*100</f>
        <v>0.470316484508752</v>
      </c>
      <c r="T45" s="178" t="n">
        <f aca="false">F45/$Q45*100</f>
        <v>0.235763724997189</v>
      </c>
      <c r="U45" s="178" t="n">
        <f aca="false">G45/$Q45*100</f>
        <v>0.238</v>
      </c>
      <c r="V45" s="178" t="n">
        <f aca="false">H45/$Q45*100</f>
        <v>1.60568027496433</v>
      </c>
      <c r="W45" s="178" t="n">
        <f aca="false">I45/$Q45*100</f>
        <v>0.032</v>
      </c>
      <c r="X45" s="178" t="n">
        <f aca="false">J45/$Q45*100</f>
        <v>4.14735737039609</v>
      </c>
      <c r="Y45" s="178" t="n">
        <f aca="false">K45/$Q45*100</f>
        <v>0</v>
      </c>
      <c r="Z45" s="178" t="n">
        <f aca="false">L45/$Q45*100</f>
        <v>0</v>
      </c>
      <c r="AA45" s="150" t="n">
        <f aca="false">M45/$Q45*100</f>
        <v>1</v>
      </c>
      <c r="AB45" s="178" t="n">
        <f aca="false">N45/$Q45*100</f>
        <v>3.82688239654187</v>
      </c>
      <c r="AC45" s="178" t="n">
        <f aca="false">O45/$Q45*100</f>
        <v>11.5560002514082</v>
      </c>
      <c r="AD45" s="178"/>
      <c r="AE45" s="157"/>
      <c r="AF45" s="141" t="n">
        <f aca="false">(AC45-AG45)/AG45</f>
        <v>0.495125377617629</v>
      </c>
      <c r="AG45" s="152" t="n">
        <f aca="false">AA45+R45</f>
        <v>7.72911785486637</v>
      </c>
      <c r="AH45" s="152"/>
      <c r="AI45" s="151"/>
      <c r="AJ45" s="151"/>
      <c r="AK45" s="151"/>
      <c r="AL45" s="151"/>
      <c r="AM45" s="151"/>
      <c r="AN45" s="179"/>
      <c r="AO45" s="179"/>
      <c r="AP45" s="179"/>
      <c r="AQ45" s="180"/>
      <c r="AR45" s="179"/>
      <c r="AS45" s="181"/>
      <c r="AT45" s="181"/>
      <c r="AU45" s="179"/>
      <c r="AV45" s="181"/>
      <c r="AW45" s="179"/>
      <c r="AX45" s="181"/>
      <c r="AY45" s="179"/>
      <c r="AZ45" s="181"/>
      <c r="BA45" s="179"/>
      <c r="BB45" s="181"/>
      <c r="BC45" s="179"/>
      <c r="BD45" s="181"/>
      <c r="BE45" s="179"/>
      <c r="BF45" s="182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5"/>
      <c r="IP45" s="105"/>
      <c r="IQ45" s="105"/>
      <c r="IR45" s="105"/>
      <c r="IS45" s="105"/>
      <c r="IT45" s="105"/>
      <c r="IU45" s="105"/>
      <c r="IV45" s="105"/>
      <c r="IW45" s="105"/>
    </row>
    <row r="46" customFormat="false" ht="12.75" hidden="false" customHeight="false" outlineLevel="0" collapsed="false">
      <c r="A46" s="84"/>
      <c r="B46" s="97" t="s">
        <v>315</v>
      </c>
      <c r="C46" s="84"/>
      <c r="D46" s="155" t="n">
        <v>3103936.42460821</v>
      </c>
      <c r="E46" s="156" t="n">
        <f aca="false">E45</f>
        <v>216942.621432121</v>
      </c>
      <c r="F46" s="155" t="n">
        <v>108750.601401767</v>
      </c>
      <c r="G46" s="155" t="n">
        <f aca="false">G45</f>
        <v>109782.12672</v>
      </c>
      <c r="H46" s="155" t="n">
        <f aca="false">H45</f>
        <v>740651.241251843</v>
      </c>
      <c r="I46" s="155" t="n">
        <f aca="false">I45</f>
        <v>14760.62208</v>
      </c>
      <c r="J46" s="155" t="n">
        <f aca="false">D46-SUM(E46:I46)</f>
        <v>1913049.21172248</v>
      </c>
      <c r="K46" s="155"/>
      <c r="L46" s="155"/>
      <c r="M46" s="155" t="n">
        <f aca="false">M45</f>
        <v>461269.44</v>
      </c>
      <c r="N46" s="155" t="n">
        <f aca="false">N45</f>
        <v>1765223.89999873</v>
      </c>
      <c r="O46" s="155" t="n">
        <f aca="false">O45</f>
        <v>5330429.76460694</v>
      </c>
      <c r="P46" s="169" t="n">
        <f aca="false">ROUND(O46-D46,0)</f>
        <v>2226493</v>
      </c>
      <c r="Q46" s="159" t="n">
        <f aca="false">Q45</f>
        <v>46126944</v>
      </c>
      <c r="R46" s="152" t="n">
        <f aca="false">D46/$Q46*100</f>
        <v>6.72911785486637</v>
      </c>
      <c r="S46" s="152" t="n">
        <f aca="false">E46/$Q46*100</f>
        <v>0.470316484508752</v>
      </c>
      <c r="T46" s="152" t="n">
        <f aca="false">F46/$Q46*100</f>
        <v>0.235763724997189</v>
      </c>
      <c r="U46" s="152" t="n">
        <f aca="false">G46/$Q46*100</f>
        <v>0.238</v>
      </c>
      <c r="V46" s="152" t="n">
        <f aca="false">H46/$Q46*100</f>
        <v>1.60568027496433</v>
      </c>
      <c r="W46" s="152" t="n">
        <f aca="false">I46/$Q46*100</f>
        <v>0.032</v>
      </c>
      <c r="X46" s="152" t="n">
        <f aca="false">J46/$Q46*100</f>
        <v>4.14735737039609</v>
      </c>
      <c r="Y46" s="152" t="n">
        <f aca="false">K46/$Q46*100</f>
        <v>0</v>
      </c>
      <c r="Z46" s="152" t="n">
        <f aca="false">L46/$Q46*100</f>
        <v>0</v>
      </c>
      <c r="AA46" s="154" t="n">
        <f aca="false">M46/$Q46*100</f>
        <v>1</v>
      </c>
      <c r="AB46" s="152" t="n">
        <f aca="false">N46/$Q46*100</f>
        <v>3.82688239654187</v>
      </c>
      <c r="AC46" s="152" t="n">
        <f aca="false">O46/$Q46*100</f>
        <v>11.5560002514082</v>
      </c>
      <c r="AD46" s="152"/>
      <c r="AE46" s="157"/>
      <c r="AF46" s="141" t="n">
        <f aca="false">(AC46-AG46)/AG46</f>
        <v>0.495125377617629</v>
      </c>
      <c r="AG46" s="152" t="n">
        <f aca="false">AA46+R46</f>
        <v>7.72911785486637</v>
      </c>
      <c r="AH46" s="152"/>
      <c r="AI46" s="141"/>
      <c r="AJ46" s="141"/>
      <c r="AK46" s="141"/>
      <c r="AL46" s="141"/>
      <c r="AM46" s="141"/>
      <c r="AN46" s="162"/>
      <c r="AO46" s="162"/>
      <c r="AP46" s="162"/>
      <c r="AQ46" s="158"/>
      <c r="AR46" s="162"/>
      <c r="AS46" s="163"/>
      <c r="AT46" s="163"/>
      <c r="AU46" s="162"/>
      <c r="AV46" s="163"/>
      <c r="AW46" s="162"/>
      <c r="AX46" s="163"/>
      <c r="AY46" s="162"/>
      <c r="AZ46" s="163"/>
      <c r="BA46" s="162"/>
      <c r="BB46" s="163"/>
      <c r="BC46" s="162"/>
      <c r="BD46" s="163"/>
      <c r="BE46" s="162"/>
      <c r="BF46" s="164"/>
      <c r="BG46" s="171"/>
      <c r="BH46" s="171"/>
      <c r="BI46" s="171"/>
      <c r="BJ46" s="171"/>
      <c r="BK46" s="171"/>
      <c r="BL46" s="171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  <c r="CO46" s="171"/>
      <c r="CP46" s="171"/>
      <c r="CQ46" s="171"/>
      <c r="CR46" s="171"/>
      <c r="CS46" s="171"/>
      <c r="CT46" s="171"/>
      <c r="CU46" s="171"/>
      <c r="CV46" s="171"/>
      <c r="CW46" s="171"/>
      <c r="CX46" s="171"/>
      <c r="CY46" s="171"/>
      <c r="CZ46" s="171"/>
      <c r="DA46" s="171"/>
      <c r="DB46" s="171"/>
      <c r="DC46" s="171"/>
      <c r="DD46" s="171"/>
      <c r="DE46" s="171"/>
      <c r="DF46" s="171"/>
      <c r="DG46" s="171"/>
      <c r="DH46" s="171"/>
      <c r="DI46" s="171"/>
      <c r="DJ46" s="171"/>
      <c r="DK46" s="171"/>
      <c r="DL46" s="171"/>
      <c r="DM46" s="171"/>
      <c r="DN46" s="171"/>
      <c r="DO46" s="171"/>
      <c r="DP46" s="171"/>
      <c r="DQ46" s="171"/>
      <c r="DR46" s="171"/>
      <c r="DS46" s="171"/>
      <c r="DT46" s="171"/>
      <c r="DU46" s="171"/>
      <c r="DV46" s="171"/>
      <c r="DW46" s="171"/>
      <c r="DX46" s="171"/>
      <c r="DY46" s="171"/>
      <c r="DZ46" s="171"/>
      <c r="EA46" s="171"/>
      <c r="EB46" s="171"/>
      <c r="EC46" s="171"/>
      <c r="ED46" s="171"/>
      <c r="EE46" s="171"/>
      <c r="EF46" s="171"/>
      <c r="EG46" s="171"/>
      <c r="EH46" s="171"/>
      <c r="EI46" s="171"/>
      <c r="EJ46" s="171"/>
      <c r="EK46" s="171"/>
      <c r="EL46" s="171"/>
      <c r="EM46" s="171"/>
      <c r="EN46" s="171"/>
      <c r="EO46" s="171"/>
      <c r="EP46" s="171"/>
      <c r="EQ46" s="171"/>
      <c r="ER46" s="171"/>
      <c r="ES46" s="171"/>
      <c r="ET46" s="171"/>
      <c r="EU46" s="171"/>
      <c r="EV46" s="171"/>
      <c r="EW46" s="171"/>
      <c r="EX46" s="171"/>
      <c r="EY46" s="171"/>
      <c r="EZ46" s="171"/>
      <c r="FA46" s="171"/>
      <c r="FB46" s="171"/>
      <c r="FC46" s="171"/>
      <c r="FD46" s="171"/>
      <c r="FE46" s="171"/>
      <c r="FF46" s="171"/>
      <c r="FG46" s="171"/>
      <c r="FH46" s="171"/>
      <c r="FI46" s="171"/>
      <c r="FJ46" s="171"/>
      <c r="FK46" s="171"/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171"/>
      <c r="GK46" s="171"/>
      <c r="GL46" s="171"/>
      <c r="GM46" s="171"/>
      <c r="GN46" s="171"/>
      <c r="GO46" s="171"/>
      <c r="GP46" s="171"/>
      <c r="GQ46" s="171"/>
      <c r="GR46" s="171"/>
      <c r="GS46" s="171"/>
      <c r="GT46" s="171"/>
      <c r="GU46" s="171"/>
      <c r="GV46" s="171"/>
      <c r="GW46" s="171"/>
      <c r="GX46" s="171"/>
      <c r="GY46" s="171"/>
      <c r="GZ46" s="171"/>
      <c r="HA46" s="171"/>
      <c r="HB46" s="171"/>
      <c r="HC46" s="171"/>
      <c r="HD46" s="171"/>
      <c r="HE46" s="171"/>
      <c r="HF46" s="171"/>
      <c r="HG46" s="171"/>
      <c r="HH46" s="171"/>
      <c r="HI46" s="171"/>
      <c r="HJ46" s="171"/>
      <c r="HK46" s="171"/>
      <c r="HL46" s="171"/>
      <c r="HM46" s="171"/>
      <c r="HN46" s="171"/>
      <c r="HO46" s="171"/>
      <c r="HP46" s="171"/>
      <c r="HQ46" s="171"/>
      <c r="HR46" s="171"/>
      <c r="HS46" s="171"/>
      <c r="HT46" s="171"/>
      <c r="HU46" s="171"/>
      <c r="HV46" s="171"/>
      <c r="HW46" s="171"/>
      <c r="HX46" s="171"/>
      <c r="HY46" s="171"/>
      <c r="HZ46" s="171"/>
      <c r="IA46" s="171"/>
      <c r="IB46" s="171"/>
      <c r="IC46" s="171"/>
      <c r="ID46" s="171"/>
      <c r="IE46" s="171"/>
      <c r="IF46" s="171"/>
      <c r="IG46" s="171"/>
      <c r="IH46" s="171"/>
      <c r="II46" s="171"/>
      <c r="IJ46" s="171"/>
      <c r="IK46" s="171"/>
      <c r="IL46" s="171"/>
      <c r="IM46" s="171"/>
      <c r="IN46" s="171"/>
      <c r="IO46" s="171"/>
      <c r="IP46" s="171"/>
      <c r="IQ46" s="171"/>
      <c r="IR46" s="171"/>
      <c r="IS46" s="171"/>
      <c r="IT46" s="171"/>
      <c r="IU46" s="171"/>
      <c r="IV46" s="171"/>
      <c r="IW46" s="171"/>
    </row>
    <row r="47" customFormat="false" ht="10.5" hidden="false" customHeight="true" outlineLevel="0" collapsed="false">
      <c r="A47" s="84"/>
      <c r="B47" s="94"/>
      <c r="C47" s="79"/>
      <c r="D47" s="167"/>
      <c r="E47" s="156"/>
      <c r="F47" s="167"/>
      <c r="G47" s="167"/>
      <c r="H47" s="167"/>
      <c r="I47" s="167"/>
      <c r="J47" s="155"/>
      <c r="K47" s="155"/>
      <c r="L47" s="155"/>
      <c r="M47" s="155"/>
      <c r="N47" s="155"/>
      <c r="O47" s="155"/>
      <c r="P47" s="169"/>
      <c r="Q47" s="159"/>
      <c r="R47" s="152"/>
      <c r="S47" s="152"/>
      <c r="T47" s="152"/>
      <c r="U47" s="152"/>
      <c r="V47" s="152"/>
      <c r="W47" s="152"/>
      <c r="X47" s="152"/>
      <c r="Y47" s="152"/>
      <c r="Z47" s="152"/>
      <c r="AA47" s="154"/>
      <c r="AB47" s="152"/>
      <c r="AC47" s="152"/>
      <c r="AD47" s="152"/>
      <c r="AE47" s="157"/>
      <c r="AF47" s="141"/>
      <c r="AG47" s="152" t="n">
        <f aca="false">AA47+R47</f>
        <v>0</v>
      </c>
      <c r="AH47" s="152"/>
      <c r="AI47" s="141"/>
      <c r="AJ47" s="141"/>
      <c r="AK47" s="141"/>
      <c r="AL47" s="141"/>
      <c r="AM47" s="141"/>
      <c r="AN47" s="158"/>
      <c r="AO47" s="158"/>
      <c r="AP47" s="162"/>
      <c r="AQ47" s="158"/>
      <c r="AR47" s="162"/>
      <c r="AS47" s="163"/>
      <c r="AT47" s="163"/>
      <c r="AU47" s="162"/>
      <c r="AV47" s="163"/>
      <c r="AW47" s="162"/>
      <c r="AX47" s="163"/>
      <c r="AY47" s="162"/>
      <c r="AZ47" s="163"/>
      <c r="BA47" s="162"/>
      <c r="BB47" s="163"/>
      <c r="BC47" s="162"/>
      <c r="BD47" s="163"/>
      <c r="BE47" s="158"/>
      <c r="BF47" s="164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5"/>
      <c r="IP47" s="105"/>
      <c r="IQ47" s="105"/>
      <c r="IR47" s="105"/>
      <c r="IS47" s="105"/>
      <c r="IT47" s="105"/>
      <c r="IU47" s="105"/>
      <c r="IV47" s="105"/>
      <c r="IW47" s="105"/>
    </row>
    <row r="48" customFormat="false" ht="12.75" hidden="false" customHeight="false" outlineLevel="0" collapsed="false">
      <c r="A48" s="84"/>
      <c r="B48" s="97" t="s">
        <v>316</v>
      </c>
      <c r="C48" s="98" t="s">
        <v>236</v>
      </c>
      <c r="D48" s="155" t="n">
        <f aca="false">+D31</f>
        <v>916124.194199268</v>
      </c>
      <c r="E48" s="155" t="n">
        <f aca="false">+E31</f>
        <v>51021.202952993</v>
      </c>
      <c r="F48" s="155" t="n">
        <f aca="false">+F31</f>
        <v>28285.6425686764</v>
      </c>
      <c r="G48" s="155" t="n">
        <f aca="false">+G31</f>
        <v>26686.7445492366</v>
      </c>
      <c r="H48" s="155" t="n">
        <f aca="false">+H31</f>
        <v>74549.0712295122</v>
      </c>
      <c r="I48" s="155" t="n">
        <f aca="false">+I31</f>
        <v>3688.4118620896</v>
      </c>
      <c r="J48" s="155" t="n">
        <f aca="false">+J31</f>
        <v>731893.121036761</v>
      </c>
      <c r="K48" s="155" t="n">
        <f aca="false">+K31</f>
        <v>0</v>
      </c>
      <c r="L48" s="155" t="n">
        <f aca="false">+L31</f>
        <v>0</v>
      </c>
      <c r="M48" s="155" t="n">
        <f aca="false">+M31</f>
        <v>108482.701826165</v>
      </c>
      <c r="N48" s="155" t="n">
        <f aca="false">+N31</f>
        <v>415150.541947851</v>
      </c>
      <c r="O48" s="155" t="n">
        <f aca="false">+O31</f>
        <v>1439757.43797328</v>
      </c>
      <c r="P48" s="169" t="n">
        <f aca="false">ROUND(O47-D47,0)</f>
        <v>0</v>
      </c>
      <c r="Q48" s="159" t="n">
        <f aca="false">Q31</f>
        <v>10848270.1826165</v>
      </c>
      <c r="R48" s="152" t="n">
        <f aca="false">D48/$Q48*100</f>
        <v>8.44488733021498</v>
      </c>
      <c r="S48" s="152" t="n">
        <f aca="false">E48/$Q48*100</f>
        <v>0.470316484509673</v>
      </c>
      <c r="T48" s="152" t="n">
        <f aca="false">F48/$Q48*100</f>
        <v>0.260738736153548</v>
      </c>
      <c r="U48" s="152" t="n">
        <f aca="false">G48/$Q48*100</f>
        <v>0.245999999078194</v>
      </c>
      <c r="V48" s="152" t="n">
        <f aca="false">H48/$Q48*100</f>
        <v>0.687197774157315</v>
      </c>
      <c r="W48" s="152" t="n">
        <f aca="false">I48/$Q48*100</f>
        <v>0.034</v>
      </c>
      <c r="X48" s="152" t="n">
        <f aca="false">J48/$Q48*100</f>
        <v>6.74663433631625</v>
      </c>
      <c r="Y48" s="152" t="n">
        <f aca="false">K48/$Q48*100</f>
        <v>0</v>
      </c>
      <c r="Z48" s="152" t="n">
        <f aca="false">L48/$Q48*100</f>
        <v>0</v>
      </c>
      <c r="AA48" s="154" t="n">
        <f aca="false">M48/$Q48*100</f>
        <v>1</v>
      </c>
      <c r="AB48" s="152" t="n">
        <f aca="false">N48/$Q48*100</f>
        <v>3.82688239654187</v>
      </c>
      <c r="AC48" s="152" t="n">
        <f aca="false">O48/$Q48*100</f>
        <v>13.2717697267568</v>
      </c>
      <c r="AD48" s="152"/>
      <c r="AE48" s="157"/>
      <c r="AF48" s="141" t="n">
        <f aca="false">(AC48-AG48)/AG48</f>
        <v>0.405180312135578</v>
      </c>
      <c r="AG48" s="152" t="n">
        <f aca="false">AA48+R48</f>
        <v>9.44488733021498</v>
      </c>
      <c r="AH48" s="152"/>
      <c r="AI48" s="141"/>
      <c r="AJ48" s="141"/>
      <c r="AK48" s="141"/>
      <c r="AL48" s="141"/>
      <c r="AM48" s="141"/>
      <c r="AN48" s="162"/>
      <c r="AO48" s="162"/>
      <c r="AP48" s="162"/>
      <c r="AQ48" s="158"/>
      <c r="AR48" s="162"/>
      <c r="AS48" s="163"/>
      <c r="AT48" s="163"/>
      <c r="AU48" s="162"/>
      <c r="AV48" s="163"/>
      <c r="AW48" s="162"/>
      <c r="AX48" s="163"/>
      <c r="AY48" s="162"/>
      <c r="AZ48" s="163"/>
      <c r="BA48" s="162"/>
      <c r="BB48" s="163"/>
      <c r="BC48" s="162"/>
      <c r="BD48" s="163"/>
      <c r="BE48" s="162"/>
      <c r="BF48" s="164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  <c r="CO48" s="171"/>
      <c r="CP48" s="171"/>
      <c r="CQ48" s="171"/>
      <c r="CR48" s="171"/>
      <c r="CS48" s="171"/>
      <c r="CT48" s="171"/>
      <c r="CU48" s="171"/>
      <c r="CV48" s="171"/>
      <c r="CW48" s="171"/>
      <c r="CX48" s="171"/>
      <c r="CY48" s="171"/>
      <c r="CZ48" s="171"/>
      <c r="DA48" s="171"/>
      <c r="DB48" s="171"/>
      <c r="DC48" s="171"/>
      <c r="DD48" s="171"/>
      <c r="DE48" s="171"/>
      <c r="DF48" s="171"/>
      <c r="DG48" s="171"/>
      <c r="DH48" s="171"/>
      <c r="DI48" s="171"/>
      <c r="DJ48" s="171"/>
      <c r="DK48" s="171"/>
      <c r="DL48" s="171"/>
      <c r="DM48" s="171"/>
      <c r="DN48" s="171"/>
      <c r="DO48" s="171"/>
      <c r="DP48" s="171"/>
      <c r="DQ48" s="171"/>
      <c r="DR48" s="171"/>
      <c r="DS48" s="171"/>
      <c r="DT48" s="171"/>
      <c r="DU48" s="171"/>
      <c r="DV48" s="171"/>
      <c r="DW48" s="171"/>
      <c r="DX48" s="171"/>
      <c r="DY48" s="171"/>
      <c r="DZ48" s="171"/>
      <c r="EA48" s="171"/>
      <c r="EB48" s="171"/>
      <c r="EC48" s="171"/>
      <c r="ED48" s="171"/>
      <c r="EE48" s="171"/>
      <c r="EF48" s="171"/>
      <c r="EG48" s="171"/>
      <c r="EH48" s="171"/>
      <c r="EI48" s="171"/>
      <c r="EJ48" s="171"/>
      <c r="EK48" s="171"/>
      <c r="EL48" s="171"/>
      <c r="EM48" s="171"/>
      <c r="EN48" s="171"/>
      <c r="EO48" s="171"/>
      <c r="EP48" s="171"/>
      <c r="EQ48" s="171"/>
      <c r="ER48" s="171"/>
      <c r="ES48" s="171"/>
      <c r="ET48" s="171"/>
      <c r="EU48" s="171"/>
      <c r="EV48" s="171"/>
      <c r="EW48" s="171"/>
      <c r="EX48" s="171"/>
      <c r="EY48" s="171"/>
      <c r="EZ48" s="171"/>
      <c r="FA48" s="171"/>
      <c r="FB48" s="171"/>
      <c r="FC48" s="171"/>
      <c r="FD48" s="171"/>
      <c r="FE48" s="171"/>
      <c r="FF48" s="171"/>
      <c r="FG48" s="171"/>
      <c r="FH48" s="171"/>
      <c r="FI48" s="171"/>
      <c r="FJ48" s="171"/>
      <c r="FK48" s="171"/>
      <c r="FL48" s="171"/>
      <c r="FM48" s="171"/>
      <c r="FN48" s="171"/>
      <c r="FO48" s="171"/>
      <c r="FP48" s="171"/>
      <c r="FQ48" s="171"/>
      <c r="FR48" s="171"/>
      <c r="FS48" s="171"/>
      <c r="FT48" s="171"/>
      <c r="FU48" s="171"/>
      <c r="FV48" s="171"/>
      <c r="FW48" s="171"/>
      <c r="FX48" s="171"/>
      <c r="FY48" s="171"/>
      <c r="FZ48" s="171"/>
      <c r="GA48" s="171"/>
      <c r="GB48" s="171"/>
      <c r="GC48" s="171"/>
      <c r="GD48" s="171"/>
      <c r="GE48" s="171"/>
      <c r="GF48" s="171"/>
      <c r="GG48" s="171"/>
      <c r="GH48" s="171"/>
      <c r="GI48" s="171"/>
      <c r="GJ48" s="171"/>
      <c r="GK48" s="171"/>
      <c r="GL48" s="171"/>
      <c r="GM48" s="171"/>
      <c r="GN48" s="171"/>
      <c r="GO48" s="171"/>
      <c r="GP48" s="171"/>
      <c r="GQ48" s="171"/>
      <c r="GR48" s="171"/>
      <c r="GS48" s="171"/>
      <c r="GT48" s="171"/>
      <c r="GU48" s="171"/>
      <c r="GV48" s="171"/>
      <c r="GW48" s="171"/>
      <c r="GX48" s="171"/>
      <c r="GY48" s="171"/>
      <c r="GZ48" s="171"/>
      <c r="HA48" s="171"/>
      <c r="HB48" s="171"/>
      <c r="HC48" s="171"/>
      <c r="HD48" s="171"/>
      <c r="HE48" s="171"/>
      <c r="HF48" s="171"/>
      <c r="HG48" s="171"/>
      <c r="HH48" s="171"/>
      <c r="HI48" s="171"/>
      <c r="HJ48" s="171"/>
      <c r="HK48" s="171"/>
      <c r="HL48" s="171"/>
      <c r="HM48" s="171"/>
      <c r="HN48" s="171"/>
      <c r="HO48" s="171"/>
      <c r="HP48" s="171"/>
      <c r="HQ48" s="171"/>
      <c r="HR48" s="171"/>
      <c r="HS48" s="171"/>
      <c r="HT48" s="171"/>
      <c r="HU48" s="171"/>
      <c r="HV48" s="171"/>
      <c r="HW48" s="171"/>
      <c r="HX48" s="171"/>
      <c r="HY48" s="171"/>
      <c r="HZ48" s="171"/>
      <c r="IA48" s="171"/>
      <c r="IB48" s="171"/>
      <c r="IC48" s="171"/>
      <c r="ID48" s="171"/>
      <c r="IE48" s="171"/>
      <c r="IF48" s="171"/>
      <c r="IG48" s="171"/>
      <c r="IH48" s="171"/>
      <c r="II48" s="171"/>
      <c r="IJ48" s="171"/>
      <c r="IK48" s="171"/>
      <c r="IL48" s="171"/>
      <c r="IM48" s="171"/>
      <c r="IN48" s="171"/>
      <c r="IO48" s="171"/>
      <c r="IP48" s="171"/>
      <c r="IQ48" s="171"/>
      <c r="IR48" s="171"/>
      <c r="IS48" s="171"/>
      <c r="IT48" s="171"/>
      <c r="IU48" s="171"/>
      <c r="IV48" s="171"/>
      <c r="IW48" s="171"/>
    </row>
    <row r="49" customFormat="false" ht="12.75" hidden="false" customHeight="false" outlineLevel="0" collapsed="false">
      <c r="A49" s="84"/>
      <c r="B49" s="97" t="s">
        <v>316</v>
      </c>
      <c r="C49" s="98" t="s">
        <v>234</v>
      </c>
      <c r="D49" s="155" t="n">
        <f aca="false">+D36</f>
        <v>60554692.1408793</v>
      </c>
      <c r="E49" s="155" t="n">
        <f aca="false">+E36</f>
        <v>3687061.62201313</v>
      </c>
      <c r="F49" s="155" t="n">
        <f aca="false">+F36</f>
        <v>1675671.47489953</v>
      </c>
      <c r="G49" s="155" t="n">
        <f aca="false">+G36</f>
        <v>1837969.33071463</v>
      </c>
      <c r="H49" s="155" t="n">
        <f aca="false">+H36</f>
        <v>9425073.1604521</v>
      </c>
      <c r="I49" s="155" t="n">
        <f aca="false">+I36</f>
        <v>250665.057446714</v>
      </c>
      <c r="J49" s="155" t="n">
        <f aca="false">+J36</f>
        <v>43677346.3308219</v>
      </c>
      <c r="K49" s="155" t="n">
        <f aca="false">+K36</f>
        <v>905.164531307569</v>
      </c>
      <c r="L49" s="155" t="n">
        <f aca="false">+L36</f>
        <v>0</v>
      </c>
      <c r="M49" s="155" t="n">
        <f aca="false">+M36</f>
        <v>7839533.04520951</v>
      </c>
      <c r="N49" s="155" t="n">
        <f aca="false">+N36</f>
        <v>30000971.0078206</v>
      </c>
      <c r="O49" s="155" t="n">
        <f aca="false">+O36</f>
        <v>98395196.1939094</v>
      </c>
      <c r="P49" s="169" t="n">
        <f aca="false">ROUND(O47-D47,0)</f>
        <v>0</v>
      </c>
      <c r="Q49" s="159" t="n">
        <f aca="false">Q36</f>
        <v>783953304.519962</v>
      </c>
      <c r="R49" s="152" t="n">
        <f aca="false">D49/$Q49*100</f>
        <v>7.72427283509683</v>
      </c>
      <c r="S49" s="152" t="n">
        <f aca="false">E49/$Q49*100</f>
        <v>0.470316484509345</v>
      </c>
      <c r="T49" s="152" t="n">
        <f aca="false">F49/$Q49*100</f>
        <v>0.21374633734411</v>
      </c>
      <c r="U49" s="152" t="n">
        <f aca="false">G49/$Q49*100</f>
        <v>0.234448827515317</v>
      </c>
      <c r="V49" s="152" t="n">
        <f aca="false">H49/$Q49*100</f>
        <v>1.2022493056807</v>
      </c>
      <c r="W49" s="152" t="n">
        <f aca="false">I49/$Q49*100</f>
        <v>0.0319744882764675</v>
      </c>
      <c r="X49" s="152" t="n">
        <f aca="false">J49/$Q49*100</f>
        <v>5.57142193023434</v>
      </c>
      <c r="Y49" s="152" t="n">
        <f aca="false">K49/$Q49*100</f>
        <v>0.00011546153655948</v>
      </c>
      <c r="Z49" s="152" t="n">
        <f aca="false">L49/$Q49*100</f>
        <v>0</v>
      </c>
      <c r="AA49" s="154" t="n">
        <f aca="false">M49/$Q49*100</f>
        <v>1.00000000000126</v>
      </c>
      <c r="AB49" s="152" t="n">
        <f aca="false">N49/$Q49*100</f>
        <v>3.8268823965467</v>
      </c>
      <c r="AC49" s="152" t="n">
        <f aca="false">O49/$Q49*100</f>
        <v>12.5511552316448</v>
      </c>
      <c r="AD49" s="152"/>
      <c r="AE49" s="157"/>
      <c r="AF49" s="141" t="n">
        <f aca="false">(AC49-AG49)/AG49</f>
        <v>0.438647721005584</v>
      </c>
      <c r="AG49" s="152" t="n">
        <f aca="false">AA49+R49</f>
        <v>8.7242728350981</v>
      </c>
      <c r="AH49" s="152"/>
      <c r="AI49" s="141"/>
      <c r="AJ49" s="141"/>
      <c r="AK49" s="141"/>
      <c r="AL49" s="141"/>
      <c r="AM49" s="141"/>
      <c r="AN49" s="162"/>
      <c r="AO49" s="162"/>
      <c r="AP49" s="162"/>
      <c r="AQ49" s="158"/>
      <c r="AR49" s="162"/>
      <c r="AS49" s="163"/>
      <c r="AT49" s="163"/>
      <c r="AU49" s="162"/>
      <c r="AV49" s="163"/>
      <c r="AW49" s="162"/>
      <c r="AX49" s="163"/>
      <c r="AY49" s="162"/>
      <c r="AZ49" s="163"/>
      <c r="BA49" s="162"/>
      <c r="BB49" s="163"/>
      <c r="BC49" s="162"/>
      <c r="BD49" s="163"/>
      <c r="BE49" s="162"/>
      <c r="BF49" s="164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  <c r="CO49" s="171"/>
      <c r="CP49" s="171"/>
      <c r="CQ49" s="171"/>
      <c r="CR49" s="171"/>
      <c r="CS49" s="171"/>
      <c r="CT49" s="171"/>
      <c r="CU49" s="171"/>
      <c r="CV49" s="171"/>
      <c r="CW49" s="171"/>
      <c r="CX49" s="171"/>
      <c r="CY49" s="171"/>
      <c r="CZ49" s="171"/>
      <c r="DA49" s="171"/>
      <c r="DB49" s="171"/>
      <c r="DC49" s="171"/>
      <c r="DD49" s="171"/>
      <c r="DE49" s="171"/>
      <c r="DF49" s="171"/>
      <c r="DG49" s="171"/>
      <c r="DH49" s="171"/>
      <c r="DI49" s="171"/>
      <c r="DJ49" s="171"/>
      <c r="DK49" s="171"/>
      <c r="DL49" s="171"/>
      <c r="DM49" s="171"/>
      <c r="DN49" s="171"/>
      <c r="DO49" s="171"/>
      <c r="DP49" s="171"/>
      <c r="DQ49" s="171"/>
      <c r="DR49" s="171"/>
      <c r="DS49" s="171"/>
      <c r="DT49" s="171"/>
      <c r="DU49" s="171"/>
      <c r="DV49" s="171"/>
      <c r="DW49" s="171"/>
      <c r="DX49" s="171"/>
      <c r="DY49" s="171"/>
      <c r="DZ49" s="171"/>
      <c r="EA49" s="171"/>
      <c r="EB49" s="171"/>
      <c r="EC49" s="171"/>
      <c r="ED49" s="171"/>
      <c r="EE49" s="171"/>
      <c r="EF49" s="171"/>
      <c r="EG49" s="171"/>
      <c r="EH49" s="171"/>
      <c r="EI49" s="171"/>
      <c r="EJ49" s="171"/>
      <c r="EK49" s="171"/>
      <c r="EL49" s="171"/>
      <c r="EM49" s="171"/>
      <c r="EN49" s="171"/>
      <c r="EO49" s="171"/>
      <c r="EP49" s="171"/>
      <c r="EQ49" s="171"/>
      <c r="ER49" s="171"/>
      <c r="ES49" s="171"/>
      <c r="ET49" s="171"/>
      <c r="EU49" s="171"/>
      <c r="EV49" s="171"/>
      <c r="EW49" s="171"/>
      <c r="EX49" s="171"/>
      <c r="EY49" s="171"/>
      <c r="EZ49" s="171"/>
      <c r="FA49" s="171"/>
      <c r="FB49" s="171"/>
      <c r="FC49" s="171"/>
      <c r="FD49" s="171"/>
      <c r="FE49" s="171"/>
      <c r="FF49" s="171"/>
      <c r="FG49" s="171"/>
      <c r="FH49" s="171"/>
      <c r="FI49" s="171"/>
      <c r="FJ49" s="171"/>
      <c r="FK49" s="171"/>
      <c r="FL49" s="171"/>
      <c r="FM49" s="171"/>
      <c r="FN49" s="171"/>
      <c r="FO49" s="171"/>
      <c r="FP49" s="171"/>
      <c r="FQ49" s="171"/>
      <c r="FR49" s="171"/>
      <c r="FS49" s="171"/>
      <c r="FT49" s="171"/>
      <c r="FU49" s="171"/>
      <c r="FV49" s="171"/>
      <c r="FW49" s="171"/>
      <c r="FX49" s="171"/>
      <c r="FY49" s="171"/>
      <c r="FZ49" s="171"/>
      <c r="GA49" s="171"/>
      <c r="GB49" s="171"/>
      <c r="GC49" s="171"/>
      <c r="GD49" s="171"/>
      <c r="GE49" s="171"/>
      <c r="GF49" s="171"/>
      <c r="GG49" s="171"/>
      <c r="GH49" s="171"/>
      <c r="GI49" s="171"/>
      <c r="GJ49" s="171"/>
      <c r="GK49" s="171"/>
      <c r="GL49" s="171"/>
      <c r="GM49" s="171"/>
      <c r="GN49" s="171"/>
      <c r="GO49" s="171"/>
      <c r="GP49" s="171"/>
      <c r="GQ49" s="171"/>
      <c r="GR49" s="171"/>
      <c r="GS49" s="171"/>
      <c r="GT49" s="171"/>
      <c r="GU49" s="171"/>
      <c r="GV49" s="171"/>
      <c r="GW49" s="171"/>
      <c r="GX49" s="171"/>
      <c r="GY49" s="171"/>
      <c r="GZ49" s="171"/>
      <c r="HA49" s="171"/>
      <c r="HB49" s="171"/>
      <c r="HC49" s="171"/>
      <c r="HD49" s="171"/>
      <c r="HE49" s="171"/>
      <c r="HF49" s="171"/>
      <c r="HG49" s="171"/>
      <c r="HH49" s="171"/>
      <c r="HI49" s="171"/>
      <c r="HJ49" s="171"/>
      <c r="HK49" s="171"/>
      <c r="HL49" s="171"/>
      <c r="HM49" s="171"/>
      <c r="HN49" s="171"/>
      <c r="HO49" s="171"/>
      <c r="HP49" s="171"/>
      <c r="HQ49" s="171"/>
      <c r="HR49" s="171"/>
      <c r="HS49" s="171"/>
      <c r="HT49" s="171"/>
      <c r="HU49" s="171"/>
      <c r="HV49" s="171"/>
      <c r="HW49" s="171"/>
      <c r="HX49" s="171"/>
      <c r="HY49" s="171"/>
      <c r="HZ49" s="171"/>
      <c r="IA49" s="171"/>
      <c r="IB49" s="171"/>
      <c r="IC49" s="171"/>
      <c r="ID49" s="171"/>
      <c r="IE49" s="171"/>
      <c r="IF49" s="171"/>
      <c r="IG49" s="171"/>
      <c r="IH49" s="171"/>
      <c r="II49" s="171"/>
      <c r="IJ49" s="171"/>
      <c r="IK49" s="171"/>
      <c r="IL49" s="171"/>
      <c r="IM49" s="171"/>
      <c r="IN49" s="171"/>
      <c r="IO49" s="171"/>
      <c r="IP49" s="171"/>
      <c r="IQ49" s="171"/>
      <c r="IR49" s="171"/>
      <c r="IS49" s="171"/>
      <c r="IT49" s="171"/>
      <c r="IU49" s="171"/>
      <c r="IV49" s="171"/>
      <c r="IW49" s="171"/>
    </row>
    <row r="50" customFormat="false" ht="12.75" hidden="false" customHeight="false" outlineLevel="0" collapsed="false">
      <c r="A50" s="84"/>
      <c r="B50" s="97" t="s">
        <v>316</v>
      </c>
      <c r="C50" s="98" t="s">
        <v>231</v>
      </c>
      <c r="D50" s="175" t="n">
        <f aca="false">D41+D45</f>
        <v>898912586.657731</v>
      </c>
      <c r="E50" s="175" t="n">
        <f aca="false">E41+E45</f>
        <v>48069056.5239289</v>
      </c>
      <c r="F50" s="175" t="n">
        <f aca="false">F41+F45</f>
        <v>20328698.4003105</v>
      </c>
      <c r="G50" s="175" t="n">
        <f aca="false">G41+G45</f>
        <v>27173818.1903392</v>
      </c>
      <c r="H50" s="175" t="n">
        <f aca="false">H41+H45</f>
        <v>188147178.222274</v>
      </c>
      <c r="I50" s="175" t="n">
        <f aca="false">I41+I45</f>
        <v>3779306.99183291</v>
      </c>
      <c r="J50" s="175" t="n">
        <f aca="false">J41+J45</f>
        <v>610200980.912921</v>
      </c>
      <c r="K50" s="175" t="n">
        <f aca="false">K41+K45</f>
        <v>1213547.41612431</v>
      </c>
      <c r="L50" s="175" t="n">
        <f aca="false">L41+L45</f>
        <v>0</v>
      </c>
      <c r="M50" s="175" t="n">
        <f aca="false">M41+M45</f>
        <v>102205765.919809</v>
      </c>
      <c r="N50" s="175" t="n">
        <f aca="false">N41+N45</f>
        <v>391129446.423596</v>
      </c>
      <c r="O50" s="175" t="n">
        <f aca="false">O41+O45</f>
        <v>1392247799.00114</v>
      </c>
      <c r="P50" s="169" t="n">
        <f aca="false">ROUND(O50-D50,0)</f>
        <v>493335212</v>
      </c>
      <c r="Q50" s="185" t="n">
        <f aca="false">Q41+Q45</f>
        <v>10220576591.9809</v>
      </c>
      <c r="R50" s="178" t="n">
        <f aca="false">D50/$Q50*100</f>
        <v>8.79512597521183</v>
      </c>
      <c r="S50" s="178" t="n">
        <f aca="false">E50/$Q50*100</f>
        <v>0.470316484508752</v>
      </c>
      <c r="T50" s="178" t="n">
        <f aca="false">F50/$Q50*100</f>
        <v>0.198899721726664</v>
      </c>
      <c r="U50" s="178" t="n">
        <f aca="false">G50/$Q50*100</f>
        <v>0.265873631940294</v>
      </c>
      <c r="V50" s="178" t="n">
        <f aca="false">H50/$Q50*100</f>
        <v>1.84086657468909</v>
      </c>
      <c r="W50" s="178" t="n">
        <f aca="false">I50/$Q50*100</f>
        <v>0.0369774342750699</v>
      </c>
      <c r="X50" s="178" t="n">
        <f aca="false">J50/$Q50*100</f>
        <v>5.97031855709284</v>
      </c>
      <c r="Y50" s="178" t="n">
        <f aca="false">K50/$Q50*100</f>
        <v>0.0118735709791213</v>
      </c>
      <c r="Z50" s="178" t="n">
        <f aca="false">L50/$Q50*100</f>
        <v>0</v>
      </c>
      <c r="AA50" s="150" t="n">
        <f aca="false">M50/$Q50*100</f>
        <v>1</v>
      </c>
      <c r="AB50" s="178" t="n">
        <f aca="false">N50/$Q50*100</f>
        <v>3.82688239654187</v>
      </c>
      <c r="AC50" s="178" t="n">
        <f aca="false">O50/$Q50*100</f>
        <v>13.6220083717537</v>
      </c>
      <c r="AD50" s="178"/>
      <c r="AE50" s="157"/>
      <c r="AF50" s="151" t="n">
        <f aca="false">(AC50-AG50)/AG50</f>
        <v>0.390692514443043</v>
      </c>
      <c r="AG50" s="152" t="n">
        <f aca="false">AA50+R50</f>
        <v>9.79512597521183</v>
      </c>
      <c r="AH50" s="152"/>
      <c r="AI50" s="151"/>
      <c r="AJ50" s="151"/>
      <c r="AK50" s="151"/>
      <c r="AL50" s="151"/>
      <c r="AM50" s="151"/>
      <c r="AN50" s="179"/>
      <c r="AO50" s="179"/>
      <c r="AP50" s="179"/>
      <c r="AQ50" s="180"/>
      <c r="AR50" s="179"/>
      <c r="AS50" s="181"/>
      <c r="AT50" s="181"/>
      <c r="AU50" s="179"/>
      <c r="AV50" s="181"/>
      <c r="AW50" s="179"/>
      <c r="AX50" s="181"/>
      <c r="AY50" s="179"/>
      <c r="AZ50" s="181"/>
      <c r="BA50" s="179"/>
      <c r="BB50" s="181"/>
      <c r="BC50" s="179"/>
      <c r="BD50" s="181"/>
      <c r="BE50" s="179"/>
      <c r="BF50" s="182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  <c r="EI50" s="171"/>
      <c r="EJ50" s="171"/>
      <c r="EK50" s="171"/>
      <c r="EL50" s="171"/>
      <c r="EM50" s="171"/>
      <c r="EN50" s="171"/>
      <c r="EO50" s="171"/>
      <c r="EP50" s="171"/>
      <c r="EQ50" s="171"/>
      <c r="ER50" s="171"/>
      <c r="ES50" s="171"/>
      <c r="ET50" s="171"/>
      <c r="EU50" s="171"/>
      <c r="EV50" s="171"/>
      <c r="EW50" s="171"/>
      <c r="EX50" s="171"/>
      <c r="EY50" s="171"/>
      <c r="EZ50" s="171"/>
      <c r="FA50" s="171"/>
      <c r="FB50" s="171"/>
      <c r="FC50" s="171"/>
      <c r="FD50" s="171"/>
      <c r="FE50" s="171"/>
      <c r="FF50" s="171"/>
      <c r="FG50" s="171"/>
      <c r="FH50" s="171"/>
      <c r="FI50" s="171"/>
      <c r="FJ50" s="171"/>
      <c r="FK50" s="171"/>
      <c r="FL50" s="171"/>
      <c r="FM50" s="171"/>
      <c r="FN50" s="171"/>
      <c r="FO50" s="171"/>
      <c r="FP50" s="171"/>
      <c r="FQ50" s="171"/>
      <c r="FR50" s="171"/>
      <c r="FS50" s="171"/>
      <c r="FT50" s="171"/>
      <c r="FU50" s="171"/>
      <c r="FV50" s="171"/>
      <c r="FW50" s="171"/>
      <c r="FX50" s="171"/>
      <c r="FY50" s="171"/>
      <c r="FZ50" s="171"/>
      <c r="GA50" s="171"/>
      <c r="GB50" s="171"/>
      <c r="GC50" s="171"/>
      <c r="GD50" s="171"/>
      <c r="GE50" s="171"/>
      <c r="GF50" s="171"/>
      <c r="GG50" s="171"/>
      <c r="GH50" s="171"/>
      <c r="GI50" s="171"/>
      <c r="GJ50" s="171"/>
      <c r="GK50" s="171"/>
      <c r="GL50" s="171"/>
      <c r="GM50" s="171"/>
      <c r="GN50" s="171"/>
      <c r="GO50" s="171"/>
      <c r="GP50" s="171"/>
      <c r="GQ50" s="171"/>
      <c r="GR50" s="171"/>
      <c r="GS50" s="171"/>
      <c r="GT50" s="171"/>
      <c r="GU50" s="171"/>
      <c r="GV50" s="171"/>
      <c r="GW50" s="171"/>
      <c r="GX50" s="171"/>
      <c r="GY50" s="171"/>
      <c r="GZ50" s="171"/>
      <c r="HA50" s="171"/>
      <c r="HB50" s="171"/>
      <c r="HC50" s="171"/>
      <c r="HD50" s="171"/>
      <c r="HE50" s="171"/>
      <c r="HF50" s="171"/>
      <c r="HG50" s="171"/>
      <c r="HH50" s="171"/>
      <c r="HI50" s="171"/>
      <c r="HJ50" s="171"/>
      <c r="HK50" s="171"/>
      <c r="HL50" s="171"/>
      <c r="HM50" s="171"/>
      <c r="HN50" s="171"/>
      <c r="HO50" s="171"/>
      <c r="HP50" s="171"/>
      <c r="HQ50" s="171"/>
      <c r="HR50" s="171"/>
      <c r="HS50" s="171"/>
      <c r="HT50" s="171"/>
      <c r="HU50" s="171"/>
      <c r="HV50" s="171"/>
      <c r="HW50" s="171"/>
      <c r="HX50" s="171"/>
      <c r="HY50" s="171"/>
      <c r="HZ50" s="171"/>
      <c r="IA50" s="171"/>
      <c r="IB50" s="171"/>
      <c r="IC50" s="171"/>
      <c r="ID50" s="171"/>
      <c r="IE50" s="171"/>
      <c r="IF50" s="171"/>
      <c r="IG50" s="171"/>
      <c r="IH50" s="171"/>
      <c r="II50" s="171"/>
      <c r="IJ50" s="171"/>
      <c r="IK50" s="171"/>
      <c r="IL50" s="171"/>
      <c r="IM50" s="171"/>
      <c r="IN50" s="171"/>
      <c r="IO50" s="171"/>
      <c r="IP50" s="171"/>
      <c r="IQ50" s="171"/>
      <c r="IR50" s="171"/>
      <c r="IS50" s="171"/>
      <c r="IT50" s="171"/>
      <c r="IU50" s="171"/>
      <c r="IV50" s="171"/>
      <c r="IW50" s="171"/>
    </row>
    <row r="51" customFormat="false" ht="12.75" hidden="false" customHeight="false" outlineLevel="0" collapsed="false">
      <c r="A51" s="84"/>
      <c r="B51" s="99" t="s">
        <v>309</v>
      </c>
      <c r="C51" s="84"/>
      <c r="D51" s="155" t="n">
        <f aca="false">SUM(D47:D50)</f>
        <v>960383402.992809</v>
      </c>
      <c r="E51" s="155" t="n">
        <f aca="false">SUM(E47:E50)</f>
        <v>51807139.348895</v>
      </c>
      <c r="F51" s="155" t="n">
        <f aca="false">SUM(F47:F50)</f>
        <v>22032655.5177787</v>
      </c>
      <c r="G51" s="155" t="n">
        <f aca="false">SUM(G47:G50)</f>
        <v>29038474.265603</v>
      </c>
      <c r="H51" s="155" t="n">
        <f aca="false">SUM(H47:H50)</f>
        <v>197646800.453955</v>
      </c>
      <c r="I51" s="155" t="n">
        <f aca="false">SUM(I47:I50)</f>
        <v>4033660.46114171</v>
      </c>
      <c r="J51" s="155" t="n">
        <f aca="false">SUM(J47:J50)</f>
        <v>654610220.36478</v>
      </c>
      <c r="K51" s="155" t="n">
        <f aca="false">SUM(K47:K50)</f>
        <v>1214452.58065562</v>
      </c>
      <c r="L51" s="155" t="n">
        <f aca="false">SUM(L47:L50)</f>
        <v>0</v>
      </c>
      <c r="M51" s="155" t="n">
        <f aca="false">SUM(M47:M50)</f>
        <v>110153781.666845</v>
      </c>
      <c r="N51" s="155" t="n">
        <f aca="false">SUM(N47:N50)</f>
        <v>421545567.973364</v>
      </c>
      <c r="O51" s="155" t="n">
        <f aca="false">SUM(O47:O50)</f>
        <v>1492082752.63302</v>
      </c>
      <c r="P51" s="169" t="n">
        <f aca="false">ROUND(O51-D51,0)</f>
        <v>531699350</v>
      </c>
      <c r="Q51" s="159" t="n">
        <f aca="false">SUM(Q48:Q50)</f>
        <v>11015378166.6835</v>
      </c>
      <c r="R51" s="152" t="n">
        <f aca="false">D51/$Q51*100</f>
        <v>8.7185695167283</v>
      </c>
      <c r="S51" s="152" t="n">
        <f aca="false">E51/$Q51*100</f>
        <v>0.470316484508795</v>
      </c>
      <c r="T51" s="152" t="n">
        <f aca="false">F51/$Q51*100</f>
        <v>0.200017241209362</v>
      </c>
      <c r="U51" s="152" t="n">
        <f aca="false">G51/$Q51*100</f>
        <v>0.263617588304242</v>
      </c>
      <c r="V51" s="152" t="n">
        <f aca="false">H51/$Q51*100</f>
        <v>1.7942806634796</v>
      </c>
      <c r="W51" s="152" t="n">
        <f aca="false">I51/$Q51*100</f>
        <v>0.0366184474114716</v>
      </c>
      <c r="X51" s="152" t="n">
        <f aca="false">J51/$Q51*100</f>
        <v>5.94269402701652</v>
      </c>
      <c r="Y51" s="152" t="n">
        <f aca="false">K51/$Q51*100</f>
        <v>0.0110250647983088</v>
      </c>
      <c r="Z51" s="152" t="n">
        <f aca="false">L51/$Q51*100</f>
        <v>0</v>
      </c>
      <c r="AA51" s="154" t="n">
        <f aca="false">M51/$Q51*100</f>
        <v>1.00000000000009</v>
      </c>
      <c r="AB51" s="152" t="n">
        <f aca="false">N51/$Q51*100</f>
        <v>3.82688239654222</v>
      </c>
      <c r="AC51" s="152" t="n">
        <f aca="false">O51/$Q51*100</f>
        <v>13.5454519132706</v>
      </c>
      <c r="AD51" s="152"/>
      <c r="AE51" s="157"/>
      <c r="AF51" s="141" t="n">
        <f aca="false">(AC51-AG51)/AG51</f>
        <v>0.393770131494668</v>
      </c>
      <c r="AG51" s="152" t="n">
        <f aca="false">AA51+R51</f>
        <v>9.71856951672839</v>
      </c>
      <c r="AH51" s="152"/>
      <c r="AI51" s="141"/>
      <c r="AJ51" s="141"/>
      <c r="AK51" s="141"/>
      <c r="AL51" s="141"/>
      <c r="AM51" s="141"/>
      <c r="AN51" s="162"/>
      <c r="AO51" s="162"/>
      <c r="AP51" s="162"/>
      <c r="AQ51" s="158"/>
      <c r="AR51" s="162"/>
      <c r="AS51" s="163"/>
      <c r="AT51" s="163"/>
      <c r="AU51" s="162"/>
      <c r="AV51" s="163"/>
      <c r="AW51" s="162"/>
      <c r="AX51" s="163"/>
      <c r="AY51" s="162"/>
      <c r="AZ51" s="163"/>
      <c r="BA51" s="162"/>
      <c r="BB51" s="163"/>
      <c r="BC51" s="162"/>
      <c r="BD51" s="163"/>
      <c r="BE51" s="162"/>
      <c r="BF51" s="164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1"/>
      <c r="CV51" s="171"/>
      <c r="CW51" s="171"/>
      <c r="CX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171"/>
      <c r="DN51" s="171"/>
      <c r="DO51" s="171"/>
      <c r="DP51" s="171"/>
      <c r="DQ51" s="171"/>
      <c r="DR51" s="171"/>
      <c r="DS51" s="171"/>
      <c r="DT51" s="171"/>
      <c r="DU51" s="171"/>
      <c r="DV51" s="171"/>
      <c r="DW51" s="171"/>
      <c r="DX51" s="171"/>
      <c r="DY51" s="171"/>
      <c r="DZ51" s="171"/>
      <c r="EA51" s="171"/>
      <c r="EB51" s="171"/>
      <c r="EC51" s="171"/>
      <c r="ED51" s="171"/>
      <c r="EE51" s="171"/>
      <c r="EF51" s="171"/>
      <c r="EG51" s="171"/>
      <c r="EH51" s="171"/>
      <c r="EI51" s="171"/>
      <c r="EJ51" s="171"/>
      <c r="EK51" s="171"/>
      <c r="EL51" s="171"/>
      <c r="EM51" s="171"/>
      <c r="EN51" s="171"/>
      <c r="EO51" s="171"/>
      <c r="EP51" s="171"/>
      <c r="EQ51" s="171"/>
      <c r="ER51" s="171"/>
      <c r="ES51" s="171"/>
      <c r="ET51" s="171"/>
      <c r="EU51" s="171"/>
      <c r="EV51" s="171"/>
      <c r="EW51" s="171"/>
      <c r="EX51" s="171"/>
      <c r="EY51" s="171"/>
      <c r="EZ51" s="171"/>
      <c r="FA51" s="171"/>
      <c r="FB51" s="171"/>
      <c r="FC51" s="171"/>
      <c r="FD51" s="171"/>
      <c r="FE51" s="171"/>
      <c r="FF51" s="171"/>
      <c r="FG51" s="171"/>
      <c r="FH51" s="171"/>
      <c r="FI51" s="171"/>
      <c r="FJ51" s="171"/>
      <c r="FK51" s="171"/>
      <c r="FL51" s="171"/>
      <c r="FM51" s="171"/>
      <c r="FN51" s="171"/>
      <c r="FO51" s="171"/>
      <c r="FP51" s="171"/>
      <c r="FQ51" s="171"/>
      <c r="FR51" s="171"/>
      <c r="FS51" s="171"/>
      <c r="FT51" s="171"/>
      <c r="FU51" s="171"/>
      <c r="FV51" s="171"/>
      <c r="FW51" s="171"/>
      <c r="FX51" s="171"/>
      <c r="FY51" s="171"/>
      <c r="FZ51" s="171"/>
      <c r="GA51" s="171"/>
      <c r="GB51" s="171"/>
      <c r="GC51" s="171"/>
      <c r="GD51" s="171"/>
      <c r="GE51" s="171"/>
      <c r="GF51" s="171"/>
      <c r="GG51" s="171"/>
      <c r="GH51" s="171"/>
      <c r="GI51" s="171"/>
      <c r="GJ51" s="171"/>
      <c r="GK51" s="171"/>
      <c r="GL51" s="171"/>
      <c r="GM51" s="171"/>
      <c r="GN51" s="171"/>
      <c r="GO51" s="171"/>
      <c r="GP51" s="171"/>
      <c r="GQ51" s="171"/>
      <c r="GR51" s="171"/>
      <c r="GS51" s="171"/>
      <c r="GT51" s="171"/>
      <c r="GU51" s="171"/>
      <c r="GV51" s="171"/>
      <c r="GW51" s="171"/>
      <c r="GX51" s="171"/>
      <c r="GY51" s="171"/>
      <c r="GZ51" s="171"/>
      <c r="HA51" s="171"/>
      <c r="HB51" s="171"/>
      <c r="HC51" s="171"/>
      <c r="HD51" s="171"/>
      <c r="HE51" s="171"/>
      <c r="HF51" s="171"/>
      <c r="HG51" s="171"/>
      <c r="HH51" s="171"/>
      <c r="HI51" s="171"/>
      <c r="HJ51" s="171"/>
      <c r="HK51" s="171"/>
      <c r="HL51" s="171"/>
      <c r="HM51" s="171"/>
      <c r="HN51" s="171"/>
      <c r="HO51" s="171"/>
      <c r="HP51" s="171"/>
      <c r="HQ51" s="171"/>
      <c r="HR51" s="171"/>
      <c r="HS51" s="171"/>
      <c r="HT51" s="171"/>
      <c r="HU51" s="171"/>
      <c r="HV51" s="171"/>
      <c r="HW51" s="171"/>
      <c r="HX51" s="171"/>
      <c r="HY51" s="171"/>
      <c r="HZ51" s="171"/>
      <c r="IA51" s="171"/>
      <c r="IB51" s="171"/>
      <c r="IC51" s="171"/>
      <c r="ID51" s="171"/>
      <c r="IE51" s="171"/>
      <c r="IF51" s="171"/>
      <c r="IG51" s="171"/>
      <c r="IH51" s="171"/>
      <c r="II51" s="171"/>
      <c r="IJ51" s="171"/>
      <c r="IK51" s="171"/>
      <c r="IL51" s="171"/>
      <c r="IM51" s="171"/>
      <c r="IN51" s="171"/>
      <c r="IO51" s="171"/>
      <c r="IP51" s="171"/>
      <c r="IQ51" s="171"/>
      <c r="IR51" s="171"/>
      <c r="IS51" s="171"/>
      <c r="IT51" s="171"/>
      <c r="IU51" s="171"/>
      <c r="IV51" s="171"/>
      <c r="IW51" s="171"/>
    </row>
    <row r="52" customFormat="false" ht="12.75" hidden="false" customHeight="false" outlineLevel="0" collapsed="false">
      <c r="A52" s="84"/>
      <c r="B52" s="94"/>
      <c r="C52" s="82"/>
      <c r="D52" s="167"/>
      <c r="E52" s="156"/>
      <c r="F52" s="167"/>
      <c r="G52" s="167"/>
      <c r="H52" s="167"/>
      <c r="I52" s="167"/>
      <c r="J52" s="155"/>
      <c r="K52" s="155"/>
      <c r="L52" s="155"/>
      <c r="M52" s="155"/>
      <c r="N52" s="155"/>
      <c r="O52" s="155"/>
      <c r="P52" s="169"/>
      <c r="Q52" s="159"/>
      <c r="R52" s="152"/>
      <c r="S52" s="152"/>
      <c r="T52" s="152"/>
      <c r="U52" s="152"/>
      <c r="V52" s="152"/>
      <c r="W52" s="152"/>
      <c r="X52" s="152"/>
      <c r="Y52" s="152"/>
      <c r="Z52" s="152"/>
      <c r="AA52" s="154"/>
      <c r="AB52" s="152"/>
      <c r="AC52" s="152"/>
      <c r="AD52" s="152"/>
      <c r="AE52" s="157"/>
      <c r="AF52" s="141"/>
      <c r="AG52" s="152" t="n">
        <f aca="false">AA52+R52</f>
        <v>0</v>
      </c>
      <c r="AH52" s="152"/>
      <c r="AI52" s="141"/>
      <c r="AJ52" s="141"/>
      <c r="AK52" s="141"/>
      <c r="AL52" s="141"/>
      <c r="AM52" s="141"/>
      <c r="AN52" s="158"/>
      <c r="AO52" s="158"/>
      <c r="AP52" s="162"/>
      <c r="AQ52" s="158"/>
      <c r="AR52" s="162"/>
      <c r="AS52" s="163"/>
      <c r="AT52" s="163"/>
      <c r="AU52" s="162"/>
      <c r="AV52" s="163"/>
      <c r="AW52" s="162"/>
      <c r="AX52" s="163"/>
      <c r="AY52" s="162"/>
      <c r="AZ52" s="163"/>
      <c r="BA52" s="162"/>
      <c r="BB52" s="163"/>
      <c r="BC52" s="162"/>
      <c r="BD52" s="163"/>
      <c r="BE52" s="158"/>
      <c r="BF52" s="164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  <c r="EO52" s="105"/>
      <c r="EP52" s="105"/>
      <c r="EQ52" s="105"/>
      <c r="ER52" s="105"/>
      <c r="ES52" s="105"/>
      <c r="ET52" s="105"/>
      <c r="EU52" s="105"/>
      <c r="EV52" s="105"/>
      <c r="EW52" s="105"/>
      <c r="EX52" s="105"/>
      <c r="EY52" s="105"/>
      <c r="EZ52" s="105"/>
      <c r="FA52" s="105"/>
      <c r="FB52" s="105"/>
      <c r="FC52" s="105"/>
      <c r="FD52" s="105"/>
      <c r="FE52" s="105"/>
      <c r="FF52" s="105"/>
      <c r="FG52" s="105"/>
      <c r="FH52" s="105"/>
      <c r="FI52" s="105"/>
      <c r="FJ52" s="105"/>
      <c r="FK52" s="105"/>
      <c r="FL52" s="105"/>
      <c r="FM52" s="105"/>
      <c r="FN52" s="105"/>
      <c r="FO52" s="105"/>
      <c r="FP52" s="105"/>
      <c r="FQ52" s="105"/>
      <c r="FR52" s="105"/>
      <c r="FS52" s="105"/>
      <c r="FT52" s="105"/>
      <c r="FU52" s="105"/>
      <c r="FV52" s="105"/>
      <c r="FW52" s="105"/>
      <c r="FX52" s="105"/>
      <c r="FY52" s="105"/>
      <c r="FZ52" s="105"/>
      <c r="GA52" s="105"/>
      <c r="GB52" s="105"/>
      <c r="GC52" s="105"/>
      <c r="GD52" s="105"/>
      <c r="GE52" s="105"/>
      <c r="GF52" s="105"/>
      <c r="GG52" s="105"/>
      <c r="GH52" s="105"/>
      <c r="GI52" s="105"/>
      <c r="GJ52" s="105"/>
      <c r="GK52" s="105"/>
      <c r="GL52" s="105"/>
      <c r="GM52" s="105"/>
      <c r="GN52" s="105"/>
      <c r="GO52" s="105"/>
      <c r="GP52" s="105"/>
      <c r="GQ52" s="105"/>
      <c r="GR52" s="105"/>
      <c r="GS52" s="105"/>
      <c r="GT52" s="105"/>
      <c r="GU52" s="105"/>
      <c r="GV52" s="105"/>
      <c r="GW52" s="105"/>
      <c r="GX52" s="105"/>
      <c r="GY52" s="105"/>
      <c r="GZ52" s="105"/>
      <c r="HA52" s="105"/>
      <c r="HB52" s="105"/>
      <c r="HC52" s="105"/>
      <c r="HD52" s="105"/>
      <c r="HE52" s="105"/>
      <c r="HF52" s="105"/>
      <c r="HG52" s="105"/>
      <c r="HH52" s="105"/>
      <c r="HI52" s="105"/>
      <c r="HJ52" s="105"/>
      <c r="HK52" s="105"/>
      <c r="HL52" s="105"/>
      <c r="HM52" s="105"/>
      <c r="HN52" s="105"/>
      <c r="HO52" s="105"/>
      <c r="HP52" s="105"/>
      <c r="HQ52" s="105"/>
      <c r="HR52" s="105"/>
      <c r="HS52" s="105"/>
      <c r="HT52" s="105"/>
      <c r="HU52" s="105"/>
      <c r="HV52" s="105"/>
      <c r="HW52" s="105"/>
      <c r="HX52" s="105"/>
      <c r="HY52" s="105"/>
      <c r="HZ52" s="105"/>
      <c r="IA52" s="105"/>
      <c r="IB52" s="105"/>
      <c r="IC52" s="105"/>
      <c r="ID52" s="105"/>
      <c r="IE52" s="105"/>
      <c r="IF52" s="105"/>
      <c r="IG52" s="105"/>
      <c r="IH52" s="105"/>
      <c r="II52" s="105"/>
      <c r="IJ52" s="105"/>
      <c r="IK52" s="105"/>
      <c r="IL52" s="105"/>
      <c r="IM52" s="105"/>
      <c r="IN52" s="105"/>
      <c r="IO52" s="105"/>
      <c r="IP52" s="105"/>
      <c r="IQ52" s="105"/>
      <c r="IR52" s="105"/>
      <c r="IS52" s="105"/>
      <c r="IT52" s="105"/>
      <c r="IU52" s="105"/>
      <c r="IV52" s="105"/>
      <c r="IW52" s="105"/>
    </row>
    <row r="53" customFormat="false" ht="12.75" hidden="false" customHeight="false" outlineLevel="0" collapsed="false">
      <c r="A53" s="84"/>
      <c r="B53" s="85" t="s">
        <v>317</v>
      </c>
      <c r="C53" s="82" t="s">
        <v>231</v>
      </c>
      <c r="D53" s="167" t="n">
        <v>42969466.2021123</v>
      </c>
      <c r="E53" s="166" t="n">
        <v>322460.099376101</v>
      </c>
      <c r="F53" s="167" t="n">
        <v>456679.411280616</v>
      </c>
      <c r="G53" s="167" t="n">
        <v>1130522.56658404</v>
      </c>
      <c r="H53" s="167" t="n">
        <v>26507564.2564733</v>
      </c>
      <c r="I53" s="167" t="n">
        <v>182671.764512247</v>
      </c>
      <c r="J53" s="155" t="n">
        <f aca="false">D53-SUM(E53:I53,K53)</f>
        <v>14369568.103886</v>
      </c>
      <c r="K53" s="168"/>
      <c r="L53" s="168" t="n">
        <f aca="false">IF(allocation_method&gt;=6,CHOOSE(gen_choice,'Generation Calculations'!H56-'Generation Calculations'!I56+'Generation Calculations'!J56,'Generation Calculations'!G56+'Generation Calculations'!H56-'Generation Calculations'!I56+'Generation Calculations'!J56),0)</f>
        <v>0</v>
      </c>
      <c r="M53" s="168" t="n">
        <f aca="false">'Test Year 2001 Sales and Revs.'!K56</f>
        <v>3512918.54831243</v>
      </c>
      <c r="N53" s="168" t="n">
        <f aca="false">CHOOSE(allocation_method,'RSP Surch Allocations'!E54,'RSP Surch Allocations'!J54,'RSP Surch Allocations'!N54,'RSP Surch Allocations'!Q54,'RSP Surch Allocations'!AA54,'RSP Surch Allocations'!AH54,'RSP Surch Allocations'!AS54,'RSP Surch Allocations'!BD54,'RSP Surch Allocations'!BO54,'RSP Surch Allocations'!BZ54,)</f>
        <v>13443526.1530223</v>
      </c>
      <c r="O53" s="155" t="n">
        <f aca="false">SUM(E53:N53)</f>
        <v>59925910.903447</v>
      </c>
      <c r="P53" s="169" t="n">
        <f aca="false">ROUND(O53-D53,0)</f>
        <v>16956445</v>
      </c>
      <c r="Q53" s="170" t="n">
        <v>351291854.831243</v>
      </c>
      <c r="R53" s="152" t="n">
        <f aca="false">D53/$Q53*100</f>
        <v>12.2318424441564</v>
      </c>
      <c r="S53" s="152" t="n">
        <f aca="false">E53/$Q53*100</f>
        <v>0.0917926490299662</v>
      </c>
      <c r="T53" s="152" t="n">
        <f aca="false">F53/$Q53*100</f>
        <v>0.13</v>
      </c>
      <c r="U53" s="152" t="n">
        <f aca="false">G53/$Q53*100</f>
        <v>0.321818610661249</v>
      </c>
      <c r="V53" s="152" t="n">
        <f aca="false">H53/$Q53*100</f>
        <v>7.54573836310758</v>
      </c>
      <c r="W53" s="152" t="n">
        <f aca="false">I53/$Q53*100</f>
        <v>0.052</v>
      </c>
      <c r="X53" s="152" t="n">
        <f aca="false">J53/$Q53*100</f>
        <v>4.09049282135761</v>
      </c>
      <c r="Y53" s="152" t="n">
        <f aca="false">K53/$Q53*100</f>
        <v>0</v>
      </c>
      <c r="Z53" s="152" t="n">
        <f aca="false">L53/$Q53*100</f>
        <v>0</v>
      </c>
      <c r="AA53" s="154" t="n">
        <f aca="false">M53/$Q53*100</f>
        <v>1</v>
      </c>
      <c r="AB53" s="152" t="n">
        <f aca="false">N53/$Q53*100</f>
        <v>3.82688239654187</v>
      </c>
      <c r="AC53" s="152" t="n">
        <f aca="false">O53/$Q53*100</f>
        <v>17.0587248406983</v>
      </c>
      <c r="AD53" s="152"/>
      <c r="AE53" s="157"/>
      <c r="AF53" s="141" t="n">
        <f aca="false">(AC53-AG53)/AG53</f>
        <v>0.28921765148677</v>
      </c>
      <c r="AG53" s="152" t="n">
        <f aca="false">AA53+R53</f>
        <v>13.2318424441564</v>
      </c>
      <c r="AH53" s="152"/>
      <c r="AI53" s="141"/>
      <c r="AJ53" s="141"/>
      <c r="AK53" s="141"/>
      <c r="AL53" s="141"/>
      <c r="AM53" s="141"/>
      <c r="AN53" s="162"/>
      <c r="AO53" s="162"/>
      <c r="AP53" s="162"/>
      <c r="AQ53" s="158"/>
      <c r="AR53" s="162"/>
      <c r="AS53" s="163"/>
      <c r="AT53" s="163"/>
      <c r="AU53" s="162"/>
      <c r="AV53" s="163"/>
      <c r="AW53" s="162"/>
      <c r="AX53" s="163"/>
      <c r="AY53" s="162"/>
      <c r="AZ53" s="163"/>
      <c r="BA53" s="162"/>
      <c r="BB53" s="163"/>
      <c r="BC53" s="162"/>
      <c r="BD53" s="163"/>
      <c r="BE53" s="162"/>
      <c r="BF53" s="164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  <c r="EO53" s="105"/>
      <c r="EP53" s="105"/>
      <c r="EQ53" s="105"/>
      <c r="ER53" s="105"/>
      <c r="ES53" s="105"/>
      <c r="ET53" s="105"/>
      <c r="EU53" s="105"/>
      <c r="EV53" s="105"/>
      <c r="EW53" s="105"/>
      <c r="EX53" s="105"/>
      <c r="EY53" s="105"/>
      <c r="EZ53" s="105"/>
      <c r="FA53" s="105"/>
      <c r="FB53" s="105"/>
      <c r="FC53" s="105"/>
      <c r="FD53" s="105"/>
      <c r="FE53" s="105"/>
      <c r="FF53" s="105"/>
      <c r="FG53" s="105"/>
      <c r="FH53" s="105"/>
      <c r="FI53" s="105"/>
      <c r="FJ53" s="105"/>
      <c r="FK53" s="105"/>
      <c r="FL53" s="105"/>
      <c r="FM53" s="105"/>
      <c r="FN53" s="105"/>
      <c r="FO53" s="105"/>
      <c r="FP53" s="105"/>
      <c r="FQ53" s="105"/>
      <c r="FR53" s="105"/>
      <c r="FS53" s="105"/>
      <c r="FT53" s="105"/>
      <c r="FU53" s="105"/>
      <c r="FV53" s="105"/>
      <c r="FW53" s="105"/>
      <c r="FX53" s="105"/>
      <c r="FY53" s="105"/>
      <c r="FZ53" s="105"/>
      <c r="GA53" s="105"/>
      <c r="GB53" s="105"/>
      <c r="GC53" s="105"/>
      <c r="GD53" s="105"/>
      <c r="GE53" s="105"/>
      <c r="GF53" s="105"/>
      <c r="GG53" s="105"/>
      <c r="GH53" s="105"/>
      <c r="GI53" s="105"/>
      <c r="GJ53" s="105"/>
      <c r="GK53" s="105"/>
      <c r="GL53" s="105"/>
      <c r="GM53" s="105"/>
      <c r="GN53" s="105"/>
      <c r="GO53" s="105"/>
      <c r="GP53" s="105"/>
      <c r="GQ53" s="105"/>
      <c r="GR53" s="105"/>
      <c r="GS53" s="105"/>
      <c r="GT53" s="105"/>
      <c r="GU53" s="105"/>
      <c r="GV53" s="105"/>
      <c r="GW53" s="105"/>
      <c r="GX53" s="105"/>
      <c r="GY53" s="105"/>
      <c r="GZ53" s="105"/>
      <c r="HA53" s="105"/>
      <c r="HB53" s="105"/>
      <c r="HC53" s="105"/>
      <c r="HD53" s="105"/>
      <c r="HE53" s="105"/>
      <c r="HF53" s="105"/>
      <c r="HG53" s="105"/>
      <c r="HH53" s="105"/>
      <c r="HI53" s="105"/>
      <c r="HJ53" s="105"/>
      <c r="HK53" s="105"/>
      <c r="HL53" s="105"/>
      <c r="HM53" s="105"/>
      <c r="HN53" s="105"/>
      <c r="HO53" s="105"/>
      <c r="HP53" s="105"/>
      <c r="HQ53" s="105"/>
      <c r="HR53" s="105"/>
      <c r="HS53" s="105"/>
      <c r="HT53" s="105"/>
      <c r="HU53" s="105"/>
      <c r="HV53" s="105"/>
      <c r="HW53" s="105"/>
      <c r="HX53" s="105"/>
      <c r="HY53" s="105"/>
      <c r="HZ53" s="105"/>
      <c r="IA53" s="105"/>
      <c r="IB53" s="105"/>
      <c r="IC53" s="105"/>
      <c r="ID53" s="105"/>
      <c r="IE53" s="105"/>
      <c r="IF53" s="105"/>
      <c r="IG53" s="105"/>
      <c r="IH53" s="105"/>
      <c r="II53" s="105"/>
      <c r="IJ53" s="105"/>
      <c r="IK53" s="105"/>
      <c r="IL53" s="105"/>
      <c r="IM53" s="105"/>
      <c r="IN53" s="105"/>
      <c r="IO53" s="105"/>
      <c r="IP53" s="105"/>
      <c r="IQ53" s="105"/>
      <c r="IR53" s="105"/>
      <c r="IS53" s="105"/>
      <c r="IT53" s="105"/>
      <c r="IU53" s="105"/>
      <c r="IV53" s="105"/>
      <c r="IW53" s="105"/>
    </row>
    <row r="54" customFormat="false" ht="9" hidden="false" customHeight="true" outlineLevel="0" collapsed="false">
      <c r="A54" s="84"/>
      <c r="B54" s="94"/>
      <c r="C54" s="82"/>
      <c r="D54" s="167"/>
      <c r="E54" s="166"/>
      <c r="F54" s="167"/>
      <c r="G54" s="167"/>
      <c r="H54" s="167"/>
      <c r="I54" s="167"/>
      <c r="J54" s="155"/>
      <c r="K54" s="155"/>
      <c r="L54" s="155"/>
      <c r="M54" s="155"/>
      <c r="N54" s="155"/>
      <c r="O54" s="155"/>
      <c r="P54" s="169"/>
      <c r="Q54" s="159"/>
      <c r="R54" s="152"/>
      <c r="S54" s="152"/>
      <c r="T54" s="152"/>
      <c r="U54" s="152"/>
      <c r="V54" s="152"/>
      <c r="W54" s="152"/>
      <c r="X54" s="152"/>
      <c r="Y54" s="152"/>
      <c r="Z54" s="152"/>
      <c r="AA54" s="154"/>
      <c r="AB54" s="152"/>
      <c r="AC54" s="152"/>
      <c r="AD54" s="152"/>
      <c r="AE54" s="157"/>
      <c r="AF54" s="141"/>
      <c r="AG54" s="152" t="n">
        <f aca="false">AA54+R54</f>
        <v>0</v>
      </c>
      <c r="AH54" s="152"/>
      <c r="AI54" s="141"/>
      <c r="AJ54" s="141"/>
      <c r="AK54" s="141"/>
      <c r="AL54" s="141"/>
      <c r="AM54" s="141"/>
      <c r="AN54" s="158"/>
      <c r="AO54" s="158"/>
      <c r="AP54" s="162"/>
      <c r="AQ54" s="158"/>
      <c r="AR54" s="162"/>
      <c r="AS54" s="163"/>
      <c r="AT54" s="163"/>
      <c r="AU54" s="162"/>
      <c r="AV54" s="163"/>
      <c r="AW54" s="162"/>
      <c r="AX54" s="163"/>
      <c r="AY54" s="162"/>
      <c r="AZ54" s="163"/>
      <c r="BA54" s="162"/>
      <c r="BB54" s="163"/>
      <c r="BC54" s="162"/>
      <c r="BD54" s="163"/>
      <c r="BE54" s="158"/>
      <c r="BF54" s="164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  <c r="FW54" s="105"/>
      <c r="FX54" s="105"/>
      <c r="FY54" s="105"/>
      <c r="FZ54" s="105"/>
      <c r="GA54" s="105"/>
      <c r="GB54" s="105"/>
      <c r="GC54" s="105"/>
      <c r="GD54" s="105"/>
      <c r="GE54" s="105"/>
      <c r="GF54" s="105"/>
      <c r="GG54" s="105"/>
      <c r="GH54" s="105"/>
      <c r="GI54" s="105"/>
      <c r="GJ54" s="105"/>
      <c r="GK54" s="105"/>
      <c r="GL54" s="105"/>
      <c r="GM54" s="105"/>
      <c r="GN54" s="105"/>
      <c r="GO54" s="105"/>
      <c r="GP54" s="105"/>
      <c r="GQ54" s="105"/>
      <c r="GR54" s="105"/>
      <c r="GS54" s="105"/>
      <c r="GT54" s="105"/>
      <c r="GU54" s="105"/>
      <c r="GV54" s="105"/>
      <c r="GW54" s="105"/>
      <c r="GX54" s="105"/>
      <c r="GY54" s="105"/>
      <c r="GZ54" s="105"/>
      <c r="HA54" s="105"/>
      <c r="HB54" s="105"/>
      <c r="HC54" s="105"/>
      <c r="HD54" s="105"/>
      <c r="HE54" s="105"/>
      <c r="HF54" s="105"/>
      <c r="HG54" s="105"/>
      <c r="HH54" s="105"/>
      <c r="HI54" s="105"/>
      <c r="HJ54" s="105"/>
      <c r="HK54" s="105"/>
      <c r="HL54" s="105"/>
      <c r="HM54" s="105"/>
      <c r="HN54" s="105"/>
      <c r="HO54" s="105"/>
      <c r="HP54" s="105"/>
      <c r="HQ54" s="105"/>
      <c r="HR54" s="105"/>
      <c r="HS54" s="105"/>
      <c r="HT54" s="105"/>
      <c r="HU54" s="105"/>
      <c r="HV54" s="105"/>
      <c r="HW54" s="105"/>
      <c r="HX54" s="105"/>
      <c r="HY54" s="105"/>
      <c r="HZ54" s="105"/>
      <c r="IA54" s="105"/>
      <c r="IB54" s="105"/>
      <c r="IC54" s="105"/>
      <c r="ID54" s="105"/>
      <c r="IE54" s="105"/>
      <c r="IF54" s="105"/>
      <c r="IG54" s="105"/>
      <c r="IH54" s="105"/>
      <c r="II54" s="105"/>
      <c r="IJ54" s="105"/>
      <c r="IK54" s="105"/>
      <c r="IL54" s="105"/>
      <c r="IM54" s="105"/>
      <c r="IN54" s="105"/>
      <c r="IO54" s="105"/>
      <c r="IP54" s="105"/>
      <c r="IQ54" s="105"/>
      <c r="IR54" s="105"/>
      <c r="IS54" s="105"/>
      <c r="IT54" s="105"/>
      <c r="IU54" s="105"/>
      <c r="IV54" s="105"/>
      <c r="IW54" s="105"/>
    </row>
    <row r="55" customFormat="false" ht="12.75" hidden="false" customHeight="false" outlineLevel="0" collapsed="false">
      <c r="A55" s="84"/>
      <c r="B55" s="85" t="s">
        <v>318</v>
      </c>
      <c r="C55" s="82"/>
      <c r="D55" s="167"/>
      <c r="E55" s="166"/>
      <c r="F55" s="167"/>
      <c r="G55" s="167"/>
      <c r="H55" s="167"/>
      <c r="I55" s="167"/>
      <c r="J55" s="155"/>
      <c r="K55" s="155"/>
      <c r="L55" s="155"/>
      <c r="M55" s="155"/>
      <c r="N55" s="155"/>
      <c r="O55" s="155"/>
      <c r="P55" s="169"/>
      <c r="Q55" s="159"/>
      <c r="R55" s="152"/>
      <c r="S55" s="152"/>
      <c r="T55" s="152"/>
      <c r="U55" s="152"/>
      <c r="V55" s="152"/>
      <c r="W55" s="152"/>
      <c r="X55" s="152"/>
      <c r="Y55" s="152"/>
      <c r="Z55" s="152"/>
      <c r="AA55" s="154"/>
      <c r="AB55" s="152"/>
      <c r="AC55" s="152"/>
      <c r="AD55" s="152"/>
      <c r="AE55" s="157"/>
      <c r="AF55" s="141"/>
      <c r="AG55" s="152" t="n">
        <f aca="false">AA55+R55</f>
        <v>0</v>
      </c>
      <c r="AH55" s="152"/>
      <c r="AI55" s="141"/>
      <c r="AJ55" s="141"/>
      <c r="AK55" s="141"/>
      <c r="AL55" s="141"/>
      <c r="AM55" s="141"/>
      <c r="AN55" s="158"/>
      <c r="AO55" s="158"/>
      <c r="AP55" s="162"/>
      <c r="AQ55" s="158"/>
      <c r="AR55" s="162"/>
      <c r="AS55" s="163"/>
      <c r="AT55" s="163"/>
      <c r="AU55" s="162"/>
      <c r="AV55" s="163"/>
      <c r="AW55" s="162"/>
      <c r="AX55" s="163"/>
      <c r="AY55" s="162"/>
      <c r="AZ55" s="163"/>
      <c r="BA55" s="162"/>
      <c r="BB55" s="163"/>
      <c r="BC55" s="162"/>
      <c r="BD55" s="163"/>
      <c r="BE55" s="158"/>
      <c r="BF55" s="164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  <c r="EO55" s="105"/>
      <c r="EP55" s="105"/>
      <c r="EQ55" s="105"/>
      <c r="ER55" s="105"/>
      <c r="ES55" s="105"/>
      <c r="ET55" s="105"/>
      <c r="EU55" s="105"/>
      <c r="EV55" s="105"/>
      <c r="EW55" s="105"/>
      <c r="EX55" s="105"/>
      <c r="EY55" s="105"/>
      <c r="EZ55" s="105"/>
      <c r="FA55" s="105"/>
      <c r="FB55" s="105"/>
      <c r="FC55" s="105"/>
      <c r="FD55" s="105"/>
      <c r="FE55" s="105"/>
      <c r="FF55" s="105"/>
      <c r="FG55" s="105"/>
      <c r="FH55" s="105"/>
      <c r="FI55" s="105"/>
      <c r="FJ55" s="105"/>
      <c r="FK55" s="105"/>
      <c r="FL55" s="105"/>
      <c r="FM55" s="105"/>
      <c r="FN55" s="105"/>
      <c r="FO55" s="105"/>
      <c r="FP55" s="105"/>
      <c r="FQ55" s="105"/>
      <c r="FR55" s="105"/>
      <c r="FS55" s="105"/>
      <c r="FT55" s="105"/>
      <c r="FU55" s="105"/>
      <c r="FV55" s="105"/>
      <c r="FW55" s="105"/>
      <c r="FX55" s="105"/>
      <c r="FY55" s="105"/>
      <c r="FZ55" s="105"/>
      <c r="GA55" s="105"/>
      <c r="GB55" s="105"/>
      <c r="GC55" s="105"/>
      <c r="GD55" s="105"/>
      <c r="GE55" s="105"/>
      <c r="GF55" s="105"/>
      <c r="GG55" s="105"/>
      <c r="GH55" s="105"/>
      <c r="GI55" s="105"/>
      <c r="GJ55" s="105"/>
      <c r="GK55" s="105"/>
      <c r="GL55" s="105"/>
      <c r="GM55" s="105"/>
      <c r="GN55" s="105"/>
      <c r="GO55" s="105"/>
      <c r="GP55" s="105"/>
      <c r="GQ55" s="105"/>
      <c r="GR55" s="105"/>
      <c r="GS55" s="105"/>
      <c r="GT55" s="105"/>
      <c r="GU55" s="105"/>
      <c r="GV55" s="105"/>
      <c r="GW55" s="105"/>
      <c r="GX55" s="105"/>
      <c r="GY55" s="105"/>
      <c r="GZ55" s="105"/>
      <c r="HA55" s="105"/>
      <c r="HB55" s="105"/>
      <c r="HC55" s="105"/>
      <c r="HD55" s="105"/>
      <c r="HE55" s="105"/>
      <c r="HF55" s="105"/>
      <c r="HG55" s="105"/>
      <c r="HH55" s="105"/>
      <c r="HI55" s="105"/>
      <c r="HJ55" s="105"/>
      <c r="HK55" s="105"/>
      <c r="HL55" s="105"/>
      <c r="HM55" s="105"/>
      <c r="HN55" s="105"/>
      <c r="HO55" s="105"/>
      <c r="HP55" s="105"/>
      <c r="HQ55" s="105"/>
      <c r="HR55" s="105"/>
      <c r="HS55" s="105"/>
      <c r="HT55" s="105"/>
      <c r="HU55" s="105"/>
      <c r="HV55" s="105"/>
      <c r="HW55" s="105"/>
      <c r="HX55" s="105"/>
      <c r="HY55" s="105"/>
      <c r="HZ55" s="105"/>
      <c r="IA55" s="105"/>
      <c r="IB55" s="105"/>
      <c r="IC55" s="105"/>
      <c r="ID55" s="105"/>
      <c r="IE55" s="105"/>
      <c r="IF55" s="105"/>
      <c r="IG55" s="105"/>
      <c r="IH55" s="105"/>
      <c r="II55" s="105"/>
      <c r="IJ55" s="105"/>
      <c r="IK55" s="105"/>
      <c r="IL55" s="105"/>
      <c r="IM55" s="105"/>
      <c r="IN55" s="105"/>
      <c r="IO55" s="105"/>
      <c r="IP55" s="105"/>
      <c r="IQ55" s="105"/>
      <c r="IR55" s="105"/>
      <c r="IS55" s="105"/>
      <c r="IT55" s="105"/>
      <c r="IU55" s="105"/>
      <c r="IV55" s="105"/>
      <c r="IW55" s="105"/>
    </row>
    <row r="56" customFormat="false" ht="12.75" hidden="true" customHeight="true" outlineLevel="0" collapsed="false">
      <c r="A56" s="84"/>
      <c r="B56" s="94" t="s">
        <v>319</v>
      </c>
      <c r="C56" s="82" t="s">
        <v>236</v>
      </c>
      <c r="D56" s="167"/>
      <c r="E56" s="166"/>
      <c r="F56" s="167"/>
      <c r="G56" s="167"/>
      <c r="H56" s="167"/>
      <c r="I56" s="167"/>
      <c r="J56" s="155"/>
      <c r="K56" s="168"/>
      <c r="L56" s="168"/>
      <c r="M56" s="168"/>
      <c r="N56" s="168"/>
      <c r="O56" s="155"/>
      <c r="P56" s="169"/>
      <c r="Q56" s="170" t="n">
        <v>6200600</v>
      </c>
      <c r="R56" s="152" t="n">
        <f aca="false">D56/$Q56*100</f>
        <v>0</v>
      </c>
      <c r="S56" s="152" t="n">
        <f aca="false">E56/$Q56*100</f>
        <v>0</v>
      </c>
      <c r="T56" s="152" t="n">
        <f aca="false">F56/$Q56*100</f>
        <v>0</v>
      </c>
      <c r="U56" s="152" t="n">
        <f aca="false">G56/$Q56*100</f>
        <v>0</v>
      </c>
      <c r="V56" s="152" t="n">
        <f aca="false">H56/$Q56*100</f>
        <v>0</v>
      </c>
      <c r="W56" s="152" t="n">
        <f aca="false">I56/$Q56*100</f>
        <v>0</v>
      </c>
      <c r="X56" s="152" t="n">
        <f aca="false">J56/$Q56*100</f>
        <v>0</v>
      </c>
      <c r="Y56" s="152" t="n">
        <f aca="false">K56/$Q56*100</f>
        <v>0</v>
      </c>
      <c r="Z56" s="152" t="n">
        <f aca="false">L56/$Q56*100</f>
        <v>0</v>
      </c>
      <c r="AA56" s="154" t="n">
        <f aca="false">M56/$Q56*100</f>
        <v>0</v>
      </c>
      <c r="AB56" s="152" t="n">
        <f aca="false">N56/$Q56*100</f>
        <v>0</v>
      </c>
      <c r="AC56" s="152" t="n">
        <f aca="false">O56/$Q56*100</f>
        <v>0</v>
      </c>
      <c r="AD56" s="152"/>
      <c r="AE56" s="157"/>
      <c r="AF56" s="141"/>
      <c r="AG56" s="152" t="n">
        <f aca="false">AA56+R56</f>
        <v>0</v>
      </c>
      <c r="AH56" s="152"/>
      <c r="AI56" s="141"/>
      <c r="AJ56" s="141"/>
      <c r="AK56" s="141"/>
      <c r="AL56" s="141"/>
      <c r="AM56" s="141"/>
      <c r="AN56" s="158"/>
      <c r="AO56" s="158"/>
      <c r="AP56" s="162"/>
      <c r="AQ56" s="158"/>
      <c r="AR56" s="162"/>
      <c r="AS56" s="163"/>
      <c r="AT56" s="163"/>
      <c r="AU56" s="162"/>
      <c r="AV56" s="163"/>
      <c r="AW56" s="162"/>
      <c r="AX56" s="163"/>
      <c r="AY56" s="162"/>
      <c r="AZ56" s="163"/>
      <c r="BA56" s="162"/>
      <c r="BB56" s="163"/>
      <c r="BC56" s="162"/>
      <c r="BD56" s="163"/>
      <c r="BE56" s="158"/>
      <c r="BF56" s="164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5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5"/>
      <c r="GJ56" s="105"/>
      <c r="GK56" s="105"/>
      <c r="GL56" s="105"/>
      <c r="GM56" s="105"/>
      <c r="GN56" s="105"/>
      <c r="GO56" s="105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5"/>
      <c r="HB56" s="105"/>
      <c r="HC56" s="105"/>
      <c r="HD56" s="105"/>
      <c r="HE56" s="105"/>
      <c r="HF56" s="105"/>
      <c r="HG56" s="105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5"/>
      <c r="IF56" s="105"/>
      <c r="IG56" s="105"/>
      <c r="IH56" s="105"/>
      <c r="II56" s="105"/>
      <c r="IJ56" s="105"/>
      <c r="IK56" s="105"/>
      <c r="IL56" s="105"/>
      <c r="IM56" s="105"/>
      <c r="IN56" s="105"/>
      <c r="IO56" s="105"/>
      <c r="IP56" s="105"/>
      <c r="IQ56" s="105"/>
      <c r="IR56" s="105"/>
      <c r="IS56" s="105"/>
      <c r="IT56" s="105"/>
      <c r="IU56" s="105"/>
      <c r="IV56" s="105"/>
      <c r="IW56" s="105"/>
    </row>
    <row r="57" customFormat="false" ht="12.75" hidden="true" customHeight="true" outlineLevel="0" collapsed="false">
      <c r="A57" s="84"/>
      <c r="B57" s="94"/>
      <c r="C57" s="82" t="s">
        <v>234</v>
      </c>
      <c r="D57" s="167"/>
      <c r="E57" s="166"/>
      <c r="F57" s="167"/>
      <c r="G57" s="167"/>
      <c r="H57" s="167"/>
      <c r="I57" s="167"/>
      <c r="J57" s="155"/>
      <c r="K57" s="168"/>
      <c r="L57" s="168"/>
      <c r="M57" s="168"/>
      <c r="N57" s="168"/>
      <c r="O57" s="155"/>
      <c r="P57" s="169"/>
      <c r="Q57" s="170" t="n">
        <v>13684437</v>
      </c>
      <c r="R57" s="152" t="n">
        <f aca="false">D57/$Q57*100</f>
        <v>0</v>
      </c>
      <c r="S57" s="152" t="n">
        <f aca="false">E57/$Q57*100</f>
        <v>0</v>
      </c>
      <c r="T57" s="152" t="n">
        <f aca="false">F57/$Q57*100</f>
        <v>0</v>
      </c>
      <c r="U57" s="152" t="n">
        <f aca="false">G57/$Q57*100</f>
        <v>0</v>
      </c>
      <c r="V57" s="152" t="n">
        <f aca="false">H57/$Q57*100</f>
        <v>0</v>
      </c>
      <c r="W57" s="152" t="n">
        <f aca="false">I57/$Q57*100</f>
        <v>0</v>
      </c>
      <c r="X57" s="152" t="n">
        <f aca="false">J57/$Q57*100</f>
        <v>0</v>
      </c>
      <c r="Y57" s="152" t="n">
        <f aca="false">K57/$Q57*100</f>
        <v>0</v>
      </c>
      <c r="Z57" s="152" t="n">
        <f aca="false">L57/$Q57*100</f>
        <v>0</v>
      </c>
      <c r="AA57" s="154" t="n">
        <f aca="false">M57/$Q57*100</f>
        <v>0</v>
      </c>
      <c r="AB57" s="152" t="n">
        <f aca="false">N57/$Q57*100</f>
        <v>0</v>
      </c>
      <c r="AC57" s="152" t="n">
        <f aca="false">O57/$Q57*100</f>
        <v>0</v>
      </c>
      <c r="AD57" s="152"/>
      <c r="AE57" s="157"/>
      <c r="AF57" s="141"/>
      <c r="AG57" s="152" t="n">
        <f aca="false">AA57+R57</f>
        <v>0</v>
      </c>
      <c r="AH57" s="152"/>
      <c r="AI57" s="141"/>
      <c r="AJ57" s="141"/>
      <c r="AK57" s="141"/>
      <c r="AL57" s="141"/>
      <c r="AM57" s="141"/>
      <c r="AN57" s="158"/>
      <c r="AO57" s="158"/>
      <c r="AP57" s="162"/>
      <c r="AQ57" s="158"/>
      <c r="AR57" s="162"/>
      <c r="AS57" s="163"/>
      <c r="AT57" s="163"/>
      <c r="AU57" s="162"/>
      <c r="AV57" s="163"/>
      <c r="AW57" s="162"/>
      <c r="AX57" s="163"/>
      <c r="AY57" s="162"/>
      <c r="AZ57" s="163"/>
      <c r="BA57" s="162"/>
      <c r="BB57" s="163"/>
      <c r="BC57" s="162"/>
      <c r="BD57" s="163"/>
      <c r="BE57" s="158"/>
      <c r="BF57" s="164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5"/>
      <c r="ES57" s="105"/>
      <c r="ET57" s="105"/>
      <c r="EU57" s="105"/>
      <c r="EV57" s="105"/>
      <c r="EW57" s="105"/>
      <c r="EX57" s="105"/>
      <c r="EY57" s="105"/>
      <c r="EZ57" s="105"/>
      <c r="FA57" s="105"/>
      <c r="FB57" s="105"/>
      <c r="FC57" s="105"/>
      <c r="FD57" s="105"/>
      <c r="FE57" s="105"/>
      <c r="FF57" s="105"/>
      <c r="FG57" s="105"/>
      <c r="FH57" s="105"/>
      <c r="FI57" s="105"/>
      <c r="FJ57" s="105"/>
      <c r="FK57" s="105"/>
      <c r="FL57" s="105"/>
      <c r="FM57" s="105"/>
      <c r="FN57" s="105"/>
      <c r="FO57" s="105"/>
      <c r="FP57" s="105"/>
      <c r="FQ57" s="105"/>
      <c r="FR57" s="105"/>
      <c r="FS57" s="105"/>
      <c r="FT57" s="105"/>
      <c r="FU57" s="105"/>
      <c r="FV57" s="105"/>
      <c r="FW57" s="105"/>
      <c r="FX57" s="105"/>
      <c r="FY57" s="105"/>
      <c r="FZ57" s="105"/>
      <c r="GA57" s="105"/>
      <c r="GB57" s="105"/>
      <c r="GC57" s="105"/>
      <c r="GD57" s="105"/>
      <c r="GE57" s="105"/>
      <c r="GF57" s="105"/>
      <c r="GG57" s="105"/>
      <c r="GH57" s="105"/>
      <c r="GI57" s="105"/>
      <c r="GJ57" s="105"/>
      <c r="GK57" s="105"/>
      <c r="GL57" s="105"/>
      <c r="GM57" s="105"/>
      <c r="GN57" s="105"/>
      <c r="GO57" s="105"/>
      <c r="GP57" s="105"/>
      <c r="GQ57" s="105"/>
      <c r="GR57" s="105"/>
      <c r="GS57" s="105"/>
      <c r="GT57" s="105"/>
      <c r="GU57" s="105"/>
      <c r="GV57" s="105"/>
      <c r="GW57" s="105"/>
      <c r="GX57" s="105"/>
      <c r="GY57" s="105"/>
      <c r="GZ57" s="105"/>
      <c r="HA57" s="105"/>
      <c r="HB57" s="105"/>
      <c r="HC57" s="105"/>
      <c r="HD57" s="105"/>
      <c r="HE57" s="105"/>
      <c r="HF57" s="105"/>
      <c r="HG57" s="105"/>
      <c r="HH57" s="105"/>
      <c r="HI57" s="105"/>
      <c r="HJ57" s="105"/>
      <c r="HK57" s="105"/>
      <c r="HL57" s="105"/>
      <c r="HM57" s="105"/>
      <c r="HN57" s="105"/>
      <c r="HO57" s="105"/>
      <c r="HP57" s="105"/>
      <c r="HQ57" s="105"/>
      <c r="HR57" s="105"/>
      <c r="HS57" s="105"/>
      <c r="HT57" s="105"/>
      <c r="HU57" s="105"/>
      <c r="HV57" s="105"/>
      <c r="HW57" s="105"/>
      <c r="HX57" s="105"/>
      <c r="HY57" s="105"/>
      <c r="HZ57" s="105"/>
      <c r="IA57" s="105"/>
      <c r="IB57" s="105"/>
      <c r="IC57" s="105"/>
      <c r="ID57" s="105"/>
      <c r="IE57" s="105"/>
      <c r="IF57" s="105"/>
      <c r="IG57" s="105"/>
      <c r="IH57" s="105"/>
      <c r="II57" s="105"/>
      <c r="IJ57" s="105"/>
      <c r="IK57" s="105"/>
      <c r="IL57" s="105"/>
      <c r="IM57" s="105"/>
      <c r="IN57" s="105"/>
      <c r="IO57" s="105"/>
      <c r="IP57" s="105"/>
      <c r="IQ57" s="105"/>
      <c r="IR57" s="105"/>
      <c r="IS57" s="105"/>
      <c r="IT57" s="105"/>
      <c r="IU57" s="105"/>
      <c r="IV57" s="105"/>
      <c r="IW57" s="105"/>
    </row>
    <row r="58" customFormat="false" ht="12.75" hidden="true" customHeight="true" outlineLevel="0" collapsed="false">
      <c r="A58" s="84"/>
      <c r="B58" s="94"/>
      <c r="C58" s="82" t="s">
        <v>231</v>
      </c>
      <c r="D58" s="167"/>
      <c r="E58" s="166"/>
      <c r="F58" s="167"/>
      <c r="G58" s="167"/>
      <c r="H58" s="167"/>
      <c r="I58" s="167"/>
      <c r="J58" s="155"/>
      <c r="K58" s="176"/>
      <c r="L58" s="176"/>
      <c r="M58" s="176"/>
      <c r="N58" s="176"/>
      <c r="O58" s="155"/>
      <c r="P58" s="169"/>
      <c r="Q58" s="177" t="n">
        <v>432721</v>
      </c>
      <c r="R58" s="152" t="n">
        <f aca="false">D58/$Q58*100</f>
        <v>0</v>
      </c>
      <c r="S58" s="152" t="n">
        <f aca="false">E58/$Q58*100</f>
        <v>0</v>
      </c>
      <c r="T58" s="152" t="n">
        <f aca="false">F58/$Q58*100</f>
        <v>0</v>
      </c>
      <c r="U58" s="152" t="n">
        <f aca="false">G58/$Q58*100</f>
        <v>0</v>
      </c>
      <c r="V58" s="152" t="n">
        <f aca="false">H58/$Q58*100</f>
        <v>0</v>
      </c>
      <c r="W58" s="152" t="n">
        <f aca="false">I58/$Q58*100</f>
        <v>0</v>
      </c>
      <c r="X58" s="152" t="n">
        <f aca="false">J58/$Q58*100</f>
        <v>0</v>
      </c>
      <c r="Y58" s="152" t="n">
        <f aca="false">K58/$Q58*100</f>
        <v>0</v>
      </c>
      <c r="Z58" s="152" t="n">
        <f aca="false">L58/$Q58*100</f>
        <v>0</v>
      </c>
      <c r="AA58" s="154" t="n">
        <f aca="false">M58/$Q58*100</f>
        <v>0</v>
      </c>
      <c r="AB58" s="152" t="n">
        <f aca="false">N58/$Q58*100</f>
        <v>0</v>
      </c>
      <c r="AC58" s="152" t="n">
        <f aca="false">O58/$Q58*100</f>
        <v>0</v>
      </c>
      <c r="AD58" s="152"/>
      <c r="AE58" s="157"/>
      <c r="AF58" s="141"/>
      <c r="AG58" s="152" t="n">
        <f aca="false">AA58+R58</f>
        <v>0</v>
      </c>
      <c r="AH58" s="152"/>
      <c r="AI58" s="141"/>
      <c r="AJ58" s="141"/>
      <c r="AK58" s="141"/>
      <c r="AL58" s="141"/>
      <c r="AM58" s="141"/>
      <c r="AN58" s="158"/>
      <c r="AO58" s="158"/>
      <c r="AP58" s="162"/>
      <c r="AQ58" s="158"/>
      <c r="AR58" s="162"/>
      <c r="AS58" s="163"/>
      <c r="AT58" s="163"/>
      <c r="AU58" s="162"/>
      <c r="AV58" s="163"/>
      <c r="AW58" s="162"/>
      <c r="AX58" s="163"/>
      <c r="AY58" s="162"/>
      <c r="AZ58" s="163"/>
      <c r="BA58" s="162"/>
      <c r="BB58" s="163"/>
      <c r="BC58" s="162"/>
      <c r="BD58" s="163"/>
      <c r="BE58" s="158"/>
      <c r="BF58" s="164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  <c r="EO58" s="105"/>
      <c r="EP58" s="105"/>
      <c r="EQ58" s="105"/>
      <c r="ER58" s="105"/>
      <c r="ES58" s="105"/>
      <c r="ET58" s="105"/>
      <c r="EU58" s="105"/>
      <c r="EV58" s="105"/>
      <c r="EW58" s="105"/>
      <c r="EX58" s="105"/>
      <c r="EY58" s="105"/>
      <c r="EZ58" s="105"/>
      <c r="FA58" s="105"/>
      <c r="FB58" s="105"/>
      <c r="FC58" s="105"/>
      <c r="FD58" s="105"/>
      <c r="FE58" s="105"/>
      <c r="FF58" s="105"/>
      <c r="FG58" s="105"/>
      <c r="FH58" s="105"/>
      <c r="FI58" s="105"/>
      <c r="FJ58" s="105"/>
      <c r="FK58" s="105"/>
      <c r="FL58" s="105"/>
      <c r="FM58" s="105"/>
      <c r="FN58" s="105"/>
      <c r="FO58" s="105"/>
      <c r="FP58" s="105"/>
      <c r="FQ58" s="105"/>
      <c r="FR58" s="105"/>
      <c r="FS58" s="105"/>
      <c r="FT58" s="105"/>
      <c r="FU58" s="105"/>
      <c r="FV58" s="105"/>
      <c r="FW58" s="105"/>
      <c r="FX58" s="105"/>
      <c r="FY58" s="105"/>
      <c r="FZ58" s="105"/>
      <c r="GA58" s="105"/>
      <c r="GB58" s="105"/>
      <c r="GC58" s="105"/>
      <c r="GD58" s="105"/>
      <c r="GE58" s="105"/>
      <c r="GF58" s="105"/>
      <c r="GG58" s="105"/>
      <c r="GH58" s="105"/>
      <c r="GI58" s="105"/>
      <c r="GJ58" s="105"/>
      <c r="GK58" s="105"/>
      <c r="GL58" s="105"/>
      <c r="GM58" s="105"/>
      <c r="GN58" s="105"/>
      <c r="GO58" s="105"/>
      <c r="GP58" s="105"/>
      <c r="GQ58" s="105"/>
      <c r="GR58" s="105"/>
      <c r="GS58" s="105"/>
      <c r="GT58" s="105"/>
      <c r="GU58" s="105"/>
      <c r="GV58" s="105"/>
      <c r="GW58" s="105"/>
      <c r="GX58" s="105"/>
      <c r="GY58" s="105"/>
      <c r="GZ58" s="105"/>
      <c r="HA58" s="105"/>
      <c r="HB58" s="105"/>
      <c r="HC58" s="105"/>
      <c r="HD58" s="105"/>
      <c r="HE58" s="105"/>
      <c r="HF58" s="105"/>
      <c r="HG58" s="105"/>
      <c r="HH58" s="105"/>
      <c r="HI58" s="105"/>
      <c r="HJ58" s="105"/>
      <c r="HK58" s="105"/>
      <c r="HL58" s="105"/>
      <c r="HM58" s="105"/>
      <c r="HN58" s="105"/>
      <c r="HO58" s="105"/>
      <c r="HP58" s="105"/>
      <c r="HQ58" s="105"/>
      <c r="HR58" s="105"/>
      <c r="HS58" s="105"/>
      <c r="HT58" s="105"/>
      <c r="HU58" s="105"/>
      <c r="HV58" s="105"/>
      <c r="HW58" s="105"/>
      <c r="HX58" s="105"/>
      <c r="HY58" s="105"/>
      <c r="HZ58" s="105"/>
      <c r="IA58" s="105"/>
      <c r="IB58" s="105"/>
      <c r="IC58" s="105"/>
      <c r="ID58" s="105"/>
      <c r="IE58" s="105"/>
      <c r="IF58" s="105"/>
      <c r="IG58" s="105"/>
      <c r="IH58" s="105"/>
      <c r="II58" s="105"/>
      <c r="IJ58" s="105"/>
      <c r="IK58" s="105"/>
      <c r="IL58" s="105"/>
      <c r="IM58" s="105"/>
      <c r="IN58" s="105"/>
      <c r="IO58" s="105"/>
      <c r="IP58" s="105"/>
      <c r="IQ58" s="105"/>
      <c r="IR58" s="105"/>
      <c r="IS58" s="105"/>
      <c r="IT58" s="105"/>
      <c r="IU58" s="105"/>
      <c r="IV58" s="105"/>
      <c r="IW58" s="105"/>
    </row>
    <row r="59" customFormat="false" ht="12.75" hidden="true" customHeight="true" outlineLevel="0" collapsed="false">
      <c r="A59" s="84"/>
      <c r="B59" s="94" t="s">
        <v>320</v>
      </c>
      <c r="C59" s="82"/>
      <c r="D59" s="167"/>
      <c r="E59" s="166"/>
      <c r="F59" s="167"/>
      <c r="G59" s="167"/>
      <c r="H59" s="167"/>
      <c r="I59" s="167"/>
      <c r="J59" s="155"/>
      <c r="K59" s="155"/>
      <c r="L59" s="155"/>
      <c r="M59" s="155"/>
      <c r="N59" s="155"/>
      <c r="O59" s="155"/>
      <c r="P59" s="169"/>
      <c r="Q59" s="159" t="n">
        <v>20317758</v>
      </c>
      <c r="R59" s="152" t="n">
        <f aca="false">D59/$Q59*100</f>
        <v>0</v>
      </c>
      <c r="S59" s="152" t="n">
        <f aca="false">E59/$Q59*100</f>
        <v>0</v>
      </c>
      <c r="T59" s="152" t="n">
        <f aca="false">F59/$Q59*100</f>
        <v>0</v>
      </c>
      <c r="U59" s="152" t="n">
        <f aca="false">G59/$Q59*100</f>
        <v>0</v>
      </c>
      <c r="V59" s="152" t="n">
        <f aca="false">H59/$Q59*100</f>
        <v>0</v>
      </c>
      <c r="W59" s="152" t="n">
        <f aca="false">I59/$Q59*100</f>
        <v>0</v>
      </c>
      <c r="X59" s="152" t="n">
        <f aca="false">J59/$Q59*100</f>
        <v>0</v>
      </c>
      <c r="Y59" s="152" t="n">
        <f aca="false">K59/$Q59*100</f>
        <v>0</v>
      </c>
      <c r="Z59" s="152" t="n">
        <f aca="false">L59/$Q59*100</f>
        <v>0</v>
      </c>
      <c r="AA59" s="154" t="n">
        <f aca="false">M59/$Q59*100</f>
        <v>0</v>
      </c>
      <c r="AB59" s="152" t="n">
        <f aca="false">N59/$Q59*100</f>
        <v>0</v>
      </c>
      <c r="AC59" s="152" t="n">
        <f aca="false">O59/$Q59*100</f>
        <v>0</v>
      </c>
      <c r="AD59" s="152"/>
      <c r="AE59" s="157"/>
      <c r="AF59" s="141"/>
      <c r="AG59" s="152" t="n">
        <f aca="false">AA59+R59</f>
        <v>0</v>
      </c>
      <c r="AH59" s="152"/>
      <c r="AI59" s="141"/>
      <c r="AJ59" s="141"/>
      <c r="AK59" s="141"/>
      <c r="AL59" s="141"/>
      <c r="AM59" s="141"/>
      <c r="AN59" s="158"/>
      <c r="AO59" s="158"/>
      <c r="AP59" s="162"/>
      <c r="AQ59" s="158"/>
      <c r="AR59" s="162"/>
      <c r="AS59" s="163"/>
      <c r="AT59" s="163"/>
      <c r="AU59" s="162"/>
      <c r="AV59" s="163"/>
      <c r="AW59" s="162"/>
      <c r="AX59" s="163"/>
      <c r="AY59" s="162"/>
      <c r="AZ59" s="163"/>
      <c r="BA59" s="162"/>
      <c r="BB59" s="163"/>
      <c r="BC59" s="162"/>
      <c r="BD59" s="163"/>
      <c r="BE59" s="158"/>
      <c r="BF59" s="164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  <c r="EO59" s="105"/>
      <c r="EP59" s="105"/>
      <c r="EQ59" s="105"/>
      <c r="ER59" s="105"/>
      <c r="ES59" s="105"/>
      <c r="ET59" s="105"/>
      <c r="EU59" s="105"/>
      <c r="EV59" s="105"/>
      <c r="EW59" s="105"/>
      <c r="EX59" s="105"/>
      <c r="EY59" s="105"/>
      <c r="EZ59" s="105"/>
      <c r="FA59" s="105"/>
      <c r="FB59" s="105"/>
      <c r="FC59" s="105"/>
      <c r="FD59" s="105"/>
      <c r="FE59" s="105"/>
      <c r="FF59" s="105"/>
      <c r="FG59" s="105"/>
      <c r="FH59" s="105"/>
      <c r="FI59" s="105"/>
      <c r="FJ59" s="105"/>
      <c r="FK59" s="105"/>
      <c r="FL59" s="105"/>
      <c r="FM59" s="105"/>
      <c r="FN59" s="105"/>
      <c r="FO59" s="105"/>
      <c r="FP59" s="105"/>
      <c r="FQ59" s="105"/>
      <c r="FR59" s="105"/>
      <c r="FS59" s="105"/>
      <c r="FT59" s="105"/>
      <c r="FU59" s="105"/>
      <c r="FV59" s="105"/>
      <c r="FW59" s="105"/>
      <c r="FX59" s="105"/>
      <c r="FY59" s="105"/>
      <c r="FZ59" s="105"/>
      <c r="GA59" s="105"/>
      <c r="GB59" s="105"/>
      <c r="GC59" s="105"/>
      <c r="GD59" s="105"/>
      <c r="GE59" s="105"/>
      <c r="GF59" s="105"/>
      <c r="GG59" s="105"/>
      <c r="GH59" s="105"/>
      <c r="GI59" s="105"/>
      <c r="GJ59" s="105"/>
      <c r="GK59" s="105"/>
      <c r="GL59" s="105"/>
      <c r="GM59" s="105"/>
      <c r="GN59" s="105"/>
      <c r="GO59" s="105"/>
      <c r="GP59" s="105"/>
      <c r="GQ59" s="105"/>
      <c r="GR59" s="105"/>
      <c r="GS59" s="105"/>
      <c r="GT59" s="105"/>
      <c r="GU59" s="105"/>
      <c r="GV59" s="105"/>
      <c r="GW59" s="105"/>
      <c r="GX59" s="105"/>
      <c r="GY59" s="105"/>
      <c r="GZ59" s="105"/>
      <c r="HA59" s="105"/>
      <c r="HB59" s="105"/>
      <c r="HC59" s="105"/>
      <c r="HD59" s="105"/>
      <c r="HE59" s="105"/>
      <c r="HF59" s="105"/>
      <c r="HG59" s="105"/>
      <c r="HH59" s="105"/>
      <c r="HI59" s="105"/>
      <c r="HJ59" s="105"/>
      <c r="HK59" s="105"/>
      <c r="HL59" s="105"/>
      <c r="HM59" s="105"/>
      <c r="HN59" s="105"/>
      <c r="HO59" s="105"/>
      <c r="HP59" s="105"/>
      <c r="HQ59" s="105"/>
      <c r="HR59" s="105"/>
      <c r="HS59" s="105"/>
      <c r="HT59" s="105"/>
      <c r="HU59" s="105"/>
      <c r="HV59" s="105"/>
      <c r="HW59" s="105"/>
      <c r="HX59" s="105"/>
      <c r="HY59" s="105"/>
      <c r="HZ59" s="105"/>
      <c r="IA59" s="105"/>
      <c r="IB59" s="105"/>
      <c r="IC59" s="105"/>
      <c r="ID59" s="105"/>
      <c r="IE59" s="105"/>
      <c r="IF59" s="105"/>
      <c r="IG59" s="105"/>
      <c r="IH59" s="105"/>
      <c r="II59" s="105"/>
      <c r="IJ59" s="105"/>
      <c r="IK59" s="105"/>
      <c r="IL59" s="105"/>
      <c r="IM59" s="105"/>
      <c r="IN59" s="105"/>
      <c r="IO59" s="105"/>
      <c r="IP59" s="105"/>
      <c r="IQ59" s="105"/>
      <c r="IR59" s="105"/>
      <c r="IS59" s="105"/>
      <c r="IT59" s="105"/>
      <c r="IU59" s="105"/>
      <c r="IV59" s="105"/>
      <c r="IW59" s="105"/>
    </row>
    <row r="60" customFormat="false" ht="12.75" hidden="true" customHeight="true" outlineLevel="0" collapsed="false">
      <c r="A60" s="84"/>
      <c r="B60" s="94"/>
      <c r="C60" s="82"/>
      <c r="D60" s="167"/>
      <c r="E60" s="166"/>
      <c r="F60" s="167"/>
      <c r="G60" s="167"/>
      <c r="H60" s="167"/>
      <c r="I60" s="167"/>
      <c r="J60" s="155"/>
      <c r="K60" s="155"/>
      <c r="L60" s="155"/>
      <c r="M60" s="155"/>
      <c r="N60" s="155"/>
      <c r="O60" s="155"/>
      <c r="P60" s="169"/>
      <c r="Q60" s="159"/>
      <c r="R60" s="152"/>
      <c r="S60" s="152"/>
      <c r="T60" s="152"/>
      <c r="U60" s="152"/>
      <c r="V60" s="152"/>
      <c r="W60" s="152"/>
      <c r="X60" s="152"/>
      <c r="Y60" s="152"/>
      <c r="Z60" s="152"/>
      <c r="AA60" s="154"/>
      <c r="AB60" s="152"/>
      <c r="AC60" s="152"/>
      <c r="AD60" s="152"/>
      <c r="AE60" s="157"/>
      <c r="AF60" s="141"/>
      <c r="AG60" s="152" t="n">
        <f aca="false">AA60+R60</f>
        <v>0</v>
      </c>
      <c r="AH60" s="152"/>
      <c r="AI60" s="141"/>
      <c r="AJ60" s="141"/>
      <c r="AK60" s="141"/>
      <c r="AL60" s="141"/>
      <c r="AM60" s="141"/>
      <c r="AN60" s="158"/>
      <c r="AO60" s="158"/>
      <c r="AP60" s="162"/>
      <c r="AQ60" s="158"/>
      <c r="AR60" s="162"/>
      <c r="AS60" s="163"/>
      <c r="AT60" s="163"/>
      <c r="AU60" s="162"/>
      <c r="AV60" s="163"/>
      <c r="AW60" s="162"/>
      <c r="AX60" s="163"/>
      <c r="AY60" s="162"/>
      <c r="AZ60" s="163"/>
      <c r="BA60" s="162"/>
      <c r="BB60" s="163"/>
      <c r="BC60" s="162"/>
      <c r="BD60" s="163"/>
      <c r="BE60" s="158"/>
      <c r="BF60" s="164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</row>
    <row r="61" customFormat="false" ht="12.75" hidden="true" customHeight="true" outlineLevel="0" collapsed="false">
      <c r="A61" s="84"/>
      <c r="B61" s="94" t="s">
        <v>321</v>
      </c>
      <c r="C61" s="82" t="s">
        <v>236</v>
      </c>
      <c r="D61" s="167"/>
      <c r="E61" s="166"/>
      <c r="F61" s="167"/>
      <c r="G61" s="167"/>
      <c r="H61" s="167"/>
      <c r="I61" s="167"/>
      <c r="J61" s="155"/>
      <c r="K61" s="168"/>
      <c r="L61" s="168"/>
      <c r="M61" s="168"/>
      <c r="N61" s="168"/>
      <c r="O61" s="155"/>
      <c r="P61" s="169"/>
      <c r="Q61" s="170" t="n">
        <v>123085412</v>
      </c>
      <c r="R61" s="152" t="n">
        <f aca="false">D61/$Q61*100</f>
        <v>0</v>
      </c>
      <c r="S61" s="152" t="n">
        <f aca="false">E61/$Q61*100</f>
        <v>0</v>
      </c>
      <c r="T61" s="152" t="n">
        <f aca="false">F61/$Q61*100</f>
        <v>0</v>
      </c>
      <c r="U61" s="152" t="n">
        <f aca="false">G61/$Q61*100</f>
        <v>0</v>
      </c>
      <c r="V61" s="152" t="n">
        <f aca="false">H61/$Q61*100</f>
        <v>0</v>
      </c>
      <c r="W61" s="152" t="n">
        <f aca="false">I61/$Q61*100</f>
        <v>0</v>
      </c>
      <c r="X61" s="152" t="n">
        <f aca="false">J61/$Q61*100</f>
        <v>0</v>
      </c>
      <c r="Y61" s="152" t="n">
        <f aca="false">K61/$Q61*100</f>
        <v>0</v>
      </c>
      <c r="Z61" s="152" t="n">
        <f aca="false">L61/$Q61*100</f>
        <v>0</v>
      </c>
      <c r="AA61" s="154" t="n">
        <f aca="false">M61/$Q61*100</f>
        <v>0</v>
      </c>
      <c r="AB61" s="152" t="n">
        <f aca="false">N61/$Q61*100</f>
        <v>0</v>
      </c>
      <c r="AC61" s="152" t="n">
        <f aca="false">O61/$Q61*100</f>
        <v>0</v>
      </c>
      <c r="AD61" s="152"/>
      <c r="AE61" s="157"/>
      <c r="AF61" s="141"/>
      <c r="AG61" s="152" t="n">
        <f aca="false">AA61+R61</f>
        <v>0</v>
      </c>
      <c r="AH61" s="152"/>
      <c r="AI61" s="141"/>
      <c r="AJ61" s="141"/>
      <c r="AK61" s="141"/>
      <c r="AL61" s="141"/>
      <c r="AM61" s="141"/>
      <c r="AN61" s="158"/>
      <c r="AO61" s="158"/>
      <c r="AP61" s="162"/>
      <c r="AQ61" s="158"/>
      <c r="AR61" s="162"/>
      <c r="AS61" s="163"/>
      <c r="AT61" s="163"/>
      <c r="AU61" s="162"/>
      <c r="AV61" s="163"/>
      <c r="AW61" s="162"/>
      <c r="AX61" s="163"/>
      <c r="AY61" s="162"/>
      <c r="AZ61" s="163"/>
      <c r="BA61" s="162"/>
      <c r="BB61" s="163"/>
      <c r="BC61" s="162"/>
      <c r="BD61" s="163"/>
      <c r="BE61" s="158"/>
      <c r="BF61" s="164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  <c r="EO61" s="105"/>
      <c r="EP61" s="105"/>
      <c r="EQ61" s="105"/>
      <c r="ER61" s="105"/>
      <c r="ES61" s="105"/>
      <c r="ET61" s="105"/>
      <c r="EU61" s="105"/>
      <c r="EV61" s="105"/>
      <c r="EW61" s="105"/>
      <c r="EX61" s="105"/>
      <c r="EY61" s="105"/>
      <c r="EZ61" s="105"/>
      <c r="FA61" s="105"/>
      <c r="FB61" s="105"/>
      <c r="FC61" s="105"/>
      <c r="FD61" s="105"/>
      <c r="FE61" s="105"/>
      <c r="FF61" s="105"/>
      <c r="FG61" s="105"/>
      <c r="FH61" s="105"/>
      <c r="FI61" s="105"/>
      <c r="FJ61" s="105"/>
      <c r="FK61" s="105"/>
      <c r="FL61" s="105"/>
      <c r="FM61" s="105"/>
      <c r="FN61" s="105"/>
      <c r="FO61" s="105"/>
      <c r="FP61" s="105"/>
      <c r="FQ61" s="105"/>
      <c r="FR61" s="105"/>
      <c r="FS61" s="105"/>
      <c r="FT61" s="105"/>
      <c r="FU61" s="105"/>
      <c r="FV61" s="105"/>
      <c r="FW61" s="105"/>
      <c r="FX61" s="105"/>
      <c r="FY61" s="105"/>
      <c r="FZ61" s="105"/>
      <c r="GA61" s="105"/>
      <c r="GB61" s="105"/>
      <c r="GC61" s="105"/>
      <c r="GD61" s="105"/>
      <c r="GE61" s="105"/>
      <c r="GF61" s="105"/>
      <c r="GG61" s="105"/>
      <c r="GH61" s="105"/>
      <c r="GI61" s="105"/>
      <c r="GJ61" s="105"/>
      <c r="GK61" s="105"/>
      <c r="GL61" s="105"/>
      <c r="GM61" s="105"/>
      <c r="GN61" s="105"/>
      <c r="GO61" s="105"/>
      <c r="GP61" s="105"/>
      <c r="GQ61" s="105"/>
      <c r="GR61" s="105"/>
      <c r="GS61" s="105"/>
      <c r="GT61" s="105"/>
      <c r="GU61" s="105"/>
      <c r="GV61" s="105"/>
      <c r="GW61" s="105"/>
      <c r="GX61" s="105"/>
      <c r="GY61" s="105"/>
      <c r="GZ61" s="105"/>
      <c r="HA61" s="105"/>
      <c r="HB61" s="105"/>
      <c r="HC61" s="105"/>
      <c r="HD61" s="105"/>
      <c r="HE61" s="105"/>
      <c r="HF61" s="105"/>
      <c r="HG61" s="105"/>
      <c r="HH61" s="105"/>
      <c r="HI61" s="105"/>
      <c r="HJ61" s="105"/>
      <c r="HK61" s="105"/>
      <c r="HL61" s="105"/>
      <c r="HM61" s="105"/>
      <c r="HN61" s="105"/>
      <c r="HO61" s="105"/>
      <c r="HP61" s="105"/>
      <c r="HQ61" s="105"/>
      <c r="HR61" s="105"/>
      <c r="HS61" s="105"/>
      <c r="HT61" s="105"/>
      <c r="HU61" s="105"/>
      <c r="HV61" s="105"/>
      <c r="HW61" s="105"/>
      <c r="HX61" s="105"/>
      <c r="HY61" s="105"/>
      <c r="HZ61" s="105"/>
      <c r="IA61" s="105"/>
      <c r="IB61" s="105"/>
      <c r="IC61" s="105"/>
      <c r="ID61" s="105"/>
      <c r="IE61" s="105"/>
      <c r="IF61" s="105"/>
      <c r="IG61" s="105"/>
      <c r="IH61" s="105"/>
      <c r="II61" s="105"/>
      <c r="IJ61" s="105"/>
      <c r="IK61" s="105"/>
      <c r="IL61" s="105"/>
      <c r="IM61" s="105"/>
      <c r="IN61" s="105"/>
      <c r="IO61" s="105"/>
      <c r="IP61" s="105"/>
      <c r="IQ61" s="105"/>
      <c r="IR61" s="105"/>
      <c r="IS61" s="105"/>
      <c r="IT61" s="105"/>
      <c r="IU61" s="105"/>
      <c r="IV61" s="105"/>
      <c r="IW61" s="105"/>
    </row>
    <row r="62" customFormat="false" ht="12.75" hidden="true" customHeight="true" outlineLevel="0" collapsed="false">
      <c r="A62" s="84"/>
      <c r="B62" s="94"/>
      <c r="C62" s="82" t="s">
        <v>234</v>
      </c>
      <c r="D62" s="167"/>
      <c r="E62" s="166"/>
      <c r="F62" s="167"/>
      <c r="G62" s="167"/>
      <c r="H62" s="167"/>
      <c r="I62" s="167"/>
      <c r="J62" s="155"/>
      <c r="K62" s="168"/>
      <c r="L62" s="168"/>
      <c r="M62" s="168"/>
      <c r="N62" s="168"/>
      <c r="O62" s="155"/>
      <c r="P62" s="169"/>
      <c r="Q62" s="170" t="n">
        <v>16044006</v>
      </c>
      <c r="R62" s="152" t="n">
        <f aca="false">D62/$Q62*100</f>
        <v>0</v>
      </c>
      <c r="S62" s="152" t="n">
        <f aca="false">E62/$Q62*100</f>
        <v>0</v>
      </c>
      <c r="T62" s="152" t="n">
        <f aca="false">F62/$Q62*100</f>
        <v>0</v>
      </c>
      <c r="U62" s="152" t="n">
        <f aca="false">G62/$Q62*100</f>
        <v>0</v>
      </c>
      <c r="V62" s="152" t="n">
        <f aca="false">H62/$Q62*100</f>
        <v>0</v>
      </c>
      <c r="W62" s="152" t="n">
        <f aca="false">I62/$Q62*100</f>
        <v>0</v>
      </c>
      <c r="X62" s="152" t="n">
        <f aca="false">J62/$Q62*100</f>
        <v>0</v>
      </c>
      <c r="Y62" s="152" t="n">
        <f aca="false">K62/$Q62*100</f>
        <v>0</v>
      </c>
      <c r="Z62" s="152" t="n">
        <f aca="false">L62/$Q62*100</f>
        <v>0</v>
      </c>
      <c r="AA62" s="154" t="n">
        <f aca="false">M62/$Q62*100</f>
        <v>0</v>
      </c>
      <c r="AB62" s="152" t="n">
        <f aca="false">N62/$Q62*100</f>
        <v>0</v>
      </c>
      <c r="AC62" s="152" t="n">
        <f aca="false">O62/$Q62*100</f>
        <v>0</v>
      </c>
      <c r="AD62" s="152"/>
      <c r="AE62" s="157"/>
      <c r="AF62" s="141"/>
      <c r="AG62" s="152" t="n">
        <f aca="false">AA62+R62</f>
        <v>0</v>
      </c>
      <c r="AH62" s="152"/>
      <c r="AI62" s="141"/>
      <c r="AJ62" s="141"/>
      <c r="AK62" s="141"/>
      <c r="AL62" s="141"/>
      <c r="AM62" s="141"/>
      <c r="AN62" s="158"/>
      <c r="AO62" s="158"/>
      <c r="AP62" s="162"/>
      <c r="AQ62" s="158"/>
      <c r="AR62" s="162"/>
      <c r="AS62" s="163"/>
      <c r="AT62" s="163"/>
      <c r="AU62" s="162"/>
      <c r="AV62" s="163"/>
      <c r="AW62" s="162"/>
      <c r="AX62" s="163"/>
      <c r="AY62" s="162"/>
      <c r="AZ62" s="163"/>
      <c r="BA62" s="162"/>
      <c r="BB62" s="163"/>
      <c r="BC62" s="162"/>
      <c r="BD62" s="163"/>
      <c r="BE62" s="158"/>
      <c r="BF62" s="164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</row>
    <row r="63" customFormat="false" ht="12.75" hidden="true" customHeight="true" outlineLevel="0" collapsed="false">
      <c r="A63" s="84"/>
      <c r="B63" s="94"/>
      <c r="C63" s="82" t="s">
        <v>231</v>
      </c>
      <c r="D63" s="167"/>
      <c r="E63" s="166"/>
      <c r="F63" s="167"/>
      <c r="G63" s="167"/>
      <c r="H63" s="167"/>
      <c r="I63" s="167"/>
      <c r="J63" s="155"/>
      <c r="K63" s="176"/>
      <c r="L63" s="176"/>
      <c r="M63" s="176"/>
      <c r="N63" s="176"/>
      <c r="O63" s="155"/>
      <c r="P63" s="169"/>
      <c r="Q63" s="177" t="n">
        <v>6919364</v>
      </c>
      <c r="R63" s="152" t="n">
        <f aca="false">D63/$Q63*100</f>
        <v>0</v>
      </c>
      <c r="S63" s="152" t="n">
        <f aca="false">E63/$Q63*100</f>
        <v>0</v>
      </c>
      <c r="T63" s="152" t="n">
        <f aca="false">F63/$Q63*100</f>
        <v>0</v>
      </c>
      <c r="U63" s="152" t="n">
        <f aca="false">G63/$Q63*100</f>
        <v>0</v>
      </c>
      <c r="V63" s="152" t="n">
        <f aca="false">H63/$Q63*100</f>
        <v>0</v>
      </c>
      <c r="W63" s="152" t="n">
        <f aca="false">I63/$Q63*100</f>
        <v>0</v>
      </c>
      <c r="X63" s="152" t="n">
        <f aca="false">J63/$Q63*100</f>
        <v>0</v>
      </c>
      <c r="Y63" s="152" t="n">
        <f aca="false">K63/$Q63*100</f>
        <v>0</v>
      </c>
      <c r="Z63" s="152" t="n">
        <f aca="false">L63/$Q63*100</f>
        <v>0</v>
      </c>
      <c r="AA63" s="154" t="n">
        <f aca="false">M63/$Q63*100</f>
        <v>0</v>
      </c>
      <c r="AB63" s="152" t="n">
        <f aca="false">N63/$Q63*100</f>
        <v>0</v>
      </c>
      <c r="AC63" s="152" t="n">
        <f aca="false">O63/$Q63*100</f>
        <v>0</v>
      </c>
      <c r="AD63" s="152"/>
      <c r="AE63" s="157"/>
      <c r="AF63" s="141"/>
      <c r="AG63" s="152" t="n">
        <f aca="false">AA63+R63</f>
        <v>0</v>
      </c>
      <c r="AH63" s="152"/>
      <c r="AI63" s="141"/>
      <c r="AJ63" s="141"/>
      <c r="AK63" s="141"/>
      <c r="AL63" s="141"/>
      <c r="AM63" s="141"/>
      <c r="AN63" s="158"/>
      <c r="AO63" s="158"/>
      <c r="AP63" s="162"/>
      <c r="AQ63" s="158"/>
      <c r="AR63" s="162"/>
      <c r="AS63" s="163"/>
      <c r="AT63" s="163"/>
      <c r="AU63" s="162"/>
      <c r="AV63" s="163"/>
      <c r="AW63" s="162"/>
      <c r="AX63" s="163"/>
      <c r="AY63" s="162"/>
      <c r="AZ63" s="163"/>
      <c r="BA63" s="162"/>
      <c r="BB63" s="163"/>
      <c r="BC63" s="162"/>
      <c r="BD63" s="163"/>
      <c r="BE63" s="158"/>
      <c r="BF63" s="164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5"/>
      <c r="FE63" s="105"/>
      <c r="FF63" s="105"/>
      <c r="FG63" s="105"/>
      <c r="FH63" s="105"/>
      <c r="FI63" s="105"/>
      <c r="FJ63" s="105"/>
      <c r="FK63" s="105"/>
      <c r="FL63" s="105"/>
      <c r="FM63" s="105"/>
      <c r="FN63" s="105"/>
      <c r="FO63" s="105"/>
      <c r="FP63" s="105"/>
      <c r="FQ63" s="105"/>
      <c r="FR63" s="105"/>
      <c r="FS63" s="105"/>
      <c r="FT63" s="105"/>
      <c r="FU63" s="105"/>
      <c r="FV63" s="105"/>
      <c r="FW63" s="105"/>
      <c r="FX63" s="105"/>
      <c r="FY63" s="105"/>
      <c r="FZ63" s="105"/>
      <c r="GA63" s="105"/>
      <c r="GB63" s="105"/>
      <c r="GC63" s="105"/>
      <c r="GD63" s="105"/>
      <c r="GE63" s="105"/>
      <c r="GF63" s="105"/>
      <c r="GG63" s="105"/>
      <c r="GH63" s="105"/>
      <c r="GI63" s="105"/>
      <c r="GJ63" s="105"/>
      <c r="GK63" s="105"/>
      <c r="GL63" s="105"/>
      <c r="GM63" s="105"/>
      <c r="GN63" s="105"/>
      <c r="GO63" s="105"/>
      <c r="GP63" s="105"/>
      <c r="GQ63" s="105"/>
      <c r="GR63" s="105"/>
      <c r="GS63" s="105"/>
      <c r="GT63" s="105"/>
      <c r="GU63" s="105"/>
      <c r="GV63" s="105"/>
      <c r="GW63" s="105"/>
      <c r="GX63" s="105"/>
      <c r="GY63" s="105"/>
      <c r="GZ63" s="105"/>
      <c r="HA63" s="105"/>
      <c r="HB63" s="105"/>
      <c r="HC63" s="105"/>
      <c r="HD63" s="105"/>
      <c r="HE63" s="105"/>
      <c r="HF63" s="105"/>
      <c r="HG63" s="105"/>
      <c r="HH63" s="105"/>
      <c r="HI63" s="105"/>
      <c r="HJ63" s="105"/>
      <c r="HK63" s="105"/>
      <c r="HL63" s="105"/>
      <c r="HM63" s="105"/>
      <c r="HN63" s="105"/>
      <c r="HO63" s="105"/>
      <c r="HP63" s="105"/>
      <c r="HQ63" s="105"/>
      <c r="HR63" s="105"/>
      <c r="HS63" s="105"/>
      <c r="HT63" s="105"/>
      <c r="HU63" s="105"/>
      <c r="HV63" s="105"/>
      <c r="HW63" s="105"/>
      <c r="HX63" s="105"/>
      <c r="HY63" s="105"/>
      <c r="HZ63" s="105"/>
      <c r="IA63" s="105"/>
      <c r="IB63" s="105"/>
      <c r="IC63" s="105"/>
      <c r="ID63" s="105"/>
      <c r="IE63" s="105"/>
      <c r="IF63" s="105"/>
      <c r="IG63" s="105"/>
      <c r="IH63" s="105"/>
      <c r="II63" s="105"/>
      <c r="IJ63" s="105"/>
      <c r="IK63" s="105"/>
      <c r="IL63" s="105"/>
      <c r="IM63" s="105"/>
      <c r="IN63" s="105"/>
      <c r="IO63" s="105"/>
      <c r="IP63" s="105"/>
      <c r="IQ63" s="105"/>
      <c r="IR63" s="105"/>
      <c r="IS63" s="105"/>
      <c r="IT63" s="105"/>
      <c r="IU63" s="105"/>
      <c r="IV63" s="105"/>
      <c r="IW63" s="105"/>
    </row>
    <row r="64" customFormat="false" ht="12.75" hidden="true" customHeight="true" outlineLevel="0" collapsed="false">
      <c r="A64" s="84"/>
      <c r="B64" s="94" t="s">
        <v>322</v>
      </c>
      <c r="C64" s="82"/>
      <c r="D64" s="167"/>
      <c r="E64" s="166"/>
      <c r="F64" s="167"/>
      <c r="G64" s="167"/>
      <c r="H64" s="167"/>
      <c r="I64" s="167"/>
      <c r="J64" s="155"/>
      <c r="K64" s="155"/>
      <c r="L64" s="155"/>
      <c r="M64" s="155"/>
      <c r="N64" s="155"/>
      <c r="O64" s="155"/>
      <c r="P64" s="169"/>
      <c r="Q64" s="159" t="n">
        <v>146047782</v>
      </c>
      <c r="R64" s="152" t="n">
        <f aca="false">D64/$Q64*100</f>
        <v>0</v>
      </c>
      <c r="S64" s="152" t="n">
        <f aca="false">E64/$Q64*100</f>
        <v>0</v>
      </c>
      <c r="T64" s="152" t="n">
        <f aca="false">F64/$Q64*100</f>
        <v>0</v>
      </c>
      <c r="U64" s="152" t="n">
        <f aca="false">G64/$Q64*100</f>
        <v>0</v>
      </c>
      <c r="V64" s="152" t="n">
        <f aca="false">H64/$Q64*100</f>
        <v>0</v>
      </c>
      <c r="W64" s="152" t="n">
        <f aca="false">I64/$Q64*100</f>
        <v>0</v>
      </c>
      <c r="X64" s="152" t="n">
        <f aca="false">J64/$Q64*100</f>
        <v>0</v>
      </c>
      <c r="Y64" s="152" t="n">
        <f aca="false">K64/$Q64*100</f>
        <v>0</v>
      </c>
      <c r="Z64" s="152" t="n">
        <f aca="false">L64/$Q64*100</f>
        <v>0</v>
      </c>
      <c r="AA64" s="154" t="n">
        <f aca="false">M64/$Q64*100</f>
        <v>0</v>
      </c>
      <c r="AB64" s="152" t="n">
        <f aca="false">N64/$Q64*100</f>
        <v>0</v>
      </c>
      <c r="AC64" s="152" t="n">
        <f aca="false">O64/$Q64*100</f>
        <v>0</v>
      </c>
      <c r="AD64" s="152"/>
      <c r="AE64" s="157"/>
      <c r="AF64" s="141"/>
      <c r="AG64" s="152" t="n">
        <f aca="false">AA64+R64</f>
        <v>0</v>
      </c>
      <c r="AH64" s="152"/>
      <c r="AI64" s="141"/>
      <c r="AJ64" s="141"/>
      <c r="AK64" s="141"/>
      <c r="AL64" s="141"/>
      <c r="AM64" s="141"/>
      <c r="AN64" s="158"/>
      <c r="AO64" s="158"/>
      <c r="AP64" s="162"/>
      <c r="AQ64" s="158"/>
      <c r="AR64" s="162"/>
      <c r="AS64" s="163"/>
      <c r="AT64" s="163"/>
      <c r="AU64" s="162"/>
      <c r="AV64" s="163"/>
      <c r="AW64" s="162"/>
      <c r="AX64" s="163"/>
      <c r="AY64" s="162"/>
      <c r="AZ64" s="163"/>
      <c r="BA64" s="162"/>
      <c r="BB64" s="163"/>
      <c r="BC64" s="162"/>
      <c r="BD64" s="163"/>
      <c r="BE64" s="158"/>
      <c r="BF64" s="164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105"/>
      <c r="EU64" s="105"/>
      <c r="EV64" s="105"/>
      <c r="EW64" s="105"/>
      <c r="EX64" s="105"/>
      <c r="EY64" s="105"/>
      <c r="EZ64" s="105"/>
      <c r="FA64" s="105"/>
      <c r="FB64" s="105"/>
      <c r="FC64" s="105"/>
      <c r="FD64" s="105"/>
      <c r="FE64" s="105"/>
      <c r="FF64" s="105"/>
      <c r="FG64" s="105"/>
      <c r="FH64" s="105"/>
      <c r="FI64" s="105"/>
      <c r="FJ64" s="105"/>
      <c r="FK64" s="105"/>
      <c r="FL64" s="105"/>
      <c r="FM64" s="105"/>
      <c r="FN64" s="105"/>
      <c r="FO64" s="105"/>
      <c r="FP64" s="105"/>
      <c r="FQ64" s="105"/>
      <c r="FR64" s="105"/>
      <c r="FS64" s="105"/>
      <c r="FT64" s="105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  <c r="GR64" s="105"/>
      <c r="GS64" s="105"/>
      <c r="GT64" s="105"/>
      <c r="GU64" s="105"/>
      <c r="GV64" s="105"/>
      <c r="GW64" s="105"/>
      <c r="GX64" s="105"/>
      <c r="GY64" s="105"/>
      <c r="GZ64" s="105"/>
      <c r="HA64" s="105"/>
      <c r="HB64" s="105"/>
      <c r="HC64" s="105"/>
      <c r="HD64" s="105"/>
      <c r="HE64" s="105"/>
      <c r="HF64" s="105"/>
      <c r="HG64" s="105"/>
      <c r="HH64" s="105"/>
      <c r="HI64" s="105"/>
      <c r="HJ64" s="105"/>
      <c r="HK64" s="105"/>
      <c r="HL64" s="105"/>
      <c r="HM64" s="105"/>
      <c r="HN64" s="105"/>
      <c r="HO64" s="105"/>
      <c r="HP64" s="105"/>
      <c r="HQ64" s="105"/>
      <c r="HR64" s="105"/>
      <c r="HS64" s="105"/>
      <c r="HT64" s="105"/>
      <c r="HU64" s="105"/>
      <c r="HV64" s="105"/>
      <c r="HW64" s="105"/>
      <c r="HX64" s="105"/>
      <c r="HY64" s="105"/>
      <c r="HZ64" s="105"/>
      <c r="IA64" s="105"/>
      <c r="IB64" s="105"/>
      <c r="IC64" s="105"/>
      <c r="ID64" s="105"/>
      <c r="IE64" s="105"/>
      <c r="IF64" s="105"/>
      <c r="IG64" s="105"/>
      <c r="IH64" s="105"/>
      <c r="II64" s="105"/>
      <c r="IJ64" s="105"/>
      <c r="IK64" s="105"/>
      <c r="IL64" s="105"/>
      <c r="IM64" s="105"/>
      <c r="IN64" s="105"/>
      <c r="IO64" s="105"/>
      <c r="IP64" s="105"/>
      <c r="IQ64" s="105"/>
      <c r="IR64" s="105"/>
      <c r="IS64" s="105"/>
      <c r="IT64" s="105"/>
      <c r="IU64" s="105"/>
      <c r="IV64" s="105"/>
      <c r="IW64" s="105"/>
    </row>
    <row r="65" customFormat="false" ht="12.75" hidden="true" customHeight="true" outlineLevel="0" collapsed="false">
      <c r="A65" s="84"/>
      <c r="B65" s="94"/>
      <c r="C65" s="82"/>
      <c r="D65" s="167"/>
      <c r="E65" s="166"/>
      <c r="F65" s="167"/>
      <c r="G65" s="167"/>
      <c r="H65" s="167"/>
      <c r="I65" s="167"/>
      <c r="J65" s="155"/>
      <c r="K65" s="155"/>
      <c r="L65" s="155"/>
      <c r="M65" s="155"/>
      <c r="N65" s="155"/>
      <c r="O65" s="155"/>
      <c r="P65" s="169"/>
      <c r="Q65" s="159"/>
      <c r="R65" s="152"/>
      <c r="S65" s="152"/>
      <c r="T65" s="152"/>
      <c r="U65" s="152"/>
      <c r="V65" s="152"/>
      <c r="W65" s="152"/>
      <c r="X65" s="152"/>
      <c r="Y65" s="152"/>
      <c r="Z65" s="152"/>
      <c r="AA65" s="154"/>
      <c r="AB65" s="152"/>
      <c r="AC65" s="152"/>
      <c r="AD65" s="152"/>
      <c r="AE65" s="157"/>
      <c r="AF65" s="141"/>
      <c r="AG65" s="152" t="n">
        <f aca="false">AA65+R65</f>
        <v>0</v>
      </c>
      <c r="AH65" s="152"/>
      <c r="AI65" s="141"/>
      <c r="AJ65" s="141"/>
      <c r="AK65" s="141"/>
      <c r="AL65" s="141"/>
      <c r="AM65" s="141"/>
      <c r="AN65" s="158"/>
      <c r="AO65" s="158"/>
      <c r="AP65" s="162"/>
      <c r="AQ65" s="158"/>
      <c r="AR65" s="162"/>
      <c r="AS65" s="163"/>
      <c r="AT65" s="163"/>
      <c r="AU65" s="162"/>
      <c r="AV65" s="163"/>
      <c r="AW65" s="162"/>
      <c r="AX65" s="163"/>
      <c r="AY65" s="162"/>
      <c r="AZ65" s="163"/>
      <c r="BA65" s="162"/>
      <c r="BB65" s="163"/>
      <c r="BC65" s="162"/>
      <c r="BD65" s="163"/>
      <c r="BE65" s="158"/>
      <c r="BF65" s="164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105"/>
      <c r="FC65" s="105"/>
      <c r="FD65" s="105"/>
      <c r="FE65" s="105"/>
      <c r="FF65" s="105"/>
      <c r="FG65" s="105"/>
      <c r="FH65" s="105"/>
      <c r="FI65" s="105"/>
      <c r="FJ65" s="105"/>
      <c r="FK65" s="105"/>
      <c r="FL65" s="105"/>
      <c r="FM65" s="105"/>
      <c r="FN65" s="105"/>
      <c r="FO65" s="105"/>
      <c r="FP65" s="105"/>
      <c r="FQ65" s="105"/>
      <c r="FR65" s="105"/>
      <c r="FS65" s="105"/>
      <c r="FT65" s="105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  <c r="GR65" s="105"/>
      <c r="GS65" s="105"/>
      <c r="GT65" s="105"/>
      <c r="GU65" s="105"/>
      <c r="GV65" s="105"/>
      <c r="GW65" s="105"/>
      <c r="GX65" s="105"/>
      <c r="GY65" s="105"/>
      <c r="GZ65" s="105"/>
      <c r="HA65" s="105"/>
      <c r="HB65" s="105"/>
      <c r="HC65" s="105"/>
      <c r="HD65" s="105"/>
      <c r="HE65" s="105"/>
      <c r="HF65" s="105"/>
      <c r="HG65" s="105"/>
      <c r="HH65" s="105"/>
      <c r="HI65" s="105"/>
      <c r="HJ65" s="105"/>
      <c r="HK65" s="105"/>
      <c r="HL65" s="105"/>
      <c r="HM65" s="105"/>
      <c r="HN65" s="105"/>
      <c r="HO65" s="105"/>
      <c r="HP65" s="105"/>
      <c r="HQ65" s="105"/>
      <c r="HR65" s="105"/>
      <c r="HS65" s="105"/>
      <c r="HT65" s="105"/>
      <c r="HU65" s="105"/>
      <c r="HV65" s="105"/>
      <c r="HW65" s="105"/>
      <c r="HX65" s="105"/>
      <c r="HY65" s="105"/>
      <c r="HZ65" s="105"/>
      <c r="IA65" s="105"/>
      <c r="IB65" s="105"/>
      <c r="IC65" s="105"/>
      <c r="ID65" s="105"/>
      <c r="IE65" s="105"/>
      <c r="IF65" s="105"/>
      <c r="IG65" s="105"/>
      <c r="IH65" s="105"/>
      <c r="II65" s="105"/>
      <c r="IJ65" s="105"/>
      <c r="IK65" s="105"/>
      <c r="IL65" s="105"/>
      <c r="IM65" s="105"/>
      <c r="IN65" s="105"/>
      <c r="IO65" s="105"/>
      <c r="IP65" s="105"/>
      <c r="IQ65" s="105"/>
      <c r="IR65" s="105"/>
      <c r="IS65" s="105"/>
      <c r="IT65" s="105"/>
      <c r="IU65" s="105"/>
      <c r="IV65" s="105"/>
      <c r="IW65" s="105"/>
    </row>
    <row r="66" customFormat="false" ht="12.75" hidden="false" customHeight="false" outlineLevel="0" collapsed="false">
      <c r="A66" s="84"/>
      <c r="B66" s="94"/>
      <c r="C66" s="82" t="s">
        <v>236</v>
      </c>
      <c r="D66" s="165" t="n">
        <f aca="false">'Test Year 2001 Sales and Revs.'!G69</f>
        <v>11949727.2419501</v>
      </c>
      <c r="E66" s="166" t="n">
        <v>2747084.73526051</v>
      </c>
      <c r="F66" s="167" t="n">
        <v>2075165.03746</v>
      </c>
      <c r="G66" s="167" t="n">
        <v>333567.91096</v>
      </c>
      <c r="H66" s="167" t="n">
        <v>2656779.00985022</v>
      </c>
      <c r="I66" s="167" t="n">
        <v>46542.96432</v>
      </c>
      <c r="J66" s="155" t="n">
        <f aca="false">D66-SUM(E66:I66,K66)</f>
        <v>4090587.58409936</v>
      </c>
      <c r="K66" s="168"/>
      <c r="L66" s="168" t="n">
        <f aca="false">IF(allocation_method&gt;=6,CHOOSE(gen_choice,'Generation Calculations'!H69-'Generation Calculations'!I69+'Generation Calculations'!J69,'Generation Calculations'!G69+'Generation Calculations'!H69-'Generation Calculations'!I69+'Generation Calculations'!J69),0)</f>
        <v>0</v>
      </c>
      <c r="M66" s="168" t="n">
        <f aca="false">'Test Year 2001 Sales and Revs.'!K69</f>
        <v>1292860.12</v>
      </c>
      <c r="N66" s="168" t="n">
        <f aca="false">CHOOSE(allocation_method,'RSP Surch Allocations'!E67,'RSP Surch Allocations'!J67,'RSP Surch Allocations'!N67,'RSP Surch Allocations'!Q67,'RSP Surch Allocations'!AA67,'RSP Surch Allocations'!AH67,'RSP Surch Allocations'!AS67,'RSP Surch Allocations'!BD67,'RSP Surch Allocations'!BO67,'RSP Surch Allocations'!BZ67,)</f>
        <v>4947623.63441901</v>
      </c>
      <c r="O66" s="155" t="n">
        <f aca="false">SUM(E66:N66)</f>
        <v>18190210.9963691</v>
      </c>
      <c r="P66" s="169" t="n">
        <f aca="false">ROUND(O66-D66,0)</f>
        <v>6240484</v>
      </c>
      <c r="Q66" s="159" t="n">
        <v>129286012</v>
      </c>
      <c r="R66" s="152" t="n">
        <f aca="false">D66/$Q66*100</f>
        <v>9.24286166546006</v>
      </c>
      <c r="S66" s="152" t="n">
        <f aca="false">E66/$Q66*100</f>
        <v>2.12481202936363</v>
      </c>
      <c r="T66" s="152" t="n">
        <f aca="false">F66/$Q66*100</f>
        <v>1.60509633281905</v>
      </c>
      <c r="U66" s="152" t="n">
        <f aca="false">G66/$Q66*100</f>
        <v>0.258007734788818</v>
      </c>
      <c r="V66" s="152" t="n">
        <f aca="false">H66/$Q66*100</f>
        <v>2.05496245784905</v>
      </c>
      <c r="W66" s="152" t="n">
        <f aca="false">I66/$Q66*100</f>
        <v>0.036</v>
      </c>
      <c r="X66" s="152" t="n">
        <f aca="false">J66/$Q66*100</f>
        <v>3.1639831106395</v>
      </c>
      <c r="Y66" s="152" t="n">
        <f aca="false">K66/$Q66*100</f>
        <v>0</v>
      </c>
      <c r="Z66" s="152" t="n">
        <f aca="false">L66/$Q66*100</f>
        <v>0</v>
      </c>
      <c r="AA66" s="154" t="n">
        <f aca="false">M66/$Q66*100</f>
        <v>1</v>
      </c>
      <c r="AB66" s="152" t="n">
        <f aca="false">N66/$Q66*100</f>
        <v>3.82688239654187</v>
      </c>
      <c r="AC66" s="152" t="n">
        <f aca="false">O66/$Q66*100</f>
        <v>14.0697440620019</v>
      </c>
      <c r="AD66" s="152"/>
      <c r="AE66" s="157"/>
      <c r="AF66" s="141" t="n">
        <f aca="false">(AC66-AG66)/AG66</f>
        <v>0.373614573888711</v>
      </c>
      <c r="AG66" s="152" t="n">
        <f aca="false">AA66+R66</f>
        <v>10.2428616654601</v>
      </c>
      <c r="AH66" s="152"/>
      <c r="AI66" s="141"/>
      <c r="AJ66" s="141"/>
      <c r="AK66" s="141"/>
      <c r="AL66" s="141"/>
      <c r="AM66" s="141"/>
      <c r="AN66" s="162"/>
      <c r="AO66" s="162"/>
      <c r="AP66" s="162"/>
      <c r="AQ66" s="158"/>
      <c r="AR66" s="162"/>
      <c r="AS66" s="163"/>
      <c r="AT66" s="163"/>
      <c r="AU66" s="162"/>
      <c r="AV66" s="163"/>
      <c r="AW66" s="162"/>
      <c r="AX66" s="163"/>
      <c r="AY66" s="162"/>
      <c r="AZ66" s="163"/>
      <c r="BA66" s="162"/>
      <c r="BB66" s="163"/>
      <c r="BC66" s="162"/>
      <c r="BD66" s="163"/>
      <c r="BE66" s="162"/>
      <c r="BF66" s="164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  <c r="EO66" s="105"/>
      <c r="EP66" s="105"/>
      <c r="EQ66" s="105"/>
      <c r="ER66" s="105"/>
      <c r="ES66" s="105"/>
      <c r="ET66" s="105"/>
      <c r="EU66" s="105"/>
      <c r="EV66" s="105"/>
      <c r="EW66" s="105"/>
      <c r="EX66" s="105"/>
      <c r="EY66" s="105"/>
      <c r="EZ66" s="105"/>
      <c r="FA66" s="105"/>
      <c r="FB66" s="105"/>
      <c r="FC66" s="105"/>
      <c r="FD66" s="105"/>
      <c r="FE66" s="105"/>
      <c r="FF66" s="105"/>
      <c r="FG66" s="105"/>
      <c r="FH66" s="105"/>
      <c r="FI66" s="105"/>
      <c r="FJ66" s="105"/>
      <c r="FK66" s="105"/>
      <c r="FL66" s="105"/>
      <c r="FM66" s="105"/>
      <c r="FN66" s="105"/>
      <c r="FO66" s="105"/>
      <c r="FP66" s="105"/>
      <c r="FQ66" s="105"/>
      <c r="FR66" s="105"/>
      <c r="FS66" s="105"/>
      <c r="FT66" s="105"/>
      <c r="FU66" s="105"/>
      <c r="FV66" s="105"/>
      <c r="FW66" s="105"/>
      <c r="FX66" s="105"/>
      <c r="FY66" s="105"/>
      <c r="FZ66" s="105"/>
      <c r="GA66" s="105"/>
      <c r="GB66" s="105"/>
      <c r="GC66" s="105"/>
      <c r="GD66" s="105"/>
      <c r="GE66" s="105"/>
      <c r="GF66" s="105"/>
      <c r="GG66" s="105"/>
      <c r="GH66" s="105"/>
      <c r="GI66" s="105"/>
      <c r="GJ66" s="105"/>
      <c r="GK66" s="105"/>
      <c r="GL66" s="105"/>
      <c r="GM66" s="105"/>
      <c r="GN66" s="105"/>
      <c r="GO66" s="105"/>
      <c r="GP66" s="105"/>
      <c r="GQ66" s="105"/>
      <c r="GR66" s="105"/>
      <c r="GS66" s="105"/>
      <c r="GT66" s="105"/>
      <c r="GU66" s="105"/>
      <c r="GV66" s="105"/>
      <c r="GW66" s="105"/>
      <c r="GX66" s="105"/>
      <c r="GY66" s="105"/>
      <c r="GZ66" s="105"/>
      <c r="HA66" s="105"/>
      <c r="HB66" s="105"/>
      <c r="HC66" s="105"/>
      <c r="HD66" s="105"/>
      <c r="HE66" s="105"/>
      <c r="HF66" s="105"/>
      <c r="HG66" s="105"/>
      <c r="HH66" s="105"/>
      <c r="HI66" s="105"/>
      <c r="HJ66" s="105"/>
      <c r="HK66" s="105"/>
      <c r="HL66" s="105"/>
      <c r="HM66" s="105"/>
      <c r="HN66" s="105"/>
      <c r="HO66" s="105"/>
      <c r="HP66" s="105"/>
      <c r="HQ66" s="105"/>
      <c r="HR66" s="105"/>
      <c r="HS66" s="105"/>
      <c r="HT66" s="105"/>
      <c r="HU66" s="105"/>
      <c r="HV66" s="105"/>
      <c r="HW66" s="105"/>
      <c r="HX66" s="105"/>
      <c r="HY66" s="105"/>
      <c r="HZ66" s="105"/>
      <c r="IA66" s="105"/>
      <c r="IB66" s="105"/>
      <c r="IC66" s="105"/>
      <c r="ID66" s="105"/>
      <c r="IE66" s="105"/>
      <c r="IF66" s="105"/>
      <c r="IG66" s="105"/>
      <c r="IH66" s="105"/>
      <c r="II66" s="105"/>
      <c r="IJ66" s="105"/>
      <c r="IK66" s="105"/>
      <c r="IL66" s="105"/>
      <c r="IM66" s="105"/>
      <c r="IN66" s="105"/>
      <c r="IO66" s="105"/>
      <c r="IP66" s="105"/>
      <c r="IQ66" s="105"/>
      <c r="IR66" s="105"/>
      <c r="IS66" s="105"/>
      <c r="IT66" s="105"/>
      <c r="IU66" s="105"/>
      <c r="IV66" s="105"/>
      <c r="IW66" s="105"/>
    </row>
    <row r="67" customFormat="false" ht="12.75" hidden="false" customHeight="false" outlineLevel="0" collapsed="false">
      <c r="A67" s="84"/>
      <c r="B67" s="94"/>
      <c r="C67" s="82" t="s">
        <v>234</v>
      </c>
      <c r="D67" s="167" t="n">
        <v>4028603.73139905</v>
      </c>
      <c r="E67" s="166" t="n">
        <v>631903.476235018</v>
      </c>
      <c r="F67" s="167" t="n">
        <v>342726.30019</v>
      </c>
      <c r="G67" s="167" t="n">
        <v>126345.88275</v>
      </c>
      <c r="H67" s="167" t="n">
        <v>1703224.93623431</v>
      </c>
      <c r="I67" s="167" t="n">
        <v>18728.91909</v>
      </c>
      <c r="J67" s="155" t="n">
        <f aca="false">D67-SUM(E67:I67,K67)</f>
        <v>1205674.21689972</v>
      </c>
      <c r="K67" s="168"/>
      <c r="L67" s="168" t="n">
        <f aca="false">IF(allocation_method&gt;=6,CHOOSE(gen_choice,'Generation Calculations'!H70-'Generation Calculations'!I70+'Generation Calculations'!J70,'Generation Calculations'!G70+'Generation Calculations'!H70-'Generation Calculations'!I70+'Generation Calculations'!J70),0)</f>
        <v>0</v>
      </c>
      <c r="M67" s="168" t="n">
        <f aca="false">'Test Year 2001 Sales and Revs.'!K70</f>
        <v>297284.43</v>
      </c>
      <c r="N67" s="168" t="n">
        <f aca="false">CHOOSE(allocation_method,'RSP Surch Allocations'!E68,'RSP Surch Allocations'!J68,'RSP Surch Allocations'!N68,'RSP Surch Allocations'!Q68,'RSP Surch Allocations'!AA68,'RSP Surch Allocations'!AH68,'RSP Surch Allocations'!AS68,'RSP Surch Allocations'!BD68,'RSP Surch Allocations'!BO68,'RSP Surch Allocations'!BZ68,)</f>
        <v>1137672.55193298</v>
      </c>
      <c r="O67" s="155" t="n">
        <f aca="false">SUM(E67:N67)</f>
        <v>5463560.71333203</v>
      </c>
      <c r="P67" s="169" t="n">
        <f aca="false">ROUND(O67-D67,0)</f>
        <v>1434957</v>
      </c>
      <c r="Q67" s="159" t="n">
        <v>29728443</v>
      </c>
      <c r="R67" s="152" t="n">
        <f aca="false">D67/$Q67*100</f>
        <v>13.5513445201252</v>
      </c>
      <c r="S67" s="152" t="n">
        <f aca="false">E67/$Q67*100</f>
        <v>2.12558550824548</v>
      </c>
      <c r="T67" s="152" t="n">
        <f aca="false">F67/$Q67*100</f>
        <v>1.15285654277286</v>
      </c>
      <c r="U67" s="152" t="n">
        <f aca="false">G67/$Q67*100</f>
        <v>0.425</v>
      </c>
      <c r="V67" s="152" t="n">
        <f aca="false">H67/$Q67*100</f>
        <v>5.7292772992999</v>
      </c>
      <c r="W67" s="152" t="n">
        <f aca="false">I67/$Q67*100</f>
        <v>0.063</v>
      </c>
      <c r="X67" s="152" t="n">
        <f aca="false">J67/$Q67*100</f>
        <v>4.05562516980697</v>
      </c>
      <c r="Y67" s="152" t="n">
        <f aca="false">K67/$Q67*100</f>
        <v>0</v>
      </c>
      <c r="Z67" s="152" t="n">
        <f aca="false">L67/$Q67*100</f>
        <v>0</v>
      </c>
      <c r="AA67" s="154" t="n">
        <f aca="false">M67/$Q67*100</f>
        <v>1</v>
      </c>
      <c r="AB67" s="152" t="n">
        <f aca="false">N67/$Q67*100</f>
        <v>3.82688239654187</v>
      </c>
      <c r="AC67" s="152" t="n">
        <f aca="false">O67/$Q67*100</f>
        <v>18.3782269166671</v>
      </c>
      <c r="AD67" s="152"/>
      <c r="AE67" s="157"/>
      <c r="AF67" s="141" t="n">
        <f aca="false">(AC67-AG67)/AG67</f>
        <v>0.262991670030842</v>
      </c>
      <c r="AG67" s="152" t="n">
        <f aca="false">AA67+R67</f>
        <v>14.5513445201252</v>
      </c>
      <c r="AH67" s="152"/>
      <c r="AI67" s="141"/>
      <c r="AJ67" s="141"/>
      <c r="AK67" s="141"/>
      <c r="AL67" s="141"/>
      <c r="AM67" s="141"/>
      <c r="AN67" s="162"/>
      <c r="AO67" s="162"/>
      <c r="AP67" s="162"/>
      <c r="AQ67" s="158"/>
      <c r="AR67" s="162"/>
      <c r="AS67" s="163"/>
      <c r="AT67" s="163"/>
      <c r="AU67" s="162"/>
      <c r="AV67" s="163"/>
      <c r="AW67" s="162"/>
      <c r="AX67" s="163"/>
      <c r="AY67" s="162"/>
      <c r="AZ67" s="163"/>
      <c r="BA67" s="162"/>
      <c r="BB67" s="163"/>
      <c r="BC67" s="162"/>
      <c r="BD67" s="163"/>
      <c r="BE67" s="162"/>
      <c r="BF67" s="164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  <c r="EO67" s="105"/>
      <c r="EP67" s="105"/>
      <c r="EQ67" s="105"/>
      <c r="ER67" s="105"/>
      <c r="ES67" s="105"/>
      <c r="ET67" s="105"/>
      <c r="EU67" s="105"/>
      <c r="EV67" s="105"/>
      <c r="EW67" s="105"/>
      <c r="EX67" s="105"/>
      <c r="EY67" s="105"/>
      <c r="EZ67" s="105"/>
      <c r="FA67" s="105"/>
      <c r="FB67" s="105"/>
      <c r="FC67" s="105"/>
      <c r="FD67" s="105"/>
      <c r="FE67" s="105"/>
      <c r="FF67" s="105"/>
      <c r="FG67" s="105"/>
      <c r="FH67" s="105"/>
      <c r="FI67" s="105"/>
      <c r="FJ67" s="105"/>
      <c r="FK67" s="105"/>
      <c r="FL67" s="105"/>
      <c r="FM67" s="105"/>
      <c r="FN67" s="105"/>
      <c r="FO67" s="105"/>
      <c r="FP67" s="105"/>
      <c r="FQ67" s="105"/>
      <c r="FR67" s="105"/>
      <c r="FS67" s="105"/>
      <c r="FT67" s="105"/>
      <c r="FU67" s="105"/>
      <c r="FV67" s="105"/>
      <c r="FW67" s="105"/>
      <c r="FX67" s="105"/>
      <c r="FY67" s="105"/>
      <c r="FZ67" s="105"/>
      <c r="GA67" s="105"/>
      <c r="GB67" s="105"/>
      <c r="GC67" s="105"/>
      <c r="GD67" s="105"/>
      <c r="GE67" s="105"/>
      <c r="GF67" s="105"/>
      <c r="GG67" s="105"/>
      <c r="GH67" s="105"/>
      <c r="GI67" s="105"/>
      <c r="GJ67" s="105"/>
      <c r="GK67" s="105"/>
      <c r="GL67" s="105"/>
      <c r="GM67" s="105"/>
      <c r="GN67" s="105"/>
      <c r="GO67" s="105"/>
      <c r="GP67" s="105"/>
      <c r="GQ67" s="105"/>
      <c r="GR67" s="105"/>
      <c r="GS67" s="105"/>
      <c r="GT67" s="105"/>
      <c r="GU67" s="105"/>
      <c r="GV67" s="105"/>
      <c r="GW67" s="105"/>
      <c r="GX67" s="105"/>
      <c r="GY67" s="105"/>
      <c r="GZ67" s="105"/>
      <c r="HA67" s="105"/>
      <c r="HB67" s="105"/>
      <c r="HC67" s="105"/>
      <c r="HD67" s="105"/>
      <c r="HE67" s="105"/>
      <c r="HF67" s="105"/>
      <c r="HG67" s="105"/>
      <c r="HH67" s="105"/>
      <c r="HI67" s="105"/>
      <c r="HJ67" s="105"/>
      <c r="HK67" s="105"/>
      <c r="HL67" s="105"/>
      <c r="HM67" s="105"/>
      <c r="HN67" s="105"/>
      <c r="HO67" s="105"/>
      <c r="HP67" s="105"/>
      <c r="HQ67" s="105"/>
      <c r="HR67" s="105"/>
      <c r="HS67" s="105"/>
      <c r="HT67" s="105"/>
      <c r="HU67" s="105"/>
      <c r="HV67" s="105"/>
      <c r="HW67" s="105"/>
      <c r="HX67" s="105"/>
      <c r="HY67" s="105"/>
      <c r="HZ67" s="105"/>
      <c r="IA67" s="105"/>
      <c r="IB67" s="105"/>
      <c r="IC67" s="105"/>
      <c r="ID67" s="105"/>
      <c r="IE67" s="105"/>
      <c r="IF67" s="105"/>
      <c r="IG67" s="105"/>
      <c r="IH67" s="105"/>
      <c r="II67" s="105"/>
      <c r="IJ67" s="105"/>
      <c r="IK67" s="105"/>
      <c r="IL67" s="105"/>
      <c r="IM67" s="105"/>
      <c r="IN67" s="105"/>
      <c r="IO67" s="105"/>
      <c r="IP67" s="105"/>
      <c r="IQ67" s="105"/>
      <c r="IR67" s="105"/>
      <c r="IS67" s="105"/>
      <c r="IT67" s="105"/>
      <c r="IU67" s="105"/>
      <c r="IV67" s="105"/>
      <c r="IW67" s="105"/>
    </row>
    <row r="68" customFormat="false" ht="12.75" hidden="false" customHeight="false" outlineLevel="0" collapsed="false">
      <c r="A68" s="84"/>
      <c r="B68" s="94"/>
      <c r="C68" s="82" t="s">
        <v>231</v>
      </c>
      <c r="D68" s="174" t="n">
        <v>807647.607466561</v>
      </c>
      <c r="E68" s="173" t="n">
        <v>156274.85331389</v>
      </c>
      <c r="F68" s="174" t="n">
        <v>62217.86405</v>
      </c>
      <c r="G68" s="174" t="n">
        <v>21909.2133</v>
      </c>
      <c r="H68" s="174" t="n">
        <v>352247.73783768</v>
      </c>
      <c r="I68" s="174" t="n">
        <v>3087.8757</v>
      </c>
      <c r="J68" s="175" t="n">
        <f aca="false">D68-SUM(E68:I68,K68)</f>
        <v>211910.063264991</v>
      </c>
      <c r="K68" s="176"/>
      <c r="L68" s="176" t="n">
        <f aca="false">IF(allocation_method&gt;=6,CHOOSE(gen_choice,'Generation Calculations'!H71-'Generation Calculations'!I71+'Generation Calculations'!J71,'Generation Calculations'!G71+'Generation Calculations'!H71-'Generation Calculations'!I71+'Generation Calculations'!J71),0)</f>
        <v>0</v>
      </c>
      <c r="M68" s="176" t="n">
        <f aca="false">'Test Year 2001 Sales and Revs.'!K71</f>
        <v>73520.85</v>
      </c>
      <c r="N68" s="176" t="n">
        <f aca="false">CHOOSE(allocation_method,'RSP Surch Allocations'!E69,'RSP Surch Allocations'!J69,'RSP Surch Allocations'!N69,'RSP Surch Allocations'!Q69,'RSP Surch Allocations'!AA69,'RSP Surch Allocations'!AH69,'RSP Surch Allocations'!AS69,'RSP Surch Allocations'!BD69,'RSP Surch Allocations'!BO69,'RSP Surch Allocations'!BZ69,)</f>
        <v>281355.646643796</v>
      </c>
      <c r="O68" s="155" t="n">
        <f aca="false">SUM(E68:N68)</f>
        <v>1162524.10411036</v>
      </c>
      <c r="P68" s="169" t="n">
        <f aca="false">ROUND(O68-D68,0)</f>
        <v>354876</v>
      </c>
      <c r="Q68" s="185" t="n">
        <v>7352085</v>
      </c>
      <c r="R68" s="178" t="n">
        <f aca="false">D68/$Q68*100</f>
        <v>10.9852865883156</v>
      </c>
      <c r="S68" s="178" t="n">
        <f aca="false">E68/$Q68*100</f>
        <v>2.12558550824548</v>
      </c>
      <c r="T68" s="178" t="n">
        <f aca="false">F68/$Q68*100</f>
        <v>0.846261489767869</v>
      </c>
      <c r="U68" s="178" t="n">
        <f aca="false">G68/$Q68*100</f>
        <v>0.298</v>
      </c>
      <c r="V68" s="178" t="n">
        <f aca="false">H68/$Q68*100</f>
        <v>4.79112711343354</v>
      </c>
      <c r="W68" s="178" t="n">
        <f aca="false">I68/$Q68*100</f>
        <v>0.042</v>
      </c>
      <c r="X68" s="178" t="n">
        <f aca="false">J68/$Q68*100</f>
        <v>2.88231247686868</v>
      </c>
      <c r="Y68" s="178" t="n">
        <f aca="false">K68/$Q68*100</f>
        <v>0</v>
      </c>
      <c r="Z68" s="178" t="n">
        <f aca="false">L68/$Q68*100</f>
        <v>0</v>
      </c>
      <c r="AA68" s="150" t="n">
        <f aca="false">M68/$Q68*100</f>
        <v>1</v>
      </c>
      <c r="AB68" s="178" t="n">
        <f aca="false">N68/$Q68*100</f>
        <v>3.82688239654187</v>
      </c>
      <c r="AC68" s="178" t="n">
        <f aca="false">O68/$Q68*100</f>
        <v>15.8121689848574</v>
      </c>
      <c r="AD68" s="178"/>
      <c r="AE68" s="157"/>
      <c r="AF68" s="151" t="n">
        <f aca="false">(AC68-AG68)/AG68</f>
        <v>0.319298363734805</v>
      </c>
      <c r="AG68" s="152" t="n">
        <f aca="false">AA68+R68</f>
        <v>11.9852865883156</v>
      </c>
      <c r="AH68" s="152"/>
      <c r="AI68" s="151"/>
      <c r="AJ68" s="151"/>
      <c r="AK68" s="151"/>
      <c r="AL68" s="151"/>
      <c r="AM68" s="151"/>
      <c r="AN68" s="179"/>
      <c r="AO68" s="179"/>
      <c r="AP68" s="179"/>
      <c r="AQ68" s="180"/>
      <c r="AR68" s="179"/>
      <c r="AS68" s="181"/>
      <c r="AT68" s="181"/>
      <c r="AU68" s="179"/>
      <c r="AV68" s="181"/>
      <c r="AW68" s="179"/>
      <c r="AX68" s="181"/>
      <c r="AY68" s="179"/>
      <c r="AZ68" s="181"/>
      <c r="BA68" s="179"/>
      <c r="BB68" s="181"/>
      <c r="BC68" s="179"/>
      <c r="BD68" s="181"/>
      <c r="BE68" s="179"/>
      <c r="BF68" s="182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  <c r="FW68" s="105"/>
      <c r="FX68" s="105"/>
      <c r="FY68" s="105"/>
      <c r="FZ68" s="105"/>
      <c r="GA68" s="105"/>
      <c r="GB68" s="105"/>
      <c r="GC68" s="105"/>
      <c r="GD68" s="105"/>
      <c r="GE68" s="105"/>
      <c r="GF68" s="105"/>
      <c r="GG68" s="105"/>
      <c r="GH68" s="105"/>
      <c r="GI68" s="105"/>
      <c r="GJ68" s="105"/>
      <c r="GK68" s="105"/>
      <c r="GL68" s="105"/>
      <c r="GM68" s="105"/>
      <c r="GN68" s="105"/>
      <c r="GO68" s="105"/>
      <c r="GP68" s="105"/>
      <c r="GQ68" s="105"/>
      <c r="GR68" s="105"/>
      <c r="GS68" s="105"/>
      <c r="GT68" s="105"/>
      <c r="GU68" s="105"/>
      <c r="GV68" s="105"/>
      <c r="GW68" s="105"/>
      <c r="GX68" s="105"/>
      <c r="GY68" s="105"/>
      <c r="GZ68" s="105"/>
      <c r="HA68" s="105"/>
      <c r="HB68" s="105"/>
      <c r="HC68" s="105"/>
      <c r="HD68" s="105"/>
      <c r="HE68" s="105"/>
      <c r="HF68" s="105"/>
      <c r="HG68" s="105"/>
      <c r="HH68" s="105"/>
      <c r="HI68" s="105"/>
      <c r="HJ68" s="105"/>
      <c r="HK68" s="105"/>
      <c r="HL68" s="105"/>
      <c r="HM68" s="105"/>
      <c r="HN68" s="105"/>
      <c r="HO68" s="105"/>
      <c r="HP68" s="105"/>
      <c r="HQ68" s="105"/>
      <c r="HR68" s="105"/>
      <c r="HS68" s="105"/>
      <c r="HT68" s="105"/>
      <c r="HU68" s="105"/>
      <c r="HV68" s="105"/>
      <c r="HW68" s="105"/>
      <c r="HX68" s="105"/>
      <c r="HY68" s="105"/>
      <c r="HZ68" s="105"/>
      <c r="IA68" s="105"/>
      <c r="IB68" s="105"/>
      <c r="IC68" s="105"/>
      <c r="ID68" s="105"/>
      <c r="IE68" s="105"/>
      <c r="IF68" s="105"/>
      <c r="IG68" s="105"/>
      <c r="IH68" s="105"/>
      <c r="II68" s="105"/>
      <c r="IJ68" s="105"/>
      <c r="IK68" s="105"/>
      <c r="IL68" s="105"/>
      <c r="IM68" s="105"/>
      <c r="IN68" s="105"/>
      <c r="IO68" s="105"/>
      <c r="IP68" s="105"/>
      <c r="IQ68" s="105"/>
      <c r="IR68" s="105"/>
      <c r="IS68" s="105"/>
      <c r="IT68" s="105"/>
      <c r="IU68" s="105"/>
      <c r="IV68" s="105"/>
      <c r="IW68" s="105"/>
    </row>
    <row r="69" customFormat="false" ht="12.75" hidden="false" customHeight="false" outlineLevel="0" collapsed="false">
      <c r="A69" s="84"/>
      <c r="B69" s="95" t="s">
        <v>323</v>
      </c>
      <c r="C69" s="98"/>
      <c r="D69" s="155" t="n">
        <f aca="false">SUM(D66:D68)</f>
        <v>16785978.5808157</v>
      </c>
      <c r="E69" s="155" t="n">
        <f aca="false">SUM(E66:E68)</f>
        <v>3535263.06480942</v>
      </c>
      <c r="F69" s="155" t="n">
        <f aca="false">SUM(F66:F68)</f>
        <v>2480109.2017</v>
      </c>
      <c r="G69" s="155" t="n">
        <f aca="false">SUM(G66:G68)</f>
        <v>481823.00701</v>
      </c>
      <c r="H69" s="155" t="n">
        <f aca="false">SUM(H66:H68)</f>
        <v>4712251.68392221</v>
      </c>
      <c r="I69" s="155" t="n">
        <f aca="false">SUM(I66:I68)</f>
        <v>68359.75911</v>
      </c>
      <c r="J69" s="155" t="n">
        <f aca="false">SUM(J66:J68)</f>
        <v>5508171.86426407</v>
      </c>
      <c r="K69" s="155" t="n">
        <f aca="false">SUM(K66:K68)</f>
        <v>0</v>
      </c>
      <c r="L69" s="155" t="n">
        <f aca="false">SUM(L66:L68)</f>
        <v>0</v>
      </c>
      <c r="M69" s="155" t="n">
        <f aca="false">SUM(M66:M68)</f>
        <v>1663665.4</v>
      </c>
      <c r="N69" s="155" t="n">
        <f aca="false">SUM(N66:N68)</f>
        <v>6366651.83299579</v>
      </c>
      <c r="O69" s="155" t="n">
        <f aca="false">SUM(O66:O68)</f>
        <v>24816295.8138115</v>
      </c>
      <c r="P69" s="169" t="n">
        <f aca="false">ROUND(O69-D69,0)</f>
        <v>8030317</v>
      </c>
      <c r="Q69" s="159" t="n">
        <f aca="false">SUM(Q66:Q68)</f>
        <v>166366540</v>
      </c>
      <c r="R69" s="152" t="n">
        <f aca="false">D69/$Q69*100</f>
        <v>10.089756378185</v>
      </c>
      <c r="S69" s="152" t="n">
        <f aca="false">E69/$Q69*100</f>
        <v>2.12498442584033</v>
      </c>
      <c r="T69" s="152" t="n">
        <f aca="false">F69/$Q69*100</f>
        <v>1.4907500039972</v>
      </c>
      <c r="U69" s="152" t="n">
        <f aca="false">G69/$Q69*100</f>
        <v>0.289615331911092</v>
      </c>
      <c r="V69" s="152" t="n">
        <f aca="false">H69/$Q69*100</f>
        <v>2.83245157585306</v>
      </c>
      <c r="W69" s="152" t="n">
        <f aca="false">I69/$Q69*100</f>
        <v>0.0410898484214434</v>
      </c>
      <c r="X69" s="152" t="n">
        <f aca="false">J69/$Q69*100</f>
        <v>3.31086519216188</v>
      </c>
      <c r="Y69" s="152" t="n">
        <f aca="false">K69/$Q69*100</f>
        <v>0</v>
      </c>
      <c r="Z69" s="152" t="n">
        <f aca="false">L69/$Q69*100</f>
        <v>0</v>
      </c>
      <c r="AA69" s="154" t="n">
        <f aca="false">M69/$Q69*100</f>
        <v>1</v>
      </c>
      <c r="AB69" s="152" t="n">
        <f aca="false">N69/$Q69*100</f>
        <v>3.82688239654187</v>
      </c>
      <c r="AC69" s="152" t="n">
        <f aca="false">O69/$Q69*100</f>
        <v>14.9166387747269</v>
      </c>
      <c r="AD69" s="152"/>
      <c r="AE69" s="157"/>
      <c r="AF69" s="141" t="n">
        <f aca="false">(AC69-AG69)/AG69</f>
        <v>0.34508263897211</v>
      </c>
      <c r="AG69" s="152" t="n">
        <f aca="false">AA69+R69</f>
        <v>11.089756378185</v>
      </c>
      <c r="AH69" s="152"/>
      <c r="AI69" s="141"/>
      <c r="AJ69" s="141"/>
      <c r="AK69" s="141"/>
      <c r="AL69" s="141"/>
      <c r="AM69" s="141"/>
      <c r="AN69" s="162"/>
      <c r="AO69" s="162"/>
      <c r="AP69" s="162"/>
      <c r="AQ69" s="158"/>
      <c r="AR69" s="162"/>
      <c r="AS69" s="163"/>
      <c r="AT69" s="163"/>
      <c r="AU69" s="162"/>
      <c r="AV69" s="163"/>
      <c r="AW69" s="162"/>
      <c r="AX69" s="163"/>
      <c r="AY69" s="162"/>
      <c r="AZ69" s="163"/>
      <c r="BA69" s="162"/>
      <c r="BB69" s="163"/>
      <c r="BC69" s="162"/>
      <c r="BD69" s="163"/>
      <c r="BE69" s="162"/>
      <c r="BF69" s="164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  <c r="BS69" s="171"/>
      <c r="BT69" s="171"/>
      <c r="BU69" s="171"/>
      <c r="BV69" s="171"/>
      <c r="BW69" s="171"/>
      <c r="BX69" s="171"/>
      <c r="BY69" s="171"/>
      <c r="BZ69" s="171"/>
      <c r="CA69" s="171"/>
      <c r="CB69" s="171"/>
      <c r="CC69" s="171"/>
      <c r="CD69" s="171"/>
      <c r="CE69" s="171"/>
      <c r="CF69" s="171"/>
      <c r="CG69" s="171"/>
      <c r="CH69" s="171"/>
      <c r="CI69" s="171"/>
      <c r="CJ69" s="171"/>
      <c r="CK69" s="171"/>
      <c r="CL69" s="171"/>
      <c r="CM69" s="171"/>
      <c r="CN69" s="171"/>
      <c r="CO69" s="171"/>
      <c r="CP69" s="171"/>
      <c r="CQ69" s="171"/>
      <c r="CR69" s="171"/>
      <c r="CS69" s="171"/>
      <c r="CT69" s="171"/>
      <c r="CU69" s="171"/>
      <c r="CV69" s="171"/>
      <c r="CW69" s="171"/>
      <c r="CX69" s="171"/>
      <c r="CY69" s="171"/>
      <c r="CZ69" s="171"/>
      <c r="DA69" s="171"/>
      <c r="DB69" s="171"/>
      <c r="DC69" s="171"/>
      <c r="DD69" s="171"/>
      <c r="DE69" s="171"/>
      <c r="DF69" s="171"/>
      <c r="DG69" s="171"/>
      <c r="DH69" s="171"/>
      <c r="DI69" s="171"/>
      <c r="DJ69" s="171"/>
      <c r="DK69" s="171"/>
      <c r="DL69" s="171"/>
      <c r="DM69" s="171"/>
      <c r="DN69" s="171"/>
      <c r="DO69" s="171"/>
      <c r="DP69" s="171"/>
      <c r="DQ69" s="171"/>
      <c r="DR69" s="171"/>
      <c r="DS69" s="171"/>
      <c r="DT69" s="171"/>
      <c r="DU69" s="171"/>
      <c r="DV69" s="171"/>
      <c r="DW69" s="171"/>
      <c r="DX69" s="171"/>
      <c r="DY69" s="171"/>
      <c r="DZ69" s="171"/>
      <c r="EA69" s="171"/>
      <c r="EB69" s="171"/>
      <c r="EC69" s="171"/>
      <c r="ED69" s="171"/>
      <c r="EE69" s="171"/>
      <c r="EF69" s="171"/>
      <c r="EG69" s="171"/>
      <c r="EH69" s="171"/>
      <c r="EI69" s="171"/>
      <c r="EJ69" s="171"/>
      <c r="EK69" s="171"/>
      <c r="EL69" s="171"/>
      <c r="EM69" s="171"/>
      <c r="EN69" s="171"/>
      <c r="EO69" s="171"/>
      <c r="EP69" s="171"/>
      <c r="EQ69" s="171"/>
      <c r="ER69" s="171"/>
      <c r="ES69" s="171"/>
      <c r="ET69" s="171"/>
      <c r="EU69" s="171"/>
      <c r="EV69" s="171"/>
      <c r="EW69" s="171"/>
      <c r="EX69" s="171"/>
      <c r="EY69" s="171"/>
      <c r="EZ69" s="171"/>
      <c r="FA69" s="171"/>
      <c r="FB69" s="171"/>
      <c r="FC69" s="171"/>
      <c r="FD69" s="171"/>
      <c r="FE69" s="171"/>
      <c r="FF69" s="171"/>
      <c r="FG69" s="171"/>
      <c r="FH69" s="171"/>
      <c r="FI69" s="171"/>
      <c r="FJ69" s="171"/>
      <c r="FK69" s="171"/>
      <c r="FL69" s="171"/>
      <c r="FM69" s="171"/>
      <c r="FN69" s="171"/>
      <c r="FO69" s="171"/>
      <c r="FP69" s="171"/>
      <c r="FQ69" s="171"/>
      <c r="FR69" s="171"/>
      <c r="FS69" s="171"/>
      <c r="FT69" s="171"/>
      <c r="FU69" s="171"/>
      <c r="FV69" s="171"/>
      <c r="FW69" s="171"/>
      <c r="FX69" s="171"/>
      <c r="FY69" s="171"/>
      <c r="FZ69" s="171"/>
      <c r="GA69" s="171"/>
      <c r="GB69" s="171"/>
      <c r="GC69" s="171"/>
      <c r="GD69" s="171"/>
      <c r="GE69" s="171"/>
      <c r="GF69" s="171"/>
      <c r="GG69" s="171"/>
      <c r="GH69" s="171"/>
      <c r="GI69" s="171"/>
      <c r="GJ69" s="171"/>
      <c r="GK69" s="171"/>
      <c r="GL69" s="171"/>
      <c r="GM69" s="171"/>
      <c r="GN69" s="171"/>
      <c r="GO69" s="171"/>
      <c r="GP69" s="171"/>
      <c r="GQ69" s="171"/>
      <c r="GR69" s="171"/>
      <c r="GS69" s="171"/>
      <c r="GT69" s="171"/>
      <c r="GU69" s="171"/>
      <c r="GV69" s="171"/>
      <c r="GW69" s="171"/>
      <c r="GX69" s="171"/>
      <c r="GY69" s="171"/>
      <c r="GZ69" s="171"/>
      <c r="HA69" s="171"/>
      <c r="HB69" s="171"/>
      <c r="HC69" s="171"/>
      <c r="HD69" s="171"/>
      <c r="HE69" s="171"/>
      <c r="HF69" s="171"/>
      <c r="HG69" s="171"/>
      <c r="HH69" s="171"/>
      <c r="HI69" s="171"/>
      <c r="HJ69" s="171"/>
      <c r="HK69" s="171"/>
      <c r="HL69" s="171"/>
      <c r="HM69" s="171"/>
      <c r="HN69" s="171"/>
      <c r="HO69" s="171"/>
      <c r="HP69" s="171"/>
      <c r="HQ69" s="171"/>
      <c r="HR69" s="171"/>
      <c r="HS69" s="171"/>
      <c r="HT69" s="171"/>
      <c r="HU69" s="171"/>
      <c r="HV69" s="171"/>
      <c r="HW69" s="171"/>
      <c r="HX69" s="171"/>
      <c r="HY69" s="171"/>
      <c r="HZ69" s="171"/>
      <c r="IA69" s="171"/>
      <c r="IB69" s="171"/>
      <c r="IC69" s="171"/>
      <c r="ID69" s="171"/>
      <c r="IE69" s="171"/>
      <c r="IF69" s="171"/>
      <c r="IG69" s="171"/>
      <c r="IH69" s="171"/>
      <c r="II69" s="171"/>
      <c r="IJ69" s="171"/>
      <c r="IK69" s="171"/>
      <c r="IL69" s="171"/>
      <c r="IM69" s="171"/>
      <c r="IN69" s="171"/>
      <c r="IO69" s="171"/>
      <c r="IP69" s="171"/>
      <c r="IQ69" s="171"/>
      <c r="IR69" s="171"/>
      <c r="IS69" s="171"/>
      <c r="IT69" s="171"/>
      <c r="IU69" s="171"/>
      <c r="IV69" s="171"/>
      <c r="IW69" s="171"/>
    </row>
    <row r="70" customFormat="false" ht="12.75" hidden="false" customHeight="false" outlineLevel="0" collapsed="false">
      <c r="A70" s="84"/>
      <c r="B70" s="85"/>
      <c r="C70" s="82"/>
      <c r="D70" s="167"/>
      <c r="E70" s="156"/>
      <c r="F70" s="167"/>
      <c r="G70" s="167"/>
      <c r="H70" s="167"/>
      <c r="I70" s="167"/>
      <c r="J70" s="155"/>
      <c r="K70" s="155"/>
      <c r="L70" s="155"/>
      <c r="M70" s="155"/>
      <c r="N70" s="155"/>
      <c r="O70" s="155"/>
      <c r="P70" s="169"/>
      <c r="Q70" s="159"/>
      <c r="R70" s="152"/>
      <c r="S70" s="152"/>
      <c r="T70" s="152"/>
      <c r="U70" s="152"/>
      <c r="V70" s="152"/>
      <c r="W70" s="152"/>
      <c r="X70" s="152"/>
      <c r="Y70" s="152"/>
      <c r="Z70" s="152"/>
      <c r="AA70" s="154"/>
      <c r="AB70" s="152"/>
      <c r="AC70" s="152"/>
      <c r="AD70" s="152"/>
      <c r="AE70" s="157"/>
      <c r="AF70" s="141"/>
      <c r="AG70" s="152" t="n">
        <f aca="false">AA70+R70</f>
        <v>0</v>
      </c>
      <c r="AH70" s="152"/>
      <c r="AI70" s="141"/>
      <c r="AJ70" s="141"/>
      <c r="AK70" s="141"/>
      <c r="AL70" s="141"/>
      <c r="AM70" s="141"/>
      <c r="AN70" s="158"/>
      <c r="AO70" s="158"/>
      <c r="AP70" s="162"/>
      <c r="AQ70" s="158"/>
      <c r="AR70" s="162"/>
      <c r="AS70" s="163"/>
      <c r="AT70" s="163"/>
      <c r="AU70" s="162"/>
      <c r="AV70" s="163"/>
      <c r="AW70" s="162"/>
      <c r="AX70" s="163"/>
      <c r="AY70" s="162"/>
      <c r="AZ70" s="163"/>
      <c r="BA70" s="162"/>
      <c r="BB70" s="163"/>
      <c r="BC70" s="162"/>
      <c r="BD70" s="163"/>
      <c r="BE70" s="158"/>
      <c r="BF70" s="164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5"/>
      <c r="FX70" s="105"/>
      <c r="FY70" s="105"/>
      <c r="FZ70" s="105"/>
      <c r="GA70" s="105"/>
      <c r="GB70" s="105"/>
      <c r="GC70" s="105"/>
      <c r="GD70" s="105"/>
      <c r="GE70" s="105"/>
      <c r="GF70" s="105"/>
      <c r="GG70" s="105"/>
      <c r="GH70" s="105"/>
      <c r="GI70" s="105"/>
      <c r="GJ70" s="105"/>
      <c r="GK70" s="105"/>
      <c r="GL70" s="105"/>
      <c r="GM70" s="105"/>
      <c r="GN70" s="105"/>
      <c r="GO70" s="105"/>
      <c r="GP70" s="105"/>
      <c r="GQ70" s="105"/>
      <c r="GR70" s="105"/>
      <c r="GS70" s="105"/>
      <c r="GT70" s="105"/>
      <c r="GU70" s="105"/>
      <c r="GV70" s="105"/>
      <c r="GW70" s="105"/>
      <c r="GX70" s="105"/>
      <c r="GY70" s="105"/>
      <c r="GZ70" s="105"/>
      <c r="HA70" s="105"/>
      <c r="HB70" s="105"/>
      <c r="HC70" s="105"/>
      <c r="HD70" s="105"/>
      <c r="HE70" s="105"/>
      <c r="HF70" s="105"/>
      <c r="HG70" s="105"/>
      <c r="HH70" s="105"/>
      <c r="HI70" s="105"/>
      <c r="HJ70" s="105"/>
      <c r="HK70" s="105"/>
      <c r="HL70" s="105"/>
      <c r="HM70" s="105"/>
      <c r="HN70" s="105"/>
      <c r="HO70" s="105"/>
      <c r="HP70" s="105"/>
      <c r="HQ70" s="105"/>
      <c r="HR70" s="105"/>
      <c r="HS70" s="105"/>
      <c r="HT70" s="105"/>
      <c r="HU70" s="105"/>
      <c r="HV70" s="105"/>
      <c r="HW70" s="105"/>
      <c r="HX70" s="105"/>
      <c r="HY70" s="105"/>
      <c r="HZ70" s="105"/>
      <c r="IA70" s="105"/>
      <c r="IB70" s="105"/>
      <c r="IC70" s="105"/>
      <c r="ID70" s="105"/>
      <c r="IE70" s="105"/>
      <c r="IF70" s="105"/>
      <c r="IG70" s="105"/>
      <c r="IH70" s="105"/>
      <c r="II70" s="105"/>
      <c r="IJ70" s="105"/>
      <c r="IK70" s="105"/>
      <c r="IL70" s="105"/>
      <c r="IM70" s="105"/>
      <c r="IN70" s="105"/>
      <c r="IO70" s="105"/>
      <c r="IP70" s="105"/>
      <c r="IQ70" s="105"/>
      <c r="IR70" s="105"/>
      <c r="IS70" s="105"/>
      <c r="IT70" s="105"/>
      <c r="IU70" s="105"/>
      <c r="IV70" s="105"/>
      <c r="IW70" s="105"/>
    </row>
    <row r="71" customFormat="false" ht="12.75" hidden="false" customHeight="false" outlineLevel="0" collapsed="false">
      <c r="A71" s="84"/>
      <c r="B71" s="94" t="s">
        <v>324</v>
      </c>
      <c r="C71" s="79" t="s">
        <v>231</v>
      </c>
      <c r="D71" s="167" t="n">
        <v>37890961.7857262</v>
      </c>
      <c r="E71" s="166" t="n">
        <v>1267857.47928616</v>
      </c>
      <c r="F71" s="167" t="n">
        <v>393600.86226375</v>
      </c>
      <c r="G71" s="167" t="n">
        <v>1020846.07199</v>
      </c>
      <c r="H71" s="167" t="n">
        <v>19180294.319205</v>
      </c>
      <c r="I71" s="167" t="n">
        <v>154564.7221675</v>
      </c>
      <c r="J71" s="155" t="n">
        <f aca="false">D71-SUM(E71:I71,K71)</f>
        <v>15873798.3308138</v>
      </c>
      <c r="K71" s="168"/>
      <c r="L71" s="168" t="n">
        <f aca="false">IF(allocation_method&gt;=6,CHOOSE(gen_choice,'Generation Calculations'!H75-'Generation Calculations'!I75+'Generation Calculations'!J75,'Generation Calculations'!G75+'Generation Calculations'!H75-'Generation Calculations'!I75+'Generation Calculations'!J75),0)</f>
        <v>0</v>
      </c>
      <c r="M71" s="168" t="n">
        <f aca="false">'Test Year 2001 Sales and Revs.'!K75</f>
        <v>1797264.21125</v>
      </c>
      <c r="N71" s="168" t="n">
        <f aca="false">CHOOSE(allocation_method,'RSP Surch Allocations'!E72,'RSP Surch Allocations'!J72,'RSP Surch Allocations'!N72,'RSP Surch Allocations'!Q72,'RSP Surch Allocations'!AA72,'RSP Surch Allocations'!AH72,'RSP Surch Allocations'!AS72,'RSP Surch Allocations'!BD72,'RSP Surch Allocations'!BO72,'RSP Surch Allocations'!BZ72,)</f>
        <v>6877918.77196734</v>
      </c>
      <c r="O71" s="155" t="n">
        <f aca="false">SUM(E71:N71)</f>
        <v>46566144.7689436</v>
      </c>
      <c r="P71" s="169" t="n">
        <f aca="false">ROUND(O71-D71,0)</f>
        <v>8675183</v>
      </c>
      <c r="Q71" s="170" t="n">
        <f aca="false">'Test Year 2001 Sales and Revs.'!F75</f>
        <v>179726421.125</v>
      </c>
      <c r="R71" s="152" t="n">
        <f aca="false">D71/$Q71*100</f>
        <v>21.0825773687292</v>
      </c>
      <c r="S71" s="152" t="n">
        <f aca="false">E71/$Q71*100</f>
        <v>0.705437448400737</v>
      </c>
      <c r="T71" s="152" t="n">
        <f aca="false">F71/$Q71*100</f>
        <v>0.219</v>
      </c>
      <c r="U71" s="152" t="n">
        <f aca="false">G71/$Q71*100</f>
        <v>0.568</v>
      </c>
      <c r="V71" s="152" t="n">
        <f aca="false">H71/$Q71*100</f>
        <v>10.6719391612795</v>
      </c>
      <c r="W71" s="152" t="n">
        <f aca="false">I71/$Q71*100</f>
        <v>0.086</v>
      </c>
      <c r="X71" s="152" t="n">
        <f aca="false">J71/$Q71*100</f>
        <v>8.832200759049</v>
      </c>
      <c r="Y71" s="152" t="n">
        <f aca="false">K71/$Q71*100</f>
        <v>0</v>
      </c>
      <c r="Z71" s="152" t="n">
        <f aca="false">L71/$Q71*100</f>
        <v>0</v>
      </c>
      <c r="AA71" s="154" t="n">
        <f aca="false">M71/$Q71*100</f>
        <v>1</v>
      </c>
      <c r="AB71" s="152" t="n">
        <f aca="false">N71/$Q71*100</f>
        <v>3.82688239654187</v>
      </c>
      <c r="AC71" s="152" t="n">
        <f aca="false">O71/$Q71*100</f>
        <v>25.9094597652711</v>
      </c>
      <c r="AD71" s="152"/>
      <c r="AE71" s="157"/>
      <c r="AF71" s="141" t="n">
        <f aca="false">(AC71-AG71)/AG71</f>
        <v>0.173298720192013</v>
      </c>
      <c r="AG71" s="152" t="n">
        <f aca="false">AA71+R71</f>
        <v>22.0825773687292</v>
      </c>
      <c r="AH71" s="152"/>
      <c r="AI71" s="141"/>
      <c r="AJ71" s="141"/>
      <c r="AK71" s="141"/>
      <c r="AL71" s="141"/>
      <c r="AM71" s="141"/>
      <c r="AN71" s="162"/>
      <c r="AO71" s="162"/>
      <c r="AP71" s="162"/>
      <c r="AQ71" s="158"/>
      <c r="AR71" s="162"/>
      <c r="AS71" s="163"/>
      <c r="AT71" s="163"/>
      <c r="AU71" s="162"/>
      <c r="AV71" s="163"/>
      <c r="AW71" s="162"/>
      <c r="AX71" s="163"/>
      <c r="AY71" s="162"/>
      <c r="AZ71" s="163"/>
      <c r="BA71" s="162"/>
      <c r="BB71" s="163"/>
      <c r="BC71" s="162"/>
      <c r="BD71" s="163"/>
      <c r="BE71" s="162"/>
      <c r="BF71" s="164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5"/>
      <c r="FE71" s="105"/>
      <c r="FF71" s="105"/>
      <c r="FG71" s="105"/>
      <c r="FH71" s="105"/>
      <c r="FI71" s="105"/>
      <c r="FJ71" s="105"/>
      <c r="FK71" s="105"/>
      <c r="FL71" s="105"/>
      <c r="FM71" s="105"/>
      <c r="FN71" s="105"/>
      <c r="FO71" s="105"/>
      <c r="FP71" s="105"/>
      <c r="FQ71" s="105"/>
      <c r="FR71" s="105"/>
      <c r="FS71" s="105"/>
      <c r="FT71" s="105"/>
      <c r="FU71" s="105"/>
      <c r="FV71" s="105"/>
      <c r="FW71" s="105"/>
      <c r="FX71" s="105"/>
      <c r="FY71" s="105"/>
      <c r="FZ71" s="105"/>
      <c r="GA71" s="105"/>
      <c r="GB71" s="105"/>
      <c r="GC71" s="105"/>
      <c r="GD71" s="105"/>
      <c r="GE71" s="105"/>
      <c r="GF71" s="105"/>
      <c r="GG71" s="105"/>
      <c r="GH71" s="105"/>
      <c r="GI71" s="105"/>
      <c r="GJ71" s="105"/>
      <c r="GK71" s="105"/>
      <c r="GL71" s="105"/>
      <c r="GM71" s="105"/>
      <c r="GN71" s="105"/>
      <c r="GO71" s="105"/>
      <c r="GP71" s="105"/>
      <c r="GQ71" s="105"/>
      <c r="GR71" s="105"/>
      <c r="GS71" s="105"/>
      <c r="GT71" s="105"/>
      <c r="GU71" s="105"/>
      <c r="GV71" s="105"/>
      <c r="GW71" s="105"/>
      <c r="GX71" s="105"/>
      <c r="GY71" s="105"/>
      <c r="GZ71" s="105"/>
      <c r="HA71" s="105"/>
      <c r="HB71" s="105"/>
      <c r="HC71" s="105"/>
      <c r="HD71" s="105"/>
      <c r="HE71" s="105"/>
      <c r="HF71" s="105"/>
      <c r="HG71" s="105"/>
      <c r="HH71" s="105"/>
      <c r="HI71" s="105"/>
      <c r="HJ71" s="105"/>
      <c r="HK71" s="105"/>
      <c r="HL71" s="105"/>
      <c r="HM71" s="105"/>
      <c r="HN71" s="105"/>
      <c r="HO71" s="105"/>
      <c r="HP71" s="105"/>
      <c r="HQ71" s="105"/>
      <c r="HR71" s="105"/>
      <c r="HS71" s="105"/>
      <c r="HT71" s="105"/>
      <c r="HU71" s="105"/>
      <c r="HV71" s="105"/>
      <c r="HW71" s="105"/>
      <c r="HX71" s="105"/>
      <c r="HY71" s="105"/>
      <c r="HZ71" s="105"/>
      <c r="IA71" s="105"/>
      <c r="IB71" s="105"/>
      <c r="IC71" s="105"/>
      <c r="ID71" s="105"/>
      <c r="IE71" s="105"/>
      <c r="IF71" s="105"/>
      <c r="IG71" s="105"/>
      <c r="IH71" s="105"/>
      <c r="II71" s="105"/>
      <c r="IJ71" s="105"/>
      <c r="IK71" s="105"/>
      <c r="IL71" s="105"/>
      <c r="IM71" s="105"/>
      <c r="IN71" s="105"/>
      <c r="IO71" s="105"/>
      <c r="IP71" s="105"/>
      <c r="IQ71" s="105"/>
      <c r="IR71" s="105"/>
      <c r="IS71" s="105"/>
      <c r="IT71" s="105"/>
      <c r="IU71" s="105"/>
      <c r="IV71" s="105"/>
      <c r="IW71" s="105"/>
    </row>
    <row r="72" customFormat="false" ht="12.75" hidden="false" customHeight="false" outlineLevel="0" collapsed="false">
      <c r="A72" s="84"/>
      <c r="B72" s="94" t="s">
        <v>325</v>
      </c>
      <c r="C72" s="79" t="s">
        <v>231</v>
      </c>
      <c r="D72" s="167" t="n">
        <v>4320739.15077903</v>
      </c>
      <c r="E72" s="166" t="n">
        <v>202860.290875622</v>
      </c>
      <c r="F72" s="167" t="n">
        <v>62977.09854</v>
      </c>
      <c r="G72" s="167" t="n">
        <v>120202.86388</v>
      </c>
      <c r="H72" s="167" t="n">
        <v>2027762.76834544</v>
      </c>
      <c r="I72" s="167" t="n">
        <v>17829.13292</v>
      </c>
      <c r="J72" s="155" t="n">
        <f aca="false">D72-SUM(E72:I72,K72)</f>
        <v>1889106.99621797</v>
      </c>
      <c r="K72" s="168"/>
      <c r="L72" s="168" t="n">
        <f aca="false">IF(allocation_method&gt;=6,CHOOSE(gen_choice,'Generation Calculations'!H76-'Generation Calculations'!I76+'Generation Calculations'!J76,'Generation Calculations'!G76+'Generation Calculations'!H76-'Generation Calculations'!I76+'Generation Calculations'!J76),0)</f>
        <v>0</v>
      </c>
      <c r="M72" s="168" t="n">
        <f aca="false">'Test Year 2001 Sales and Revs.'!K76</f>
        <v>287566.66</v>
      </c>
      <c r="N72" s="168" t="n">
        <f aca="false">CHOOSE(allocation_method,'RSP Surch Allocations'!E73,'RSP Surch Allocations'!J73,'RSP Surch Allocations'!N73,'RSP Surch Allocations'!Q73,'RSP Surch Allocations'!AA73,'RSP Surch Allocations'!AH73,'RSP Surch Allocations'!AS73,'RSP Surch Allocations'!BD73,'RSP Surch Allocations'!BO73,'RSP Surch Allocations'!BZ73,)</f>
        <v>1100483.78898634</v>
      </c>
      <c r="O72" s="155" t="n">
        <f aca="false">SUM(E72:N72)</f>
        <v>5708789.59976537</v>
      </c>
      <c r="P72" s="169" t="n">
        <f aca="false">ROUND(O72-D72,0)</f>
        <v>1388050</v>
      </c>
      <c r="Q72" s="170" t="n">
        <f aca="false">'Test Year 2001 Sales and Revs.'!F76</f>
        <v>28756666</v>
      </c>
      <c r="R72" s="152" t="n">
        <f aca="false">D72/$Q72*100</f>
        <v>15.0251741658057</v>
      </c>
      <c r="S72" s="152" t="n">
        <f aca="false">E72/$Q72*100</f>
        <v>0.705437448401084</v>
      </c>
      <c r="T72" s="152" t="n">
        <f aca="false">F72/$Q72*100</f>
        <v>0.219</v>
      </c>
      <c r="U72" s="152" t="n">
        <f aca="false">G72/$Q72*100</f>
        <v>0.418</v>
      </c>
      <c r="V72" s="152" t="n">
        <f aca="false">H72/$Q72*100</f>
        <v>7.05145293388822</v>
      </c>
      <c r="W72" s="152" t="n">
        <f aca="false">I72/$Q72*100</f>
        <v>0.062</v>
      </c>
      <c r="X72" s="152" t="n">
        <f aca="false">J72/$Q72*100</f>
        <v>6.56928378351637</v>
      </c>
      <c r="Y72" s="152" t="n">
        <f aca="false">K72/$Q72*100</f>
        <v>0</v>
      </c>
      <c r="Z72" s="152" t="n">
        <f aca="false">L72/$Q72*100</f>
        <v>0</v>
      </c>
      <c r="AA72" s="154" t="n">
        <f aca="false">M72/$Q72*100</f>
        <v>1</v>
      </c>
      <c r="AB72" s="152" t="n">
        <f aca="false">N72/$Q72*100</f>
        <v>3.82688239654187</v>
      </c>
      <c r="AC72" s="152" t="n">
        <f aca="false">O72/$Q72*100</f>
        <v>19.8520565623476</v>
      </c>
      <c r="AD72" s="152"/>
      <c r="AE72" s="157"/>
      <c r="AF72" s="141" t="n">
        <f aca="false">(AC72-AG72)/AG72</f>
        <v>0.23880441840736</v>
      </c>
      <c r="AG72" s="152" t="n">
        <f aca="false">AA72+R72</f>
        <v>16.0251741658057</v>
      </c>
      <c r="AH72" s="152"/>
      <c r="AI72" s="141"/>
      <c r="AJ72" s="141"/>
      <c r="AK72" s="141"/>
      <c r="AL72" s="141"/>
      <c r="AM72" s="141"/>
      <c r="AN72" s="162"/>
      <c r="AO72" s="162"/>
      <c r="AP72" s="162"/>
      <c r="AQ72" s="158"/>
      <c r="AR72" s="162"/>
      <c r="AS72" s="163"/>
      <c r="AT72" s="163"/>
      <c r="AU72" s="162"/>
      <c r="AV72" s="163"/>
      <c r="AW72" s="162"/>
      <c r="AX72" s="163"/>
      <c r="AY72" s="162"/>
      <c r="AZ72" s="163"/>
      <c r="BA72" s="162"/>
      <c r="BB72" s="163"/>
      <c r="BC72" s="162"/>
      <c r="BD72" s="163"/>
      <c r="BE72" s="162"/>
      <c r="BF72" s="164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  <c r="EO72" s="105"/>
      <c r="EP72" s="105"/>
      <c r="EQ72" s="105"/>
      <c r="ER72" s="105"/>
      <c r="ES72" s="105"/>
      <c r="ET72" s="105"/>
      <c r="EU72" s="105"/>
      <c r="EV72" s="105"/>
      <c r="EW72" s="105"/>
      <c r="EX72" s="105"/>
      <c r="EY72" s="105"/>
      <c r="EZ72" s="105"/>
      <c r="FA72" s="105"/>
      <c r="FB72" s="105"/>
      <c r="FC72" s="105"/>
      <c r="FD72" s="105"/>
      <c r="FE72" s="105"/>
      <c r="FF72" s="105"/>
      <c r="FG72" s="105"/>
      <c r="FH72" s="105"/>
      <c r="FI72" s="105"/>
      <c r="FJ72" s="105"/>
      <c r="FK72" s="105"/>
      <c r="FL72" s="105"/>
      <c r="FM72" s="105"/>
      <c r="FN72" s="105"/>
      <c r="FO72" s="105"/>
      <c r="FP72" s="105"/>
      <c r="FQ72" s="105"/>
      <c r="FR72" s="105"/>
      <c r="FS72" s="105"/>
      <c r="FT72" s="105"/>
      <c r="FU72" s="105"/>
      <c r="FV72" s="105"/>
      <c r="FW72" s="105"/>
      <c r="FX72" s="105"/>
      <c r="FY72" s="105"/>
      <c r="FZ72" s="105"/>
      <c r="GA72" s="105"/>
      <c r="GB72" s="105"/>
      <c r="GC72" s="105"/>
      <c r="GD72" s="105"/>
      <c r="GE72" s="105"/>
      <c r="GF72" s="105"/>
      <c r="GG72" s="105"/>
      <c r="GH72" s="105"/>
      <c r="GI72" s="105"/>
      <c r="GJ72" s="105"/>
      <c r="GK72" s="105"/>
      <c r="GL72" s="105"/>
      <c r="GM72" s="105"/>
      <c r="GN72" s="105"/>
      <c r="GO72" s="105"/>
      <c r="GP72" s="105"/>
      <c r="GQ72" s="105"/>
      <c r="GR72" s="105"/>
      <c r="GS72" s="105"/>
      <c r="GT72" s="105"/>
      <c r="GU72" s="105"/>
      <c r="GV72" s="105"/>
      <c r="GW72" s="105"/>
      <c r="GX72" s="105"/>
      <c r="GY72" s="105"/>
      <c r="GZ72" s="105"/>
      <c r="HA72" s="105"/>
      <c r="HB72" s="105"/>
      <c r="HC72" s="105"/>
      <c r="HD72" s="105"/>
      <c r="HE72" s="105"/>
      <c r="HF72" s="105"/>
      <c r="HG72" s="105"/>
      <c r="HH72" s="105"/>
      <c r="HI72" s="105"/>
      <c r="HJ72" s="105"/>
      <c r="HK72" s="105"/>
      <c r="HL72" s="105"/>
      <c r="HM72" s="105"/>
      <c r="HN72" s="105"/>
      <c r="HO72" s="105"/>
      <c r="HP72" s="105"/>
      <c r="HQ72" s="105"/>
      <c r="HR72" s="105"/>
      <c r="HS72" s="105"/>
      <c r="HT72" s="105"/>
      <c r="HU72" s="105"/>
      <c r="HV72" s="105"/>
      <c r="HW72" s="105"/>
      <c r="HX72" s="105"/>
      <c r="HY72" s="105"/>
      <c r="HZ72" s="105"/>
      <c r="IA72" s="105"/>
      <c r="IB72" s="105"/>
      <c r="IC72" s="105"/>
      <c r="ID72" s="105"/>
      <c r="IE72" s="105"/>
      <c r="IF72" s="105"/>
      <c r="IG72" s="105"/>
      <c r="IH72" s="105"/>
      <c r="II72" s="105"/>
      <c r="IJ72" s="105"/>
      <c r="IK72" s="105"/>
      <c r="IL72" s="105"/>
      <c r="IM72" s="105"/>
      <c r="IN72" s="105"/>
      <c r="IO72" s="105"/>
      <c r="IP72" s="105"/>
      <c r="IQ72" s="105"/>
      <c r="IR72" s="105"/>
      <c r="IS72" s="105"/>
      <c r="IT72" s="105"/>
      <c r="IU72" s="105"/>
      <c r="IV72" s="105"/>
      <c r="IW72" s="105"/>
    </row>
    <row r="73" customFormat="false" ht="12.75" hidden="false" customHeight="false" outlineLevel="0" collapsed="false">
      <c r="A73" s="84"/>
      <c r="B73" s="94" t="s">
        <v>326</v>
      </c>
      <c r="C73" s="79" t="s">
        <v>231</v>
      </c>
      <c r="D73" s="167" t="n">
        <v>4615287.22646707</v>
      </c>
      <c r="E73" s="166" t="n">
        <v>219939.002045047</v>
      </c>
      <c r="F73" s="167" t="n">
        <v>68279.11044</v>
      </c>
      <c r="G73" s="167" t="n">
        <v>127516.69474</v>
      </c>
      <c r="H73" s="167" t="n">
        <v>2041712.19665615</v>
      </c>
      <c r="I73" s="167" t="n">
        <v>18706.6056</v>
      </c>
      <c r="J73" s="155" t="n">
        <f aca="false">D73-SUM(E73:I73,K73)</f>
        <v>2139133.61698588</v>
      </c>
      <c r="K73" s="168"/>
      <c r="L73" s="168" t="n">
        <f aca="false">IF(allocation_method&gt;=6,CHOOSE(gen_choice,'Generation Calculations'!H77-'Generation Calculations'!I77+'Generation Calculations'!J77,'Generation Calculations'!G77+'Generation Calculations'!H77-'Generation Calculations'!I77+'Generation Calculations'!J77),0)</f>
        <v>0</v>
      </c>
      <c r="M73" s="168" t="n">
        <f aca="false">'Test Year 2001 Sales and Revs.'!K77</f>
        <v>311776.76</v>
      </c>
      <c r="N73" s="168" t="n">
        <f aca="false">CHOOSE(allocation_method,'RSP Surch Allocations'!E74,'RSP Surch Allocations'!J74,'RSP Surch Allocations'!N74,'RSP Surch Allocations'!Q74,'RSP Surch Allocations'!AA74,'RSP Surch Allocations'!AH74,'RSP Surch Allocations'!AS74,'RSP Surch Allocations'!BD74,'RSP Surch Allocations'!BO74,'RSP Surch Allocations'!BZ74,)</f>
        <v>1193132.99449486</v>
      </c>
      <c r="O73" s="155" t="n">
        <f aca="false">SUM(E73:N73)</f>
        <v>6120196.98096193</v>
      </c>
      <c r="P73" s="169" t="n">
        <f aca="false">ROUND(O73-D73,0)</f>
        <v>1504910</v>
      </c>
      <c r="Q73" s="170" t="n">
        <f aca="false">'Test Year 2001 Sales and Revs.'!F77</f>
        <v>31177676</v>
      </c>
      <c r="R73" s="152" t="n">
        <f aca="false">D73/$Q73*100</f>
        <v>14.8031791287685</v>
      </c>
      <c r="S73" s="152" t="n">
        <f aca="false">E73/$Q73*100</f>
        <v>0.705437448400731</v>
      </c>
      <c r="T73" s="152" t="n">
        <f aca="false">F73/$Q73*100</f>
        <v>0.219</v>
      </c>
      <c r="U73" s="152" t="n">
        <f aca="false">G73/$Q73*100</f>
        <v>0.408999999679258</v>
      </c>
      <c r="V73" s="152" t="n">
        <f aca="false">H73/$Q73*100</f>
        <v>6.54863498054233</v>
      </c>
      <c r="W73" s="152" t="n">
        <f aca="false">I73/$Q73*100</f>
        <v>0.06</v>
      </c>
      <c r="X73" s="152" t="n">
        <f aca="false">J73/$Q73*100</f>
        <v>6.86110670014621</v>
      </c>
      <c r="Y73" s="152" t="n">
        <f aca="false">K73/$Q73*100</f>
        <v>0</v>
      </c>
      <c r="Z73" s="152" t="n">
        <f aca="false">L73/$Q73*100</f>
        <v>0</v>
      </c>
      <c r="AA73" s="154" t="n">
        <f aca="false">M73/$Q73*100</f>
        <v>1</v>
      </c>
      <c r="AB73" s="152" t="n">
        <f aca="false">N73/$Q73*100</f>
        <v>3.82688239654187</v>
      </c>
      <c r="AC73" s="152" t="n">
        <f aca="false">O73/$Q73*100</f>
        <v>19.6300615253104</v>
      </c>
      <c r="AD73" s="152"/>
      <c r="AE73" s="157"/>
      <c r="AF73" s="141" t="n">
        <f aca="false">(AC73-AG73)/AG73</f>
        <v>0.242159021634787</v>
      </c>
      <c r="AG73" s="152" t="n">
        <f aca="false">AA73+R73</f>
        <v>15.8031791287685</v>
      </c>
      <c r="AH73" s="152"/>
      <c r="AI73" s="141"/>
      <c r="AJ73" s="141"/>
      <c r="AK73" s="141"/>
      <c r="AL73" s="141"/>
      <c r="AM73" s="141"/>
      <c r="AN73" s="162"/>
      <c r="AO73" s="162"/>
      <c r="AP73" s="162"/>
      <c r="AQ73" s="158"/>
      <c r="AR73" s="162"/>
      <c r="AS73" s="163"/>
      <c r="AT73" s="163"/>
      <c r="AU73" s="162"/>
      <c r="AV73" s="163"/>
      <c r="AW73" s="162"/>
      <c r="AX73" s="163"/>
      <c r="AY73" s="162"/>
      <c r="AZ73" s="163"/>
      <c r="BA73" s="162"/>
      <c r="BB73" s="163"/>
      <c r="BC73" s="162"/>
      <c r="BD73" s="163"/>
      <c r="BE73" s="162"/>
      <c r="BF73" s="164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  <c r="IW73" s="105"/>
    </row>
    <row r="74" customFormat="false" ht="12.75" hidden="false" customHeight="false" outlineLevel="0" collapsed="false">
      <c r="A74" s="84"/>
      <c r="B74" s="94" t="s">
        <v>327</v>
      </c>
      <c r="C74" s="79" t="s">
        <v>231</v>
      </c>
      <c r="D74" s="168" t="n">
        <f aca="false">'Test Year 2001 Sales and Revs.'!G78</f>
        <v>19414902.0535582</v>
      </c>
      <c r="E74" s="166" t="n">
        <v>960893.074388545</v>
      </c>
      <c r="F74" s="167" t="n">
        <v>298305.09247</v>
      </c>
      <c r="G74" s="167" t="n">
        <v>535314.61803</v>
      </c>
      <c r="H74" s="167" t="n">
        <v>8846134.91796328</v>
      </c>
      <c r="I74" s="167" t="n">
        <v>79003.17518</v>
      </c>
      <c r="J74" s="155" t="n">
        <f aca="false">D74-SUM(E74:I74,K74)</f>
        <v>8695251.17552642</v>
      </c>
      <c r="K74" s="168"/>
      <c r="L74" s="168" t="n">
        <f aca="false">IF(allocation_method&gt;=6,CHOOSE(gen_choice,'Generation Calculations'!H78-'Generation Calculations'!I78+'Generation Calculations'!J78,'Generation Calculations'!G78+'Generation Calculations'!H78-'Generation Calculations'!I78+'Generation Calculations'!J78),0)</f>
        <v>0</v>
      </c>
      <c r="M74" s="168" t="n">
        <f aca="false">'Test Year 2001 Sales and Revs.'!K78</f>
        <v>1362123.71</v>
      </c>
      <c r="N74" s="168" t="n">
        <f aca="false">CHOOSE(allocation_method,'RSP Surch Allocations'!E75,'RSP Surch Allocations'!J75,'RSP Surch Allocations'!N75,'RSP Surch Allocations'!Q75,'RSP Surch Allocations'!AA75,'RSP Surch Allocations'!AH75,'RSP Surch Allocations'!AS75,'RSP Surch Allocations'!BD75,'RSP Surch Allocations'!BO75,'RSP Surch Allocations'!BZ75,)</f>
        <v>5212687.24771131</v>
      </c>
      <c r="O74" s="155" t="n">
        <f aca="false">SUM(E74:N74)</f>
        <v>25989713.0112696</v>
      </c>
      <c r="P74" s="169" t="n">
        <f aca="false">ROUND(O74-D74,0)</f>
        <v>6574811</v>
      </c>
      <c r="Q74" s="170" t="n">
        <f aca="false">'Test Year 2001 Sales and Revs.'!F78</f>
        <v>136212371</v>
      </c>
      <c r="R74" s="152" t="n">
        <f aca="false">D74/$Q74*100</f>
        <v>14.2534058478126</v>
      </c>
      <c r="S74" s="152" t="n">
        <f aca="false">E74/$Q74*100</f>
        <v>0.705437448400737</v>
      </c>
      <c r="T74" s="152" t="n">
        <f aca="false">F74/$Q74*100</f>
        <v>0.218999999985317</v>
      </c>
      <c r="U74" s="152" t="n">
        <f aca="false">G74/$Q74*100</f>
        <v>0.393</v>
      </c>
      <c r="V74" s="152" t="n">
        <f aca="false">H74/$Q74*100</f>
        <v>6.49436967657166</v>
      </c>
      <c r="W74" s="152" t="n">
        <f aca="false">I74/$Q74*100</f>
        <v>0.058</v>
      </c>
      <c r="X74" s="152" t="n">
        <f aca="false">J74/$Q74*100</f>
        <v>6.38359872285493</v>
      </c>
      <c r="Y74" s="152" t="n">
        <f aca="false">K74/$Q74*100</f>
        <v>0</v>
      </c>
      <c r="Z74" s="152" t="n">
        <f aca="false">L74/$Q74*100</f>
        <v>0</v>
      </c>
      <c r="AA74" s="154" t="n">
        <f aca="false">M74/$Q74*100</f>
        <v>1</v>
      </c>
      <c r="AB74" s="152" t="n">
        <f aca="false">N74/$Q74*100</f>
        <v>3.82688239654187</v>
      </c>
      <c r="AC74" s="152" t="n">
        <f aca="false">O74/$Q74*100</f>
        <v>19.0802882443545</v>
      </c>
      <c r="AD74" s="152"/>
      <c r="AE74" s="157"/>
      <c r="AF74" s="141" t="n">
        <f aca="false">(AC74-AG74)/AG74</f>
        <v>0.250887076284714</v>
      </c>
      <c r="AG74" s="152" t="n">
        <f aca="false">AA74+R74</f>
        <v>15.2534058478126</v>
      </c>
      <c r="AH74" s="152"/>
      <c r="AI74" s="141"/>
      <c r="AJ74" s="141"/>
      <c r="AK74" s="141"/>
      <c r="AL74" s="141"/>
      <c r="AM74" s="141"/>
      <c r="AN74" s="162"/>
      <c r="AO74" s="162"/>
      <c r="AP74" s="162"/>
      <c r="AQ74" s="158"/>
      <c r="AR74" s="162"/>
      <c r="AS74" s="163"/>
      <c r="AT74" s="163"/>
      <c r="AU74" s="162"/>
      <c r="AV74" s="163"/>
      <c r="AW74" s="162"/>
      <c r="AX74" s="163"/>
      <c r="AY74" s="162"/>
      <c r="AZ74" s="163"/>
      <c r="BA74" s="162"/>
      <c r="BB74" s="163"/>
      <c r="BC74" s="162"/>
      <c r="BD74" s="163"/>
      <c r="BE74" s="162"/>
      <c r="BF74" s="164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  <c r="IW74" s="105"/>
    </row>
    <row r="75" customFormat="false" ht="12.75" hidden="false" customHeight="false" outlineLevel="0" collapsed="false">
      <c r="A75" s="84"/>
      <c r="B75" s="94" t="s">
        <v>328</v>
      </c>
      <c r="C75" s="79" t="s">
        <v>231</v>
      </c>
      <c r="D75" s="165" t="n">
        <f aca="false">'Test Year 2001 Sales and Revs.'!G79</f>
        <v>9483825.39358472</v>
      </c>
      <c r="E75" s="166" t="n">
        <v>589420.020501838</v>
      </c>
      <c r="F75" s="167" t="n">
        <v>182982.89208</v>
      </c>
      <c r="G75" s="167" t="n">
        <v>269043.33904</v>
      </c>
      <c r="H75" s="167" t="n">
        <v>3476866.06858115</v>
      </c>
      <c r="I75" s="167" t="n">
        <v>38434.76272</v>
      </c>
      <c r="J75" s="155" t="n">
        <f aca="false">D75-SUM(E75:I75,K75)</f>
        <v>4927078.31066173</v>
      </c>
      <c r="K75" s="168"/>
      <c r="L75" s="168" t="n">
        <f aca="false">IF(allocation_method&gt;=6,CHOOSE(gen_choice,'Generation Calculations'!H79-'Generation Calculations'!I79+'Generation Calculations'!J79,'Generation Calculations'!G79+'Generation Calculations'!H79-'Generation Calculations'!I79+'Generation Calculations'!J79),0)</f>
        <v>0</v>
      </c>
      <c r="M75" s="168" t="n">
        <f aca="false">'Test Year 2001 Sales and Revs.'!K79</f>
        <v>835538.32</v>
      </c>
      <c r="N75" s="168" t="n">
        <f aca="false">CHOOSE(allocation_method,'RSP Surch Allocations'!E76,'RSP Surch Allocations'!J76,'RSP Surch Allocations'!N76,'RSP Surch Allocations'!Q76,'RSP Surch Allocations'!AA76,'RSP Surch Allocations'!AH76,'RSP Surch Allocations'!AS76,'RSP Surch Allocations'!BD76,'RSP Surch Allocations'!BO76,'RSP Surch Allocations'!BZ76,)</f>
        <v>3197506.88844417</v>
      </c>
      <c r="O75" s="155" t="n">
        <f aca="false">SUM(E75:N75)</f>
        <v>13516870.6020289</v>
      </c>
      <c r="P75" s="169" t="n">
        <f aca="false">ROUND(O75-D75,0)</f>
        <v>4033045</v>
      </c>
      <c r="Q75" s="170" t="n">
        <f aca="false">'Test Year 2001 Sales and Revs.'!F79</f>
        <v>83553832</v>
      </c>
      <c r="R75" s="152" t="n">
        <f aca="false">D75/$Q75*100</f>
        <v>11.3505570798772</v>
      </c>
      <c r="S75" s="152" t="n">
        <f aca="false">E75/$Q75*100</f>
        <v>0.705437448400737</v>
      </c>
      <c r="T75" s="152" t="n">
        <f aca="false">F75/$Q75*100</f>
        <v>0.219</v>
      </c>
      <c r="U75" s="152" t="n">
        <f aca="false">G75/$Q75*100</f>
        <v>0.322</v>
      </c>
      <c r="V75" s="152" t="n">
        <f aca="false">H75/$Q75*100</f>
        <v>4.16122873763725</v>
      </c>
      <c r="W75" s="152" t="n">
        <f aca="false">I75/$Q75*100</f>
        <v>0.046</v>
      </c>
      <c r="X75" s="152" t="n">
        <f aca="false">J75/$Q75*100</f>
        <v>5.89689089383924</v>
      </c>
      <c r="Y75" s="152" t="n">
        <f aca="false">K75/$Q75*100</f>
        <v>0</v>
      </c>
      <c r="Z75" s="152" t="n">
        <f aca="false">L75/$Q75*100</f>
        <v>0</v>
      </c>
      <c r="AA75" s="154" t="n">
        <f aca="false">M75/$Q75*100</f>
        <v>1</v>
      </c>
      <c r="AB75" s="152" t="n">
        <f aca="false">N75/$Q75*100</f>
        <v>3.82688239654187</v>
      </c>
      <c r="AC75" s="152" t="n">
        <f aca="false">O75/$Q75*100</f>
        <v>16.1774394764191</v>
      </c>
      <c r="AD75" s="152"/>
      <c r="AE75" s="157"/>
      <c r="AF75" s="141" t="n">
        <f aca="false">(AC75-AG75)/AG75</f>
        <v>0.30985504312004</v>
      </c>
      <c r="AG75" s="152" t="n">
        <f aca="false">AA75+R75</f>
        <v>12.3505570798772</v>
      </c>
      <c r="AH75" s="152"/>
      <c r="AI75" s="141"/>
      <c r="AJ75" s="141"/>
      <c r="AK75" s="141"/>
      <c r="AL75" s="141"/>
      <c r="AM75" s="141"/>
      <c r="AN75" s="162"/>
      <c r="AO75" s="162"/>
      <c r="AP75" s="162"/>
      <c r="AQ75" s="158"/>
      <c r="AR75" s="162"/>
      <c r="AS75" s="163"/>
      <c r="AT75" s="163"/>
      <c r="AU75" s="162"/>
      <c r="AV75" s="163"/>
      <c r="AW75" s="162"/>
      <c r="AX75" s="163"/>
      <c r="AY75" s="162"/>
      <c r="AZ75" s="163"/>
      <c r="BA75" s="162"/>
      <c r="BB75" s="163"/>
      <c r="BC75" s="162"/>
      <c r="BD75" s="163"/>
      <c r="BE75" s="162"/>
      <c r="BF75" s="164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  <c r="IT75" s="105"/>
      <c r="IU75" s="105"/>
      <c r="IV75" s="105"/>
      <c r="IW75" s="105"/>
    </row>
    <row r="76" customFormat="false" ht="12.75" hidden="false" customHeight="false" outlineLevel="0" collapsed="false">
      <c r="A76" s="84"/>
      <c r="B76" s="94" t="s">
        <v>329</v>
      </c>
      <c r="C76" s="79"/>
      <c r="D76" s="165" t="n">
        <f aca="false">'Test Year 2001 Sales and Revs.'!G80</f>
        <v>40438630.7631408</v>
      </c>
      <c r="E76" s="166" t="n">
        <v>1756019.19803087</v>
      </c>
      <c r="F76" s="167" t="n">
        <v>545147.5632</v>
      </c>
      <c r="G76" s="167" t="n">
        <v>1117678.9972</v>
      </c>
      <c r="H76" s="167" t="n">
        <v>16086226.3742474</v>
      </c>
      <c r="I76" s="167" t="n">
        <v>166780.6076</v>
      </c>
      <c r="J76" s="155" t="n">
        <f aca="false">D76-SUM(E76:I76,K76)</f>
        <v>20766778.0228625</v>
      </c>
      <c r="K76" s="168"/>
      <c r="L76" s="168" t="n">
        <f aca="false">IF(allocation_method&gt;=6,CHOOSE(gen_choice,'Generation Calculations'!H80-'Generation Calculations'!I80+'Generation Calculations'!J80,'Generation Calculations'!G80+'Generation Calculations'!H80-'Generation Calculations'!I80+'Generation Calculations'!J80),0)</f>
        <v>0</v>
      </c>
      <c r="M76" s="168" t="n">
        <f aca="false">'Test Year 2001 Sales and Revs.'!K80</f>
        <v>2489262.8</v>
      </c>
      <c r="N76" s="168" t="n">
        <f aca="false">CHOOSE(allocation_method,'RSP Surch Allocations'!E77,'RSP Surch Allocations'!J77,'RSP Surch Allocations'!N77,'RSP Surch Allocations'!Q77,'RSP Surch Allocations'!AA77,'RSP Surch Allocations'!AH77,'RSP Surch Allocations'!AS77,'RSP Surch Allocations'!BD77,'RSP Surch Allocations'!BO77,'RSP Surch Allocations'!BZ77,)</f>
        <v>9526115.98968653</v>
      </c>
      <c r="O76" s="155" t="n">
        <f aca="false">SUM(E76:N76)</f>
        <v>52454009.5528273</v>
      </c>
      <c r="P76" s="169" t="n">
        <f aca="false">ROUND(O76-D76,0)</f>
        <v>12015379</v>
      </c>
      <c r="Q76" s="170" t="n">
        <f aca="false">'Test Year 2001 Sales and Revs.'!$J$80</f>
        <v>248926280</v>
      </c>
      <c r="R76" s="152" t="n">
        <f aca="false">D76/$Q76*100</f>
        <v>16.2452235911535</v>
      </c>
      <c r="S76" s="152" t="n">
        <f aca="false">E76/$Q76*100</f>
        <v>0.705437448400737</v>
      </c>
      <c r="T76" s="152" t="n">
        <f aca="false">F76/$Q76*100</f>
        <v>0.218999602291891</v>
      </c>
      <c r="U76" s="152" t="n">
        <f aca="false">G76/$Q76*100</f>
        <v>0.449</v>
      </c>
      <c r="V76" s="152" t="n">
        <f aca="false">H76/$Q76*100</f>
        <v>6.46224511700709</v>
      </c>
      <c r="W76" s="152" t="n">
        <f aca="false">I76/$Q76*100</f>
        <v>0.067</v>
      </c>
      <c r="X76" s="152" t="n">
        <f aca="false">J76/$Q76*100</f>
        <v>8.34254142345376</v>
      </c>
      <c r="Y76" s="152" t="n">
        <f aca="false">K76/$Q76*100</f>
        <v>0</v>
      </c>
      <c r="Z76" s="152" t="n">
        <f aca="false">L76/$Q76*100</f>
        <v>0</v>
      </c>
      <c r="AA76" s="154" t="n">
        <f aca="false">M76/$Q76*100</f>
        <v>1</v>
      </c>
      <c r="AB76" s="152" t="n">
        <f aca="false">N76/$Q76*100</f>
        <v>3.82688239654187</v>
      </c>
      <c r="AC76" s="152" t="n">
        <f aca="false">O76/$Q76*100</f>
        <v>21.0721059876954</v>
      </c>
      <c r="AD76" s="152"/>
      <c r="AE76" s="157"/>
      <c r="AF76" s="141" t="n">
        <f aca="false">(AC76-AG76)/AG76</f>
        <v>0.221909700173734</v>
      </c>
      <c r="AG76" s="152" t="n">
        <f aca="false">AA76+R76</f>
        <v>17.2452235911535</v>
      </c>
      <c r="AH76" s="152"/>
      <c r="AI76" s="141"/>
      <c r="AJ76" s="141"/>
      <c r="AK76" s="141"/>
      <c r="AL76" s="141"/>
      <c r="AM76" s="141"/>
      <c r="AN76" s="162"/>
      <c r="AO76" s="162"/>
      <c r="AP76" s="162"/>
      <c r="AQ76" s="158"/>
      <c r="AR76" s="162"/>
      <c r="AS76" s="163"/>
      <c r="AT76" s="163"/>
      <c r="AU76" s="162"/>
      <c r="AV76" s="163"/>
      <c r="AW76" s="162"/>
      <c r="AX76" s="163"/>
      <c r="AY76" s="162"/>
      <c r="AZ76" s="163"/>
      <c r="BA76" s="162"/>
      <c r="BB76" s="163"/>
      <c r="BC76" s="162"/>
      <c r="BD76" s="163"/>
      <c r="BE76" s="162"/>
      <c r="BF76" s="164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  <c r="EO76" s="105"/>
      <c r="EP76" s="105"/>
      <c r="EQ76" s="105"/>
      <c r="ER76" s="105"/>
      <c r="ES76" s="105"/>
      <c r="ET76" s="105"/>
      <c r="EU76" s="105"/>
      <c r="EV76" s="105"/>
      <c r="EW76" s="105"/>
      <c r="EX76" s="105"/>
      <c r="EY76" s="105"/>
      <c r="EZ76" s="105"/>
      <c r="FA76" s="105"/>
      <c r="FB76" s="105"/>
      <c r="FC76" s="105"/>
      <c r="FD76" s="105"/>
      <c r="FE76" s="105"/>
      <c r="FF76" s="105"/>
      <c r="FG76" s="105"/>
      <c r="FH76" s="105"/>
      <c r="FI76" s="105"/>
      <c r="FJ76" s="105"/>
      <c r="FK76" s="105"/>
      <c r="FL76" s="105"/>
      <c r="FM76" s="105"/>
      <c r="FN76" s="105"/>
      <c r="FO76" s="105"/>
      <c r="FP76" s="105"/>
      <c r="FQ76" s="105"/>
      <c r="FR76" s="105"/>
      <c r="FS76" s="105"/>
      <c r="FT76" s="105"/>
      <c r="FU76" s="105"/>
      <c r="FV76" s="105"/>
      <c r="FW76" s="105"/>
      <c r="FX76" s="105"/>
      <c r="FY76" s="105"/>
      <c r="FZ76" s="105"/>
      <c r="GA76" s="105"/>
      <c r="GB76" s="105"/>
      <c r="GC76" s="105"/>
      <c r="GD76" s="105"/>
      <c r="GE76" s="105"/>
      <c r="GF76" s="105"/>
      <c r="GG76" s="105"/>
      <c r="GH76" s="105"/>
      <c r="GI76" s="105"/>
      <c r="GJ76" s="105"/>
      <c r="GK76" s="105"/>
      <c r="GL76" s="105"/>
      <c r="GM76" s="105"/>
      <c r="GN76" s="105"/>
      <c r="GO76" s="105"/>
      <c r="GP76" s="105"/>
      <c r="GQ76" s="105"/>
      <c r="GR76" s="105"/>
      <c r="GS76" s="105"/>
      <c r="GT76" s="105"/>
      <c r="GU76" s="105"/>
      <c r="GV76" s="105"/>
      <c r="GW76" s="105"/>
      <c r="GX76" s="105"/>
      <c r="GY76" s="105"/>
      <c r="GZ76" s="105"/>
      <c r="HA76" s="105"/>
      <c r="HB76" s="105"/>
      <c r="HC76" s="105"/>
      <c r="HD76" s="105"/>
      <c r="HE76" s="105"/>
      <c r="HF76" s="105"/>
      <c r="HG76" s="105"/>
      <c r="HH76" s="105"/>
      <c r="HI76" s="105"/>
      <c r="HJ76" s="105"/>
      <c r="HK76" s="105"/>
      <c r="HL76" s="105"/>
      <c r="HM76" s="105"/>
      <c r="HN76" s="105"/>
      <c r="HO76" s="105"/>
      <c r="HP76" s="105"/>
      <c r="HQ76" s="105"/>
      <c r="HR76" s="105"/>
      <c r="HS76" s="105"/>
      <c r="HT76" s="105"/>
      <c r="HU76" s="105"/>
      <c r="HV76" s="105"/>
      <c r="HW76" s="105"/>
      <c r="HX76" s="105"/>
      <c r="HY76" s="105"/>
      <c r="HZ76" s="105"/>
      <c r="IA76" s="105"/>
      <c r="IB76" s="105"/>
      <c r="IC76" s="105"/>
      <c r="ID76" s="105"/>
      <c r="IE76" s="105"/>
      <c r="IF76" s="105"/>
      <c r="IG76" s="105"/>
      <c r="IH76" s="105"/>
      <c r="II76" s="105"/>
      <c r="IJ76" s="105"/>
      <c r="IK76" s="105"/>
      <c r="IL76" s="105"/>
      <c r="IM76" s="105"/>
      <c r="IN76" s="105"/>
      <c r="IO76" s="105"/>
      <c r="IP76" s="105"/>
      <c r="IQ76" s="105"/>
      <c r="IR76" s="105"/>
      <c r="IS76" s="105"/>
      <c r="IT76" s="105"/>
      <c r="IU76" s="105"/>
      <c r="IV76" s="105"/>
      <c r="IW76" s="105"/>
    </row>
    <row r="77" customFormat="false" ht="12.75" hidden="false" customHeight="false" outlineLevel="0" collapsed="false">
      <c r="A77" s="84"/>
      <c r="B77" s="94" t="s">
        <v>330</v>
      </c>
      <c r="C77" s="79" t="s">
        <v>231</v>
      </c>
      <c r="D77" s="167" t="n">
        <v>3626446.40470184</v>
      </c>
      <c r="E77" s="166" t="n">
        <v>181810.91215768</v>
      </c>
      <c r="F77" s="167" t="n">
        <v>56442.4101</v>
      </c>
      <c r="G77" s="167" t="n">
        <v>102833.4321</v>
      </c>
      <c r="H77" s="167" t="n">
        <v>1304747.53605978</v>
      </c>
      <c r="I77" s="167" t="n">
        <v>15205.9461</v>
      </c>
      <c r="J77" s="155" t="n">
        <f aca="false">D77-SUM(E77:I77,K77)</f>
        <v>1965406.16818438</v>
      </c>
      <c r="K77" s="168"/>
      <c r="L77" s="168" t="n">
        <f aca="false">IF(allocation_method&gt;=6,CHOOSE(gen_choice,'Generation Calculations'!H81-'Generation Calculations'!I81+'Generation Calculations'!J81,'Generation Calculations'!G81+'Generation Calculations'!H81-'Generation Calculations'!I81+'Generation Calculations'!J81),0)</f>
        <v>0</v>
      </c>
      <c r="M77" s="168" t="n">
        <f aca="false">'Test Year 2001 Sales and Revs.'!K81</f>
        <v>257727.9</v>
      </c>
      <c r="N77" s="168" t="n">
        <f aca="false">CHOOSE(allocation_method,'RSP Surch Allocations'!E78,'RSP Surch Allocations'!J78,'RSP Surch Allocations'!N78,'RSP Surch Allocations'!Q78,'RSP Surch Allocations'!AA78,'RSP Surch Allocations'!AH78,'RSP Surch Allocations'!AS78,'RSP Surch Allocations'!BD78,'RSP Surch Allocations'!BO78,'RSP Surch Allocations'!BZ78,)</f>
        <v>986294.363607704</v>
      </c>
      <c r="O77" s="155" t="n">
        <f aca="false">SUM(E77:N77)</f>
        <v>4870468.66830954</v>
      </c>
      <c r="P77" s="169" t="n">
        <f aca="false">ROUND(O77-D77,0)</f>
        <v>1244022</v>
      </c>
      <c r="Q77" s="170" t="n">
        <v>25772790</v>
      </c>
      <c r="R77" s="152" t="n">
        <f aca="false">D77/$Q77*100</f>
        <v>14.0708336377313</v>
      </c>
      <c r="S77" s="152" t="n">
        <f aca="false">E77/$Q77*100</f>
        <v>0.705437448400737</v>
      </c>
      <c r="T77" s="152" t="n">
        <f aca="false">F77/$Q77*100</f>
        <v>0.219</v>
      </c>
      <c r="U77" s="152" t="n">
        <f aca="false">G77/$Q77*100</f>
        <v>0.399</v>
      </c>
      <c r="V77" s="152" t="n">
        <f aca="false">H77/$Q77*100</f>
        <v>5.06250016416453</v>
      </c>
      <c r="W77" s="152" t="n">
        <f aca="false">I77/$Q77*100</f>
        <v>0.059</v>
      </c>
      <c r="X77" s="152" t="n">
        <f aca="false">J77/$Q77*100</f>
        <v>7.625896025166</v>
      </c>
      <c r="Y77" s="152" t="n">
        <f aca="false">K77/$Q77*100</f>
        <v>0</v>
      </c>
      <c r="Z77" s="152" t="n">
        <f aca="false">L77/$Q77*100</f>
        <v>0</v>
      </c>
      <c r="AA77" s="154" t="n">
        <f aca="false">M77/$Q77*100</f>
        <v>1</v>
      </c>
      <c r="AB77" s="152" t="n">
        <f aca="false">N77/$Q77*100</f>
        <v>3.82688239654187</v>
      </c>
      <c r="AC77" s="152" t="n">
        <f aca="false">O77/$Q77*100</f>
        <v>18.8977160342731</v>
      </c>
      <c r="AD77" s="152"/>
      <c r="AE77" s="157"/>
      <c r="AF77" s="141" t="n">
        <f aca="false">(AC77-AG77)/AG77</f>
        <v>0.253926391102938</v>
      </c>
      <c r="AG77" s="152" t="n">
        <f aca="false">AA77+R77</f>
        <v>15.0708336377313</v>
      </c>
      <c r="AH77" s="152"/>
      <c r="AI77" s="141"/>
      <c r="AJ77" s="141"/>
      <c r="AK77" s="141"/>
      <c r="AL77" s="141"/>
      <c r="AM77" s="141"/>
      <c r="AN77" s="162"/>
      <c r="AO77" s="162"/>
      <c r="AP77" s="162"/>
      <c r="AQ77" s="158"/>
      <c r="AR77" s="162"/>
      <c r="AS77" s="163"/>
      <c r="AT77" s="163"/>
      <c r="AU77" s="162"/>
      <c r="AV77" s="163"/>
      <c r="AW77" s="162"/>
      <c r="AX77" s="163"/>
      <c r="AY77" s="162"/>
      <c r="AZ77" s="163"/>
      <c r="BA77" s="162"/>
      <c r="BB77" s="163"/>
      <c r="BC77" s="162"/>
      <c r="BD77" s="163"/>
      <c r="BE77" s="162"/>
      <c r="BF77" s="164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105"/>
      <c r="EW77" s="105"/>
      <c r="EX77" s="105"/>
      <c r="EY77" s="105"/>
      <c r="EZ77" s="105"/>
      <c r="FA77" s="105"/>
      <c r="FB77" s="105"/>
      <c r="FC77" s="105"/>
      <c r="FD77" s="105"/>
      <c r="FE77" s="105"/>
      <c r="FF77" s="105"/>
      <c r="FG77" s="105"/>
      <c r="FH77" s="105"/>
      <c r="FI77" s="105"/>
      <c r="FJ77" s="105"/>
      <c r="FK77" s="105"/>
      <c r="FL77" s="105"/>
      <c r="FM77" s="105"/>
      <c r="FN77" s="105"/>
      <c r="FO77" s="105"/>
      <c r="FP77" s="105"/>
      <c r="FQ77" s="105"/>
      <c r="FR77" s="105"/>
      <c r="FS77" s="105"/>
      <c r="FT77" s="105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  <c r="GR77" s="105"/>
      <c r="GS77" s="105"/>
      <c r="GT77" s="105"/>
      <c r="GU77" s="105"/>
      <c r="GV77" s="105"/>
      <c r="GW77" s="105"/>
      <c r="GX77" s="105"/>
      <c r="GY77" s="105"/>
      <c r="GZ77" s="105"/>
      <c r="HA77" s="105"/>
      <c r="HB77" s="105"/>
      <c r="HC77" s="105"/>
      <c r="HD77" s="105"/>
      <c r="HE77" s="105"/>
      <c r="HF77" s="105"/>
      <c r="HG77" s="105"/>
      <c r="HH77" s="105"/>
      <c r="HI77" s="105"/>
      <c r="HJ77" s="105"/>
      <c r="HK77" s="105"/>
      <c r="HL77" s="105"/>
      <c r="HM77" s="105"/>
      <c r="HN77" s="105"/>
      <c r="HO77" s="105"/>
      <c r="HP77" s="105"/>
      <c r="HQ77" s="105"/>
      <c r="HR77" s="105"/>
      <c r="HS77" s="105"/>
      <c r="HT77" s="105"/>
      <c r="HU77" s="105"/>
      <c r="HV77" s="105"/>
      <c r="HW77" s="105"/>
      <c r="HX77" s="105"/>
      <c r="HY77" s="105"/>
      <c r="HZ77" s="105"/>
      <c r="IA77" s="105"/>
      <c r="IB77" s="105"/>
      <c r="IC77" s="105"/>
      <c r="ID77" s="105"/>
      <c r="IE77" s="105"/>
      <c r="IF77" s="105"/>
      <c r="IG77" s="105"/>
      <c r="IH77" s="105"/>
      <c r="II77" s="105"/>
      <c r="IJ77" s="105"/>
      <c r="IK77" s="105"/>
      <c r="IL77" s="105"/>
      <c r="IM77" s="105"/>
      <c r="IN77" s="105"/>
      <c r="IO77" s="105"/>
      <c r="IP77" s="105"/>
      <c r="IQ77" s="105"/>
      <c r="IR77" s="105"/>
      <c r="IS77" s="105"/>
      <c r="IT77" s="105"/>
      <c r="IU77" s="105"/>
      <c r="IV77" s="105"/>
      <c r="IW77" s="105"/>
    </row>
    <row r="78" customFormat="false" ht="12.75" hidden="false" customHeight="false" outlineLevel="0" collapsed="false">
      <c r="A78" s="84"/>
      <c r="B78" s="94" t="s">
        <v>331</v>
      </c>
      <c r="C78" s="79" t="s">
        <v>231</v>
      </c>
      <c r="D78" s="167" t="n">
        <v>2416368.26609974</v>
      </c>
      <c r="E78" s="166" t="n">
        <v>128685.264443569</v>
      </c>
      <c r="F78" s="167" t="n">
        <v>39947.7829</v>
      </c>
      <c r="G78" s="167" t="n">
        <v>68224.7434</v>
      </c>
      <c r="H78" s="167" t="n">
        <v>901982.151774703</v>
      </c>
      <c r="I78" s="167" t="n">
        <v>10033.0505</v>
      </c>
      <c r="J78" s="155" t="n">
        <f aca="false">D78-SUM(E78:I78,K78)</f>
        <v>1267495.27308146</v>
      </c>
      <c r="K78" s="168"/>
      <c r="L78" s="168" t="n">
        <f aca="false">IF(allocation_method&gt;=6,CHOOSE(gen_choice,'Generation Calculations'!H82-'Generation Calculations'!I82+'Generation Calculations'!J82,'Generation Calculations'!G82+'Generation Calculations'!H82-'Generation Calculations'!I82+'Generation Calculations'!J82),0)</f>
        <v>0</v>
      </c>
      <c r="M78" s="168" t="n">
        <f aca="false">'Test Year 2001 Sales and Revs.'!K82</f>
        <v>182419.1</v>
      </c>
      <c r="N78" s="168" t="n">
        <f aca="false">CHOOSE(allocation_method,'RSP Surch Allocations'!E79,'RSP Surch Allocations'!J79,'RSP Surch Allocations'!N79,'RSP Surch Allocations'!Q79,'RSP Surch Allocations'!AA79,'RSP Surch Allocations'!AH79,'RSP Surch Allocations'!AS79,'RSP Surch Allocations'!BD79,'RSP Surch Allocations'!BO79,'RSP Surch Allocations'!BZ79,)</f>
        <v>698096.442583011</v>
      </c>
      <c r="O78" s="155" t="n">
        <f aca="false">SUM(E78:N78)</f>
        <v>3296883.80868275</v>
      </c>
      <c r="P78" s="169" t="n">
        <f aca="false">ROUND(O78-D78,0)</f>
        <v>880516</v>
      </c>
      <c r="Q78" s="170" t="n">
        <v>18241910</v>
      </c>
      <c r="R78" s="152" t="n">
        <f aca="false">D78/$Q78*100</f>
        <v>13.2462459583439</v>
      </c>
      <c r="S78" s="152" t="n">
        <f aca="false">E78/$Q78*100</f>
        <v>0.705437448400793</v>
      </c>
      <c r="T78" s="152" t="n">
        <f aca="false">F78/$Q78*100</f>
        <v>0.218989036235789</v>
      </c>
      <c r="U78" s="152" t="n">
        <f aca="false">G78/$Q78*100</f>
        <v>0.374</v>
      </c>
      <c r="V78" s="152" t="n">
        <f aca="false">H78/$Q78*100</f>
        <v>4.94455981733658</v>
      </c>
      <c r="W78" s="152" t="n">
        <f aca="false">I78/$Q78*100</f>
        <v>0.055</v>
      </c>
      <c r="X78" s="152" t="n">
        <f aca="false">J78/$Q78*100</f>
        <v>6.94825965637076</v>
      </c>
      <c r="Y78" s="152" t="n">
        <f aca="false">K78/$Q78*100</f>
        <v>0</v>
      </c>
      <c r="Z78" s="152" t="n">
        <f aca="false">L78/$Q78*100</f>
        <v>0</v>
      </c>
      <c r="AA78" s="154" t="n">
        <f aca="false">M78/$Q78*100</f>
        <v>1</v>
      </c>
      <c r="AB78" s="152" t="n">
        <f aca="false">N78/$Q78*100</f>
        <v>3.82688239654187</v>
      </c>
      <c r="AC78" s="152" t="n">
        <f aca="false">O78/$Q78*100</f>
        <v>18.0731283548858</v>
      </c>
      <c r="AD78" s="152"/>
      <c r="AE78" s="157"/>
      <c r="AF78" s="141" t="n">
        <f aca="false">(AC78-AG78)/AG78</f>
        <v>0.268623917327533</v>
      </c>
      <c r="AG78" s="152" t="n">
        <f aca="false">AA78+R78</f>
        <v>14.2462459583439</v>
      </c>
      <c r="AH78" s="152"/>
      <c r="AI78" s="141"/>
      <c r="AJ78" s="141"/>
      <c r="AK78" s="141"/>
      <c r="AL78" s="141"/>
      <c r="AM78" s="141"/>
      <c r="AN78" s="162"/>
      <c r="AO78" s="162"/>
      <c r="AP78" s="162"/>
      <c r="AQ78" s="158"/>
      <c r="AR78" s="162"/>
      <c r="AS78" s="163"/>
      <c r="AT78" s="163"/>
      <c r="AU78" s="162"/>
      <c r="AV78" s="163"/>
      <c r="AW78" s="162"/>
      <c r="AX78" s="163"/>
      <c r="AY78" s="162"/>
      <c r="AZ78" s="163"/>
      <c r="BA78" s="162"/>
      <c r="BB78" s="163"/>
      <c r="BC78" s="162"/>
      <c r="BD78" s="163"/>
      <c r="BE78" s="162"/>
      <c r="BF78" s="164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5"/>
      <c r="FF78" s="105"/>
      <c r="FG78" s="105"/>
      <c r="FH78" s="105"/>
      <c r="FI78" s="105"/>
      <c r="FJ78" s="105"/>
      <c r="FK78" s="105"/>
      <c r="FL78" s="105"/>
      <c r="FM78" s="105"/>
      <c r="FN78" s="105"/>
      <c r="FO78" s="105"/>
      <c r="FP78" s="105"/>
      <c r="FQ78" s="105"/>
      <c r="FR78" s="105"/>
      <c r="FS78" s="105"/>
      <c r="FT78" s="105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  <c r="GR78" s="105"/>
      <c r="GS78" s="105"/>
      <c r="GT78" s="105"/>
      <c r="GU78" s="105"/>
      <c r="GV78" s="105"/>
      <c r="GW78" s="105"/>
      <c r="GX78" s="105"/>
      <c r="GY78" s="105"/>
      <c r="GZ78" s="105"/>
      <c r="HA78" s="105"/>
      <c r="HB78" s="105"/>
      <c r="HC78" s="105"/>
      <c r="HD78" s="105"/>
      <c r="HE78" s="105"/>
      <c r="HF78" s="105"/>
      <c r="HG78" s="105"/>
      <c r="HH78" s="105"/>
      <c r="HI78" s="105"/>
      <c r="HJ78" s="105"/>
      <c r="HK78" s="105"/>
      <c r="HL78" s="105"/>
      <c r="HM78" s="105"/>
      <c r="HN78" s="105"/>
      <c r="HO78" s="105"/>
      <c r="HP78" s="105"/>
      <c r="HQ78" s="105"/>
      <c r="HR78" s="105"/>
      <c r="HS78" s="105"/>
      <c r="HT78" s="105"/>
      <c r="HU78" s="105"/>
      <c r="HV78" s="105"/>
      <c r="HW78" s="105"/>
      <c r="HX78" s="105"/>
      <c r="HY78" s="105"/>
      <c r="HZ78" s="105"/>
      <c r="IA78" s="105"/>
      <c r="IB78" s="105"/>
      <c r="IC78" s="105"/>
      <c r="ID78" s="105"/>
      <c r="IE78" s="105"/>
      <c r="IF78" s="105"/>
      <c r="IG78" s="105"/>
      <c r="IH78" s="105"/>
      <c r="II78" s="105"/>
      <c r="IJ78" s="105"/>
      <c r="IK78" s="105"/>
      <c r="IL78" s="105"/>
      <c r="IM78" s="105"/>
      <c r="IN78" s="105"/>
      <c r="IO78" s="105"/>
      <c r="IP78" s="105"/>
      <c r="IQ78" s="105"/>
      <c r="IR78" s="105"/>
      <c r="IS78" s="105"/>
      <c r="IT78" s="105"/>
      <c r="IU78" s="105"/>
      <c r="IV78" s="105"/>
      <c r="IW78" s="105"/>
    </row>
    <row r="79" customFormat="false" ht="12.75" hidden="true" customHeight="true" outlineLevel="0" collapsed="false">
      <c r="A79" s="84"/>
      <c r="B79" s="94" t="s">
        <v>332</v>
      </c>
      <c r="C79" s="79" t="s">
        <v>231</v>
      </c>
      <c r="D79" s="167"/>
      <c r="E79" s="166"/>
      <c r="F79" s="167" t="n">
        <v>820956.79185</v>
      </c>
      <c r="G79" s="167" t="n">
        <v>1354561.30057</v>
      </c>
      <c r="H79" s="167" t="n">
        <v>16278393.3599002</v>
      </c>
      <c r="I79" s="167" t="n">
        <v>195116.86324</v>
      </c>
      <c r="J79" s="155"/>
      <c r="K79" s="168"/>
      <c r="L79" s="168" t="n">
        <f aca="false">IF(allocation_method&gt;=6,CHOOSE(gen_choice,'Generation Calculations'!H83-'Generation Calculations'!I83+'Generation Calculations'!J83,'Generation Calculations'!G83+'Generation Calculations'!H83-'Generation Calculations'!I83+'Generation Calculations'!J83),0)</f>
        <v>0</v>
      </c>
      <c r="M79" s="168"/>
      <c r="N79" s="168"/>
      <c r="O79" s="155"/>
      <c r="P79" s="169" t="n">
        <f aca="false">ROUND(O79-D79,0)</f>
        <v>0</v>
      </c>
      <c r="Q79" s="170"/>
      <c r="R79" s="152"/>
      <c r="S79" s="152"/>
      <c r="T79" s="152"/>
      <c r="U79" s="152"/>
      <c r="V79" s="152"/>
      <c r="W79" s="152"/>
      <c r="X79" s="152"/>
      <c r="Y79" s="152"/>
      <c r="Z79" s="152"/>
      <c r="AA79" s="154"/>
      <c r="AB79" s="152"/>
      <c r="AC79" s="152"/>
      <c r="AD79" s="152"/>
      <c r="AE79" s="157"/>
      <c r="AF79" s="141"/>
      <c r="AG79" s="152" t="n">
        <f aca="false">AA79+R79</f>
        <v>0</v>
      </c>
      <c r="AH79" s="152"/>
      <c r="AI79" s="141"/>
      <c r="AJ79" s="141"/>
      <c r="AK79" s="141"/>
      <c r="AL79" s="141"/>
      <c r="AM79" s="141"/>
      <c r="AN79" s="162"/>
      <c r="AO79" s="162"/>
      <c r="AP79" s="162"/>
      <c r="AQ79" s="158"/>
      <c r="AR79" s="162"/>
      <c r="AS79" s="163"/>
      <c r="AT79" s="163"/>
      <c r="AU79" s="162"/>
      <c r="AV79" s="163"/>
      <c r="AW79" s="162"/>
      <c r="AX79" s="163"/>
      <c r="AY79" s="162"/>
      <c r="AZ79" s="163"/>
      <c r="BA79" s="162"/>
      <c r="BB79" s="163"/>
      <c r="BC79" s="162"/>
      <c r="BD79" s="163"/>
      <c r="BE79" s="162"/>
      <c r="BF79" s="164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  <c r="GR79" s="105"/>
      <c r="GS79" s="105"/>
      <c r="GT79" s="105"/>
      <c r="GU79" s="105"/>
      <c r="GV79" s="105"/>
      <c r="GW79" s="105"/>
      <c r="GX79" s="105"/>
      <c r="GY79" s="105"/>
      <c r="GZ79" s="105"/>
      <c r="HA79" s="105"/>
      <c r="HB79" s="105"/>
      <c r="HC79" s="105"/>
      <c r="HD79" s="105"/>
      <c r="HE79" s="105"/>
      <c r="HF79" s="105"/>
      <c r="HG79" s="105"/>
      <c r="HH79" s="105"/>
      <c r="HI79" s="105"/>
      <c r="HJ79" s="105"/>
      <c r="HK79" s="105"/>
      <c r="HL79" s="105"/>
      <c r="HM79" s="105"/>
      <c r="HN79" s="105"/>
      <c r="HO79" s="105"/>
      <c r="HP79" s="105"/>
      <c r="HQ79" s="105"/>
      <c r="HR79" s="105"/>
      <c r="HS79" s="105"/>
      <c r="HT79" s="105"/>
      <c r="HU79" s="105"/>
      <c r="HV79" s="105"/>
      <c r="HW79" s="105"/>
      <c r="HX79" s="105"/>
      <c r="HY79" s="105"/>
      <c r="HZ79" s="105"/>
      <c r="IA79" s="105"/>
      <c r="IB79" s="105"/>
      <c r="IC79" s="105"/>
      <c r="ID79" s="105"/>
      <c r="IE79" s="105"/>
      <c r="IF79" s="105"/>
      <c r="IG79" s="105"/>
      <c r="IH79" s="105"/>
      <c r="II79" s="105"/>
      <c r="IJ79" s="105"/>
      <c r="IK79" s="105"/>
      <c r="IL79" s="105"/>
      <c r="IM79" s="105"/>
      <c r="IN79" s="105"/>
      <c r="IO79" s="105"/>
      <c r="IP79" s="105"/>
      <c r="IQ79" s="105"/>
      <c r="IR79" s="105"/>
      <c r="IS79" s="105"/>
      <c r="IT79" s="105"/>
      <c r="IU79" s="105"/>
      <c r="IV79" s="105"/>
      <c r="IW79" s="105"/>
    </row>
    <row r="80" customFormat="false" ht="12.75" hidden="true" customHeight="true" outlineLevel="0" collapsed="false">
      <c r="A80" s="84"/>
      <c r="B80" s="94" t="s">
        <v>332</v>
      </c>
      <c r="C80" s="79" t="s">
        <v>234</v>
      </c>
      <c r="D80" s="167"/>
      <c r="E80" s="166"/>
      <c r="F80" s="167" t="n">
        <v>785.38218</v>
      </c>
      <c r="G80" s="167" t="n">
        <v>144742.77331</v>
      </c>
      <c r="H80" s="167" t="n">
        <v>2347419.38610343</v>
      </c>
      <c r="I80" s="167" t="n">
        <v>21347.16041</v>
      </c>
      <c r="J80" s="155"/>
      <c r="K80" s="168"/>
      <c r="L80" s="168" t="n">
        <f aca="false">IF(allocation_method&gt;=6,CHOOSE(gen_choice,'Generation Calculations'!H84-'Generation Calculations'!I84+'Generation Calculations'!J84,'Generation Calculations'!G84+'Generation Calculations'!H84-'Generation Calculations'!I84+'Generation Calculations'!J84),0)</f>
        <v>0</v>
      </c>
      <c r="M80" s="168"/>
      <c r="N80" s="168"/>
      <c r="O80" s="155"/>
      <c r="P80" s="169" t="n">
        <f aca="false">ROUND(O80-D80,0)</f>
        <v>0</v>
      </c>
      <c r="Q80" s="170"/>
      <c r="R80" s="152"/>
      <c r="S80" s="152"/>
      <c r="T80" s="152"/>
      <c r="U80" s="152"/>
      <c r="V80" s="152"/>
      <c r="W80" s="152"/>
      <c r="X80" s="152"/>
      <c r="Y80" s="152"/>
      <c r="Z80" s="152"/>
      <c r="AA80" s="154"/>
      <c r="AB80" s="152"/>
      <c r="AC80" s="152"/>
      <c r="AD80" s="152"/>
      <c r="AE80" s="157"/>
      <c r="AF80" s="141"/>
      <c r="AG80" s="152" t="n">
        <f aca="false">AA80+R80</f>
        <v>0</v>
      </c>
      <c r="AH80" s="152"/>
      <c r="AI80" s="141"/>
      <c r="AJ80" s="141"/>
      <c r="AK80" s="141"/>
      <c r="AL80" s="141"/>
      <c r="AM80" s="141"/>
      <c r="AN80" s="162"/>
      <c r="AO80" s="162"/>
      <c r="AP80" s="162"/>
      <c r="AQ80" s="158"/>
      <c r="AR80" s="162"/>
      <c r="AS80" s="163"/>
      <c r="AT80" s="163"/>
      <c r="AU80" s="162"/>
      <c r="AV80" s="163"/>
      <c r="AW80" s="162"/>
      <c r="AX80" s="163"/>
      <c r="AY80" s="162"/>
      <c r="AZ80" s="163"/>
      <c r="BA80" s="162"/>
      <c r="BB80" s="163"/>
      <c r="BC80" s="162"/>
      <c r="BD80" s="163"/>
      <c r="BE80" s="162"/>
      <c r="BF80" s="164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105"/>
      <c r="FC80" s="105"/>
      <c r="FD80" s="105"/>
      <c r="FE80" s="105"/>
      <c r="FF80" s="105"/>
      <c r="FG80" s="105"/>
      <c r="FH80" s="105"/>
      <c r="FI80" s="105"/>
      <c r="FJ80" s="105"/>
      <c r="FK80" s="105"/>
      <c r="FL80" s="105"/>
      <c r="FM80" s="105"/>
      <c r="FN80" s="105"/>
      <c r="FO80" s="105"/>
      <c r="FP80" s="105"/>
      <c r="FQ80" s="105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  <c r="GR80" s="105"/>
      <c r="GS80" s="105"/>
      <c r="GT80" s="105"/>
      <c r="GU80" s="105"/>
      <c r="GV80" s="105"/>
      <c r="GW80" s="105"/>
      <c r="GX80" s="105"/>
      <c r="GY80" s="105"/>
      <c r="GZ80" s="105"/>
      <c r="HA80" s="105"/>
      <c r="HB80" s="105"/>
      <c r="HC80" s="105"/>
      <c r="HD80" s="105"/>
      <c r="HE80" s="105"/>
      <c r="HF80" s="105"/>
      <c r="HG80" s="105"/>
      <c r="HH80" s="105"/>
      <c r="HI80" s="105"/>
      <c r="HJ80" s="105"/>
      <c r="HK80" s="105"/>
      <c r="HL80" s="105"/>
      <c r="HM80" s="105"/>
      <c r="HN80" s="105"/>
      <c r="HO80" s="105"/>
      <c r="HP80" s="105"/>
      <c r="HQ80" s="105"/>
      <c r="HR80" s="105"/>
      <c r="HS80" s="105"/>
      <c r="HT80" s="105"/>
      <c r="HU80" s="105"/>
      <c r="HV80" s="105"/>
      <c r="HW80" s="105"/>
      <c r="HX80" s="105"/>
      <c r="HY80" s="105"/>
      <c r="HZ80" s="105"/>
      <c r="IA80" s="105"/>
      <c r="IB80" s="105"/>
      <c r="IC80" s="105"/>
      <c r="ID80" s="105"/>
      <c r="IE80" s="105"/>
      <c r="IF80" s="105"/>
      <c r="IG80" s="105"/>
      <c r="IH80" s="105"/>
      <c r="II80" s="105"/>
      <c r="IJ80" s="105"/>
      <c r="IK80" s="105"/>
      <c r="IL80" s="105"/>
      <c r="IM80" s="105"/>
      <c r="IN80" s="105"/>
      <c r="IO80" s="105"/>
      <c r="IP80" s="105"/>
      <c r="IQ80" s="105"/>
      <c r="IR80" s="105"/>
      <c r="IS80" s="105"/>
      <c r="IT80" s="105"/>
      <c r="IU80" s="105"/>
      <c r="IV80" s="105"/>
      <c r="IW80" s="105"/>
    </row>
    <row r="81" customFormat="false" ht="12.75" hidden="false" customHeight="false" outlineLevel="0" collapsed="false">
      <c r="A81" s="84"/>
      <c r="B81" s="94" t="s">
        <v>333</v>
      </c>
      <c r="C81" s="79"/>
      <c r="D81" s="165" t="n">
        <f aca="false">'Test Year 2001 Sales and Revs.'!G85</f>
        <v>48359561.124915</v>
      </c>
      <c r="E81" s="166" t="n">
        <v>2646975.81046118</v>
      </c>
      <c r="F81" s="167" t="n">
        <v>821742.17403</v>
      </c>
      <c r="G81" s="167" t="n">
        <v>1354561.30057</v>
      </c>
      <c r="H81" s="167" t="n">
        <v>16278393.3599002</v>
      </c>
      <c r="I81" s="167" t="n">
        <v>195116.86324</v>
      </c>
      <c r="J81" s="155" t="n">
        <f aca="false">D81-SUM(E81:I81,K81)</f>
        <v>27062771.6167136</v>
      </c>
      <c r="K81" s="168"/>
      <c r="L81" s="168" t="n">
        <f aca="false">IF(allocation_method&gt;=6,CHOOSE(gen_choice,'Generation Calculations'!H85-'Generation Calculations'!I85+'Generation Calculations'!J85,'Generation Calculations'!G85+'Generation Calculations'!H85-'Generation Calculations'!I85+'Generation Calculations'!J85),0)</f>
        <v>0</v>
      </c>
      <c r="M81" s="168" t="n">
        <f aca="false">'Test Year 2001 Sales and Revs.'!K85</f>
        <v>3752247.37</v>
      </c>
      <c r="N81" s="168" t="n">
        <f aca="false">CHOOSE(allocation_method,'RSP Surch Allocations'!E82,'RSP Surch Allocations'!J82,'RSP Surch Allocations'!N82,'RSP Surch Allocations'!Q82,'RSP Surch Allocations'!AA82,'RSP Surch Allocations'!AH82,'RSP Surch Allocations'!AS82,'RSP Surch Allocations'!BD82,'RSP Surch Allocations'!BO82,'RSP Surch Allocations'!BZ82,)</f>
        <v>14359409.4077235</v>
      </c>
      <c r="O81" s="155" t="n">
        <f aca="false">SUM(E81:N81)</f>
        <v>66471217.9026385</v>
      </c>
      <c r="P81" s="169" t="n">
        <f aca="false">ROUND(O81-D81,0)</f>
        <v>18111657</v>
      </c>
      <c r="Q81" s="170" t="n">
        <v>375224737</v>
      </c>
      <c r="R81" s="152" t="n">
        <f aca="false">D81/$Q81*100</f>
        <v>12.8881591100735</v>
      </c>
      <c r="S81" s="152" t="n">
        <f aca="false">E81/$Q81*100</f>
        <v>0.705437448400737</v>
      </c>
      <c r="T81" s="152" t="n">
        <f aca="false">F81/$Q81*100</f>
        <v>0.219</v>
      </c>
      <c r="U81" s="152" t="n">
        <f aca="false">G81/$Q81*100</f>
        <v>0.361</v>
      </c>
      <c r="V81" s="152" t="n">
        <f aca="false">H81/$Q81*100</f>
        <v>4.33830495559791</v>
      </c>
      <c r="W81" s="152" t="n">
        <f aca="false">I81/$Q81*100</f>
        <v>0.052</v>
      </c>
      <c r="X81" s="152" t="n">
        <f aca="false">J81/$Q81*100</f>
        <v>7.21241670607489</v>
      </c>
      <c r="Y81" s="152" t="n">
        <f aca="false">K81/$Q81*100</f>
        <v>0</v>
      </c>
      <c r="Z81" s="152" t="n">
        <f aca="false">L81/$Q81*100</f>
        <v>0</v>
      </c>
      <c r="AA81" s="154" t="n">
        <f aca="false">M81/$Q81*100</f>
        <v>1</v>
      </c>
      <c r="AB81" s="152" t="n">
        <f aca="false">N81/$Q81*100</f>
        <v>3.82688239654187</v>
      </c>
      <c r="AC81" s="152" t="n">
        <f aca="false">O81/$Q81*100</f>
        <v>17.7150415066154</v>
      </c>
      <c r="AD81" s="152"/>
      <c r="AE81" s="157"/>
      <c r="AF81" s="141" t="n">
        <f aca="false">(AC81-AG81)/AG81</f>
        <v>0.275550011071382</v>
      </c>
      <c r="AG81" s="152" t="n">
        <f aca="false">AA81+R81</f>
        <v>13.8881591100735</v>
      </c>
      <c r="AH81" s="152"/>
      <c r="AI81" s="141"/>
      <c r="AJ81" s="141"/>
      <c r="AK81" s="141"/>
      <c r="AL81" s="141"/>
      <c r="AM81" s="141"/>
      <c r="AN81" s="162"/>
      <c r="AO81" s="162"/>
      <c r="AP81" s="162"/>
      <c r="AQ81" s="158"/>
      <c r="AR81" s="162"/>
      <c r="AS81" s="163"/>
      <c r="AT81" s="163"/>
      <c r="AU81" s="162"/>
      <c r="AV81" s="163"/>
      <c r="AW81" s="162"/>
      <c r="AX81" s="163"/>
      <c r="AY81" s="162"/>
      <c r="AZ81" s="163"/>
      <c r="BA81" s="162"/>
      <c r="BB81" s="163"/>
      <c r="BC81" s="162"/>
      <c r="BD81" s="163"/>
      <c r="BE81" s="162"/>
      <c r="BF81" s="164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105"/>
      <c r="EW81" s="105"/>
      <c r="EX81" s="105"/>
      <c r="EY81" s="105"/>
      <c r="EZ81" s="105"/>
      <c r="FA81" s="105"/>
      <c r="FB81" s="105"/>
      <c r="FC81" s="105"/>
      <c r="FD81" s="105"/>
      <c r="FE81" s="105"/>
      <c r="FF81" s="105"/>
      <c r="FG81" s="105"/>
      <c r="FH81" s="105"/>
      <c r="FI81" s="105"/>
      <c r="FJ81" s="105"/>
      <c r="FK81" s="105"/>
      <c r="FL81" s="105"/>
      <c r="FM81" s="105"/>
      <c r="FN81" s="105"/>
      <c r="FO81" s="105"/>
      <c r="FP81" s="105"/>
      <c r="FQ81" s="105"/>
      <c r="FR81" s="105"/>
      <c r="FS81" s="105"/>
      <c r="FT81" s="105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  <c r="GR81" s="105"/>
      <c r="GS81" s="105"/>
      <c r="GT81" s="105"/>
      <c r="GU81" s="105"/>
      <c r="GV81" s="105"/>
      <c r="GW81" s="105"/>
      <c r="GX81" s="105"/>
      <c r="GY81" s="105"/>
      <c r="GZ81" s="105"/>
      <c r="HA81" s="105"/>
      <c r="HB81" s="105"/>
      <c r="HC81" s="105"/>
      <c r="HD81" s="105"/>
      <c r="HE81" s="105"/>
      <c r="HF81" s="105"/>
      <c r="HG81" s="105"/>
      <c r="HH81" s="105"/>
      <c r="HI81" s="105"/>
      <c r="HJ81" s="105"/>
      <c r="HK81" s="105"/>
      <c r="HL81" s="105"/>
      <c r="HM81" s="105"/>
      <c r="HN81" s="105"/>
      <c r="HO81" s="105"/>
      <c r="HP81" s="105"/>
      <c r="HQ81" s="105"/>
      <c r="HR81" s="105"/>
      <c r="HS81" s="105"/>
      <c r="HT81" s="105"/>
      <c r="HU81" s="105"/>
      <c r="HV81" s="105"/>
      <c r="HW81" s="105"/>
      <c r="HX81" s="105"/>
      <c r="HY81" s="105"/>
      <c r="HZ81" s="105"/>
      <c r="IA81" s="105"/>
      <c r="IB81" s="105"/>
      <c r="IC81" s="105"/>
      <c r="ID81" s="105"/>
      <c r="IE81" s="105"/>
      <c r="IF81" s="105"/>
      <c r="IG81" s="105"/>
      <c r="IH81" s="105"/>
      <c r="II81" s="105"/>
      <c r="IJ81" s="105"/>
      <c r="IK81" s="105"/>
      <c r="IL81" s="105"/>
      <c r="IM81" s="105"/>
      <c r="IN81" s="105"/>
      <c r="IO81" s="105"/>
      <c r="IP81" s="105"/>
      <c r="IQ81" s="105"/>
      <c r="IR81" s="105"/>
      <c r="IS81" s="105"/>
      <c r="IT81" s="105"/>
      <c r="IU81" s="105"/>
      <c r="IV81" s="105"/>
      <c r="IW81" s="105"/>
    </row>
    <row r="82" customFormat="false" ht="13.5" hidden="false" customHeight="true" outlineLevel="0" collapsed="false">
      <c r="A82" s="84"/>
      <c r="B82" s="94" t="s">
        <v>334</v>
      </c>
      <c r="C82" s="79" t="s">
        <v>231</v>
      </c>
      <c r="D82" s="167" t="n">
        <v>5123187.20023047</v>
      </c>
      <c r="E82" s="166" t="n">
        <v>264206.873818947</v>
      </c>
      <c r="F82" s="167" t="n">
        <v>82021.87947</v>
      </c>
      <c r="G82" s="167" t="n">
        <v>144742.77331</v>
      </c>
      <c r="H82" s="167" t="n">
        <v>2347419.38610343</v>
      </c>
      <c r="I82" s="167" t="n">
        <v>21347.16041</v>
      </c>
      <c r="J82" s="155" t="n">
        <f aca="false">D82-SUM(E82:I82,K82)</f>
        <v>2263449.1271181</v>
      </c>
      <c r="K82" s="168"/>
      <c r="L82" s="168" t="n">
        <f aca="false">IF(allocation_method&gt;=6,CHOOSE(gen_choice,'Generation Calculations'!H86-'Generation Calculations'!I86+'Generation Calculations'!J86,'Generation Calculations'!G86+'Generation Calculations'!H86-'Generation Calculations'!I86+'Generation Calculations'!J86),0)</f>
        <v>0</v>
      </c>
      <c r="M82" s="168" t="n">
        <f aca="false">'Test Year 2001 Sales and Revs.'!K86</f>
        <v>374529.13</v>
      </c>
      <c r="N82" s="168" t="n">
        <f aca="false">CHOOSE(allocation_method,'RSP Surch Allocations'!E83,'RSP Surch Allocations'!J83,'RSP Surch Allocations'!N83,'RSP Surch Allocations'!Q83,'RSP Surch Allocations'!AA83,'RSP Surch Allocations'!AH83,'RSP Surch Allocations'!AS83,'RSP Surch Allocations'!BD83,'RSP Surch Allocations'!BO83,'RSP Surch Allocations'!BZ83,)</f>
        <v>1433278.93458914</v>
      </c>
      <c r="O82" s="155" t="n">
        <f aca="false">SUM(E82:N82)</f>
        <v>6930995.26481962</v>
      </c>
      <c r="P82" s="169" t="n">
        <f aca="false">ROUND(O82-D82,0)</f>
        <v>1807808</v>
      </c>
      <c r="Q82" s="170" t="n">
        <v>37452913</v>
      </c>
      <c r="R82" s="152" t="n">
        <f aca="false">D82/$Q82*100</f>
        <v>13.6790086267268</v>
      </c>
      <c r="S82" s="152" t="n">
        <f aca="false">E82/$Q82*100</f>
        <v>0.705437448400735</v>
      </c>
      <c r="T82" s="152" t="n">
        <f aca="false">F82/$Q82*100</f>
        <v>0.219</v>
      </c>
      <c r="U82" s="152" t="n">
        <f aca="false">G82/$Q82*100</f>
        <v>0.386465996142944</v>
      </c>
      <c r="V82" s="152" t="n">
        <f aca="false">H82/$Q82*100</f>
        <v>6.26765503154168</v>
      </c>
      <c r="W82" s="152" t="n">
        <f aca="false">I82/$Q82*100</f>
        <v>0.0569973299807147</v>
      </c>
      <c r="X82" s="152" t="n">
        <f aca="false">J82/$Q82*100</f>
        <v>6.0434528206607</v>
      </c>
      <c r="Y82" s="152" t="n">
        <f aca="false">K82/$Q82*100</f>
        <v>0</v>
      </c>
      <c r="Z82" s="152" t="n">
        <f aca="false">L82/$Q82*100</f>
        <v>0</v>
      </c>
      <c r="AA82" s="154" t="n">
        <f aca="false">M82/$Q82*100</f>
        <v>1</v>
      </c>
      <c r="AB82" s="152" t="n">
        <f aca="false">N82/$Q82*100</f>
        <v>3.82688239654187</v>
      </c>
      <c r="AC82" s="152" t="n">
        <f aca="false">O82/$Q82*100</f>
        <v>18.5058910232686</v>
      </c>
      <c r="AD82" s="152"/>
      <c r="AE82" s="157"/>
      <c r="AF82" s="141" t="n">
        <f aca="false">(AC82-AG82)/AG82</f>
        <v>0.260704417706662</v>
      </c>
      <c r="AG82" s="152" t="n">
        <f aca="false">AA82+R82</f>
        <v>14.6790086267268</v>
      </c>
      <c r="AH82" s="152"/>
      <c r="AI82" s="141"/>
      <c r="AJ82" s="141"/>
      <c r="AK82" s="141"/>
      <c r="AL82" s="141"/>
      <c r="AM82" s="141"/>
      <c r="AN82" s="162"/>
      <c r="AO82" s="162"/>
      <c r="AP82" s="162"/>
      <c r="AQ82" s="158"/>
      <c r="AR82" s="162"/>
      <c r="AS82" s="163"/>
      <c r="AT82" s="163"/>
      <c r="AU82" s="162"/>
      <c r="AV82" s="163"/>
      <c r="AW82" s="162"/>
      <c r="AX82" s="163"/>
      <c r="AY82" s="162"/>
      <c r="AZ82" s="163"/>
      <c r="BA82" s="162"/>
      <c r="BB82" s="163"/>
      <c r="BC82" s="162"/>
      <c r="BD82" s="163"/>
      <c r="BE82" s="162"/>
      <c r="BF82" s="164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  <c r="GR82" s="105"/>
      <c r="GS82" s="105"/>
      <c r="GT82" s="105"/>
      <c r="GU82" s="105"/>
      <c r="GV82" s="105"/>
      <c r="GW82" s="105"/>
      <c r="GX82" s="105"/>
      <c r="GY82" s="105"/>
      <c r="GZ82" s="105"/>
      <c r="HA82" s="105"/>
      <c r="HB82" s="105"/>
      <c r="HC82" s="105"/>
      <c r="HD82" s="105"/>
      <c r="HE82" s="105"/>
      <c r="HF82" s="105"/>
      <c r="HG82" s="105"/>
      <c r="HH82" s="105"/>
      <c r="HI82" s="105"/>
      <c r="HJ82" s="105"/>
      <c r="HK82" s="105"/>
      <c r="HL82" s="105"/>
      <c r="HM82" s="105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105"/>
      <c r="ID82" s="105"/>
      <c r="IE82" s="105"/>
      <c r="IF82" s="105"/>
      <c r="IG82" s="105"/>
      <c r="IH82" s="105"/>
      <c r="II82" s="105"/>
      <c r="IJ82" s="105"/>
      <c r="IK82" s="105"/>
      <c r="IL82" s="105"/>
      <c r="IM82" s="105"/>
      <c r="IN82" s="105"/>
      <c r="IO82" s="105"/>
      <c r="IP82" s="105"/>
      <c r="IQ82" s="105"/>
      <c r="IR82" s="105"/>
      <c r="IS82" s="105"/>
      <c r="IT82" s="105"/>
      <c r="IU82" s="105"/>
      <c r="IV82" s="105"/>
      <c r="IW82" s="105"/>
    </row>
    <row r="83" customFormat="false" ht="12.75" hidden="true" customHeight="false" outlineLevel="0" collapsed="false">
      <c r="A83" s="84"/>
      <c r="B83" s="97" t="s">
        <v>335</v>
      </c>
      <c r="C83" s="79" t="s">
        <v>231</v>
      </c>
      <c r="D83" s="167" t="n">
        <v>170334703.653189</v>
      </c>
      <c r="E83" s="166"/>
      <c r="F83" s="167" t="n">
        <v>4269067.66116</v>
      </c>
      <c r="G83" s="167" t="n">
        <v>0</v>
      </c>
      <c r="H83" s="167" t="n">
        <v>0</v>
      </c>
      <c r="I83" s="167" t="n">
        <v>0</v>
      </c>
      <c r="J83" s="155"/>
      <c r="K83" s="168"/>
      <c r="L83" s="168"/>
      <c r="M83" s="168"/>
      <c r="N83" s="168" t="n">
        <f aca="false">CHOOSE(allocation_method,'RSP Surch Allocations'!E84,'RSP Surch Allocations'!J84,'RSP Surch Allocations'!N84,'RSP Surch Allocations'!Q84,'RSP Surch Allocations'!AH84,'RSP Surch Allocations'!AS84,'RSP Surch Allocations'!BD84,'RSP Surch Allocations'!BO84)</f>
        <v>74599177.5440154</v>
      </c>
      <c r="O83" s="155"/>
      <c r="P83" s="169"/>
      <c r="Q83" s="170" t="n">
        <v>1947345964</v>
      </c>
      <c r="R83" s="152"/>
      <c r="S83" s="152"/>
      <c r="T83" s="152"/>
      <c r="U83" s="152" t="n">
        <f aca="false">G83/$Q83*100</f>
        <v>0</v>
      </c>
      <c r="V83" s="152"/>
      <c r="W83" s="152"/>
      <c r="X83" s="152" t="n">
        <f aca="false">J83/$Q83*100</f>
        <v>0</v>
      </c>
      <c r="Y83" s="152" t="n">
        <f aca="false">K83/$Q83*100</f>
        <v>0</v>
      </c>
      <c r="Z83" s="152" t="n">
        <f aca="false">L83/$Q83*100</f>
        <v>0</v>
      </c>
      <c r="AA83" s="154" t="n">
        <f aca="false">M83/$Q83*100</f>
        <v>0</v>
      </c>
      <c r="AB83" s="152" t="n">
        <f aca="false">N83/$Q83*100</f>
        <v>3.83081275351725</v>
      </c>
      <c r="AC83" s="152"/>
      <c r="AD83" s="152"/>
      <c r="AE83" s="157"/>
      <c r="AF83" s="141"/>
      <c r="AG83" s="152" t="n">
        <f aca="false">AA83+R83</f>
        <v>0</v>
      </c>
      <c r="AH83" s="152"/>
      <c r="AI83" s="141"/>
      <c r="AJ83" s="141"/>
      <c r="AK83" s="141"/>
      <c r="AL83" s="141"/>
      <c r="AM83" s="141"/>
      <c r="AN83" s="162"/>
      <c r="AO83" s="162"/>
      <c r="AP83" s="162"/>
      <c r="AQ83" s="158"/>
      <c r="AR83" s="162"/>
      <c r="AS83" s="163"/>
      <c r="AT83" s="163"/>
      <c r="AU83" s="162"/>
      <c r="AV83" s="163"/>
      <c r="AW83" s="162"/>
      <c r="AX83" s="163"/>
      <c r="AY83" s="162"/>
      <c r="AZ83" s="163"/>
      <c r="BA83" s="162"/>
      <c r="BB83" s="163"/>
      <c r="BC83" s="162"/>
      <c r="BD83" s="163"/>
      <c r="BE83" s="162"/>
      <c r="BF83" s="164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  <c r="FW83" s="105"/>
      <c r="FX83" s="105"/>
      <c r="FY83" s="105"/>
      <c r="FZ83" s="105"/>
      <c r="GA83" s="105"/>
      <c r="GB83" s="105"/>
      <c r="GC83" s="105"/>
      <c r="GD83" s="105"/>
      <c r="GE83" s="105"/>
      <c r="GF83" s="105"/>
      <c r="GG83" s="105"/>
      <c r="GH83" s="105"/>
      <c r="GI83" s="105"/>
      <c r="GJ83" s="105"/>
      <c r="GK83" s="105"/>
      <c r="GL83" s="105"/>
      <c r="GM83" s="105"/>
      <c r="GN83" s="105"/>
      <c r="GO83" s="105"/>
      <c r="GP83" s="105"/>
      <c r="GQ83" s="105"/>
      <c r="GR83" s="105"/>
      <c r="GS83" s="105"/>
      <c r="GT83" s="105"/>
      <c r="GU83" s="105"/>
      <c r="GV83" s="105"/>
      <c r="GW83" s="105"/>
      <c r="GX83" s="105"/>
      <c r="GY83" s="105"/>
      <c r="GZ83" s="105"/>
      <c r="HA83" s="105"/>
      <c r="HB83" s="105"/>
      <c r="HC83" s="105"/>
      <c r="HD83" s="105"/>
      <c r="HE83" s="105"/>
      <c r="HF83" s="105"/>
      <c r="HG83" s="105"/>
      <c r="HH83" s="105"/>
      <c r="HI83" s="105"/>
      <c r="HJ83" s="105"/>
      <c r="HK83" s="105"/>
      <c r="HL83" s="105"/>
      <c r="HM83" s="105"/>
      <c r="HN83" s="105"/>
      <c r="HO83" s="105"/>
      <c r="HP83" s="105"/>
      <c r="HQ83" s="105"/>
      <c r="HR83" s="105"/>
      <c r="HS83" s="105"/>
      <c r="HT83" s="105"/>
      <c r="HU83" s="105"/>
      <c r="HV83" s="105"/>
      <c r="HW83" s="105"/>
      <c r="HX83" s="105"/>
      <c r="HY83" s="105"/>
      <c r="HZ83" s="105"/>
      <c r="IA83" s="105"/>
      <c r="IB83" s="105"/>
      <c r="IC83" s="105"/>
      <c r="ID83" s="105"/>
      <c r="IE83" s="105"/>
      <c r="IF83" s="105"/>
      <c r="IG83" s="105"/>
      <c r="IH83" s="105"/>
      <c r="II83" s="105"/>
      <c r="IJ83" s="105"/>
      <c r="IK83" s="105"/>
      <c r="IL83" s="105"/>
      <c r="IM83" s="105"/>
      <c r="IN83" s="105"/>
      <c r="IO83" s="105"/>
      <c r="IP83" s="105"/>
      <c r="IQ83" s="105"/>
      <c r="IR83" s="105"/>
      <c r="IS83" s="105"/>
      <c r="IT83" s="105"/>
      <c r="IU83" s="105"/>
      <c r="IV83" s="105"/>
      <c r="IW83" s="105"/>
    </row>
    <row r="84" customFormat="false" ht="12.75" hidden="true" customHeight="false" outlineLevel="0" collapsed="false">
      <c r="A84" s="84"/>
      <c r="B84" s="97" t="s">
        <v>335</v>
      </c>
      <c r="C84" s="79" t="s">
        <v>234</v>
      </c>
      <c r="D84" s="167" t="n">
        <v>10511470</v>
      </c>
      <c r="E84" s="166"/>
      <c r="F84" s="167" t="n">
        <v>182143.69758</v>
      </c>
      <c r="G84" s="167" t="n">
        <v>2072923.58778</v>
      </c>
      <c r="H84" s="167" t="n">
        <v>35692770.27075</v>
      </c>
      <c r="I84" s="167" t="n">
        <v>308538.3985875</v>
      </c>
      <c r="J84" s="155"/>
      <c r="K84" s="168"/>
      <c r="L84" s="168"/>
      <c r="M84" s="168"/>
      <c r="N84" s="168" t="n">
        <f aca="false">CHOOSE(allocation_method,'RSP Surch Allocations'!E85,'RSP Surch Allocations'!J85,'RSP Surch Allocations'!N85,'RSP Surch Allocations'!Q85,'RSP Surch Allocations'!AH85,'RSP Surch Allocations'!AS85,'RSP Surch Allocations'!BD85,'RSP Surch Allocations'!BO85)</f>
        <v>3166067.13611538</v>
      </c>
      <c r="O84" s="155"/>
      <c r="P84" s="169"/>
      <c r="Q84" s="170" t="n">
        <v>82732282</v>
      </c>
      <c r="R84" s="152"/>
      <c r="S84" s="152"/>
      <c r="T84" s="152"/>
      <c r="U84" s="152" t="n">
        <f aca="false">G84/$Q84*100</f>
        <v>2.50558009239972</v>
      </c>
      <c r="V84" s="152"/>
      <c r="W84" s="152"/>
      <c r="X84" s="152" t="n">
        <f aca="false">J84/$Q84*100</f>
        <v>0</v>
      </c>
      <c r="Y84" s="152" t="n">
        <f aca="false">K84/$Q84*100</f>
        <v>0</v>
      </c>
      <c r="Z84" s="152" t="n">
        <f aca="false">L84/$Q84*100</f>
        <v>0</v>
      </c>
      <c r="AA84" s="154" t="n">
        <f aca="false">M84/$Q84*100</f>
        <v>0</v>
      </c>
      <c r="AB84" s="152" t="n">
        <f aca="false">N84/$Q84*100</f>
        <v>3.82688239654187</v>
      </c>
      <c r="AC84" s="152"/>
      <c r="AD84" s="152"/>
      <c r="AE84" s="157"/>
      <c r="AF84" s="141"/>
      <c r="AG84" s="152" t="n">
        <f aca="false">AA84+R84</f>
        <v>0</v>
      </c>
      <c r="AH84" s="152"/>
      <c r="AI84" s="141"/>
      <c r="AJ84" s="141"/>
      <c r="AK84" s="141"/>
      <c r="AL84" s="141"/>
      <c r="AM84" s="141"/>
      <c r="AN84" s="162"/>
      <c r="AO84" s="162"/>
      <c r="AP84" s="162"/>
      <c r="AQ84" s="158"/>
      <c r="AR84" s="162"/>
      <c r="AS84" s="163"/>
      <c r="AT84" s="163"/>
      <c r="AU84" s="162"/>
      <c r="AV84" s="163"/>
      <c r="AW84" s="162"/>
      <c r="AX84" s="163"/>
      <c r="AY84" s="162"/>
      <c r="AZ84" s="163"/>
      <c r="BA84" s="162"/>
      <c r="BB84" s="163"/>
      <c r="BC84" s="162"/>
      <c r="BD84" s="163"/>
      <c r="BE84" s="162"/>
      <c r="BF84" s="164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  <c r="GT84" s="105"/>
      <c r="GU84" s="105"/>
      <c r="GV84" s="105"/>
      <c r="GW84" s="105"/>
      <c r="GX84" s="105"/>
      <c r="GY84" s="105"/>
      <c r="GZ84" s="105"/>
      <c r="HA84" s="105"/>
      <c r="HB84" s="105"/>
      <c r="HC84" s="105"/>
      <c r="HD84" s="105"/>
      <c r="HE84" s="105"/>
      <c r="HF84" s="105"/>
      <c r="HG84" s="105"/>
      <c r="HH84" s="105"/>
      <c r="HI84" s="105"/>
      <c r="HJ84" s="105"/>
      <c r="HK84" s="105"/>
      <c r="HL84" s="105"/>
      <c r="HM84" s="105"/>
      <c r="HN84" s="105"/>
      <c r="HO84" s="105"/>
      <c r="HP84" s="105"/>
      <c r="HQ84" s="105"/>
      <c r="HR84" s="105"/>
      <c r="HS84" s="105"/>
      <c r="HT84" s="105"/>
      <c r="HU84" s="105"/>
      <c r="HV84" s="105"/>
      <c r="HW84" s="105"/>
      <c r="HX84" s="105"/>
      <c r="HY84" s="105"/>
      <c r="HZ84" s="105"/>
      <c r="IA84" s="105"/>
      <c r="IB84" s="105"/>
      <c r="IC84" s="105"/>
      <c r="ID84" s="105"/>
      <c r="IE84" s="105"/>
      <c r="IF84" s="105"/>
      <c r="IG84" s="105"/>
      <c r="IH84" s="105"/>
      <c r="II84" s="105"/>
      <c r="IJ84" s="105"/>
      <c r="IK84" s="105"/>
      <c r="IL84" s="105"/>
      <c r="IM84" s="105"/>
      <c r="IN84" s="105"/>
      <c r="IO84" s="105"/>
      <c r="IP84" s="105"/>
      <c r="IQ84" s="105"/>
      <c r="IR84" s="105"/>
      <c r="IS84" s="105"/>
      <c r="IT84" s="105"/>
      <c r="IU84" s="105"/>
      <c r="IV84" s="105"/>
      <c r="IW84" s="105"/>
    </row>
    <row r="85" customFormat="false" ht="12.75" hidden="true" customHeight="false" outlineLevel="0" collapsed="false">
      <c r="A85" s="84"/>
      <c r="B85" s="97" t="s">
        <v>335</v>
      </c>
      <c r="C85" s="79" t="s">
        <v>236</v>
      </c>
      <c r="D85" s="167" t="n">
        <v>3336803</v>
      </c>
      <c r="E85" s="166"/>
      <c r="F85" s="167" t="n">
        <v>152061.34038</v>
      </c>
      <c r="G85" s="167" t="n">
        <v>8742656.1307</v>
      </c>
      <c r="H85" s="167" t="n">
        <v>96682223.9322392</v>
      </c>
      <c r="I85" s="167" t="n">
        <v>1242318.05285</v>
      </c>
      <c r="J85" s="155"/>
      <c r="K85" s="168"/>
      <c r="L85" s="168"/>
      <c r="M85" s="168"/>
      <c r="N85" s="168" t="n">
        <f aca="false">CHOOSE(allocation_method,'RSP Surch Allocations'!E86,'RSP Surch Allocations'!J86,'RSP Surch Allocations'!N86,'RSP Surch Allocations'!Q86,'RSP Surch Allocations'!AH86,'RSP Surch Allocations'!AS86,'RSP Surch Allocations'!BD86,'RSP Surch Allocations'!BO86)</f>
        <v>2657172.90728212</v>
      </c>
      <c r="O85" s="155"/>
      <c r="P85" s="169"/>
      <c r="Q85" s="186" t="n">
        <v>69434402</v>
      </c>
      <c r="R85" s="152"/>
      <c r="S85" s="152"/>
      <c r="T85" s="152"/>
      <c r="U85" s="152" t="n">
        <f aca="false">G85/$Q85*100</f>
        <v>12.5912456633529</v>
      </c>
      <c r="V85" s="152"/>
      <c r="W85" s="152"/>
      <c r="X85" s="152" t="n">
        <f aca="false">J85/$Q85*100</f>
        <v>0</v>
      </c>
      <c r="Y85" s="152" t="n">
        <f aca="false">K85/$Q85*100</f>
        <v>0</v>
      </c>
      <c r="Z85" s="152" t="n">
        <f aca="false">L85/$Q85*100</f>
        <v>0</v>
      </c>
      <c r="AA85" s="154" t="n">
        <f aca="false">M85/$Q85*100</f>
        <v>0</v>
      </c>
      <c r="AB85" s="152" t="n">
        <f aca="false">N85/$Q85*100</f>
        <v>3.82688239654187</v>
      </c>
      <c r="AC85" s="152"/>
      <c r="AD85" s="152"/>
      <c r="AE85" s="157"/>
      <c r="AF85" s="141"/>
      <c r="AG85" s="152" t="n">
        <f aca="false">AA85+R85</f>
        <v>0</v>
      </c>
      <c r="AH85" s="152"/>
      <c r="AI85" s="141"/>
      <c r="AJ85" s="141"/>
      <c r="AK85" s="141"/>
      <c r="AL85" s="141"/>
      <c r="AM85" s="141"/>
      <c r="AN85" s="162"/>
      <c r="AO85" s="162"/>
      <c r="AP85" s="162"/>
      <c r="AQ85" s="158"/>
      <c r="AR85" s="162"/>
      <c r="AS85" s="163"/>
      <c r="AT85" s="163"/>
      <c r="AU85" s="162"/>
      <c r="AV85" s="163"/>
      <c r="AW85" s="162"/>
      <c r="AX85" s="163"/>
      <c r="AY85" s="162"/>
      <c r="AZ85" s="163"/>
      <c r="BA85" s="162"/>
      <c r="BB85" s="163"/>
      <c r="BC85" s="162"/>
      <c r="BD85" s="163"/>
      <c r="BE85" s="162"/>
      <c r="BF85" s="164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  <c r="GI85" s="105"/>
      <c r="GJ85" s="105"/>
      <c r="GK85" s="105"/>
      <c r="GL85" s="105"/>
      <c r="GM85" s="105"/>
      <c r="GN85" s="105"/>
      <c r="GO85" s="105"/>
      <c r="GP85" s="105"/>
      <c r="GQ85" s="105"/>
      <c r="GR85" s="105"/>
      <c r="GS85" s="105"/>
      <c r="GT85" s="105"/>
      <c r="GU85" s="105"/>
      <c r="GV85" s="105"/>
      <c r="GW85" s="105"/>
      <c r="GX85" s="105"/>
      <c r="GY85" s="105"/>
      <c r="GZ85" s="105"/>
      <c r="HA85" s="105"/>
      <c r="HB85" s="105"/>
      <c r="HC85" s="105"/>
      <c r="HD85" s="105"/>
      <c r="HE85" s="105"/>
      <c r="HF85" s="105"/>
      <c r="HG85" s="105"/>
      <c r="HH85" s="105"/>
      <c r="HI85" s="105"/>
      <c r="HJ85" s="105"/>
      <c r="HK85" s="105"/>
      <c r="HL85" s="105"/>
      <c r="HM85" s="105"/>
      <c r="HN85" s="105"/>
      <c r="HO85" s="105"/>
      <c r="HP85" s="105"/>
      <c r="HQ85" s="105"/>
      <c r="HR85" s="105"/>
      <c r="HS85" s="105"/>
      <c r="HT85" s="105"/>
      <c r="HU85" s="105"/>
      <c r="HV85" s="105"/>
      <c r="HW85" s="105"/>
      <c r="HX85" s="105"/>
      <c r="HY85" s="105"/>
      <c r="HZ85" s="105"/>
      <c r="IA85" s="105"/>
      <c r="IB85" s="105"/>
      <c r="IC85" s="105"/>
      <c r="ID85" s="105"/>
      <c r="IE85" s="105"/>
      <c r="IF85" s="105"/>
      <c r="IG85" s="105"/>
      <c r="IH85" s="105"/>
      <c r="II85" s="105"/>
      <c r="IJ85" s="105"/>
      <c r="IK85" s="105"/>
      <c r="IL85" s="105"/>
      <c r="IM85" s="105"/>
      <c r="IN85" s="105"/>
      <c r="IO85" s="105"/>
      <c r="IP85" s="105"/>
      <c r="IQ85" s="105"/>
      <c r="IR85" s="105"/>
      <c r="IS85" s="105"/>
      <c r="IT85" s="105"/>
      <c r="IU85" s="105"/>
      <c r="IV85" s="105"/>
      <c r="IW85" s="105"/>
    </row>
    <row r="86" customFormat="false" ht="12.75" hidden="false" customHeight="false" outlineLevel="0" collapsed="false">
      <c r="A86" s="84"/>
      <c r="B86" s="97" t="s">
        <v>336</v>
      </c>
      <c r="C86" s="84"/>
      <c r="D86" s="167" t="n">
        <v>184183076.653189</v>
      </c>
      <c r="E86" s="166" t="n">
        <v>14724757.20187</v>
      </c>
      <c r="F86" s="167" t="n">
        <v>4603272.69912</v>
      </c>
      <c r="G86" s="167" t="n">
        <v>5647993.39072</v>
      </c>
      <c r="H86" s="167" t="n">
        <v>56630757.3101993</v>
      </c>
      <c r="I86" s="167" t="n">
        <v>777569.67976</v>
      </c>
      <c r="J86" s="155" t="n">
        <f aca="false">D86-SUM(E86:I86,K86)</f>
        <v>101798726.37152</v>
      </c>
      <c r="K86" s="168"/>
      <c r="L86" s="168" t="n">
        <f aca="false">IF(allocation_method&gt;=6,CHOOSE(gen_choice,'Generation Calculations'!H89-'Generation Calculations'!I89+'Generation Calculations'!J89,'Generation Calculations'!G89+'Generation Calculations'!H89-'Generation Calculations'!I89+'Generation Calculations'!J89),0)</f>
        <v>0</v>
      </c>
      <c r="M86" s="168" t="n">
        <f aca="false">'Test Year 2001 Sales and Revs.'!K89</f>
        <v>21015126.48</v>
      </c>
      <c r="N86" s="168" t="n">
        <f aca="false">CHOOSE(allocation_method,'RSP Surch Allocations'!E87,'RSP Surch Allocations'!J87,'RSP Surch Allocations'!N87,'RSP Surch Allocations'!Q87,'RSP Surch Allocations'!AA87,'RSP Surch Allocations'!AH87,'RSP Surch Allocations'!AS87,'RSP Surch Allocations'!BD87,'RSP Surch Allocations'!BO87,'RSP Surch Allocations'!BZ87,)</f>
        <v>80422417.5874129</v>
      </c>
      <c r="O86" s="155" t="n">
        <f aca="false">SUM(E86:N86)</f>
        <v>285620620.720602</v>
      </c>
      <c r="P86" s="169" t="n">
        <f aca="false">ROUND(O86-D86,0)</f>
        <v>101437544</v>
      </c>
      <c r="Q86" s="170" t="n">
        <f aca="false">'Test Year 2001 Sales and Revs.'!J89</f>
        <v>2101512648</v>
      </c>
      <c r="R86" s="152" t="n">
        <f aca="false">D86/$Q86*100</f>
        <v>8.76430969037827</v>
      </c>
      <c r="S86" s="152" t="n">
        <f aca="false">E86/$Q86*100</f>
        <v>0.700674212733551</v>
      </c>
      <c r="T86" s="152" t="n">
        <f aca="false">F86/$Q86*100</f>
        <v>0.219045681381024</v>
      </c>
      <c r="U86" s="152" t="n">
        <f aca="false">G86/$Q86*100</f>
        <v>0.268758477189998</v>
      </c>
      <c r="V86" s="152" t="n">
        <f aca="false">H86/$Q86*100</f>
        <v>2.69476166912888</v>
      </c>
      <c r="W86" s="152" t="n">
        <f aca="false">I86/$Q86*100</f>
        <v>0.037000475847719</v>
      </c>
      <c r="X86" s="152" t="n">
        <f aca="false">J86/$Q86*100</f>
        <v>4.8440691740971</v>
      </c>
      <c r="Y86" s="152" t="n">
        <f aca="false">K86/$Q86*100</f>
        <v>0</v>
      </c>
      <c r="Z86" s="152" t="n">
        <f aca="false">L86/$Q86*100</f>
        <v>0</v>
      </c>
      <c r="AA86" s="154" t="n">
        <f aca="false">M86/$Q86*100</f>
        <v>1</v>
      </c>
      <c r="AB86" s="152" t="n">
        <f aca="false">N86/$Q86*100</f>
        <v>3.82688239654187</v>
      </c>
      <c r="AC86" s="152" t="n">
        <f aca="false">O86/$Q86*100</f>
        <v>13.5911920869201</v>
      </c>
      <c r="AD86" s="152"/>
      <c r="AE86" s="157"/>
      <c r="AF86" s="141" t="n">
        <f aca="false">(AC86-AG86)/AG86</f>
        <v>0.391925544958173</v>
      </c>
      <c r="AG86" s="152" t="n">
        <f aca="false">AA86+R86</f>
        <v>9.76430969037827</v>
      </c>
      <c r="AH86" s="152"/>
      <c r="AI86" s="141"/>
      <c r="AJ86" s="141"/>
      <c r="AK86" s="141"/>
      <c r="AL86" s="141"/>
      <c r="AM86" s="141"/>
      <c r="AN86" s="162"/>
      <c r="AO86" s="162"/>
      <c r="AP86" s="162"/>
      <c r="AQ86" s="180"/>
      <c r="AR86" s="179"/>
      <c r="AS86" s="181"/>
      <c r="AT86" s="181"/>
      <c r="AU86" s="179"/>
      <c r="AV86" s="181"/>
      <c r="AW86" s="179"/>
      <c r="AX86" s="181"/>
      <c r="AY86" s="179"/>
      <c r="AZ86" s="181"/>
      <c r="BA86" s="179"/>
      <c r="BB86" s="181"/>
      <c r="BC86" s="179"/>
      <c r="BD86" s="181"/>
      <c r="BE86" s="179"/>
      <c r="BF86" s="182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  <c r="IT86" s="105"/>
      <c r="IU86" s="105"/>
      <c r="IV86" s="105"/>
      <c r="IW86" s="105"/>
    </row>
    <row r="87" customFormat="false" ht="12.75" hidden="false" customHeight="false" outlineLevel="0" collapsed="false">
      <c r="A87" s="84"/>
      <c r="B87" s="94" t="s">
        <v>337</v>
      </c>
      <c r="C87" s="79" t="s">
        <v>231</v>
      </c>
      <c r="D87" s="174" t="n">
        <v>13473184.515867</v>
      </c>
      <c r="E87" s="173" t="n">
        <v>1102711.31261274</v>
      </c>
      <c r="F87" s="174" t="n">
        <v>342331.95021</v>
      </c>
      <c r="G87" s="174" t="n">
        <v>406421.4734</v>
      </c>
      <c r="H87" s="174" t="n">
        <v>4131696.81395326</v>
      </c>
      <c r="I87" s="174" t="n">
        <v>56273.74524</v>
      </c>
      <c r="J87" s="175" t="n">
        <f aca="false">D87-SUM(E87:I87,K87)</f>
        <v>7433749.22045098</v>
      </c>
      <c r="K87" s="176"/>
      <c r="L87" s="168" t="n">
        <f aca="false">IF(allocation_method&gt;=6,CHOOSE(gen_choice,'Generation Calculations'!H90-'Generation Calculations'!I90+'Generation Calculations'!J90,'Generation Calculations'!G90+'Generation Calculations'!H90-'Generation Calculations'!I90+'Generation Calculations'!J90),0)</f>
        <v>0</v>
      </c>
      <c r="M87" s="176" t="n">
        <f aca="false">'Test Year 2001 Sales and Revs.'!K90</f>
        <v>1563159.59</v>
      </c>
      <c r="N87" s="176" t="n">
        <f aca="false">CHOOSE(allocation_method,'RSP Surch Allocations'!E88,'RSP Surch Allocations'!J88,'RSP Surch Allocations'!N88,'RSP Surch Allocations'!Q88,'RSP Surch Allocations'!AA88,'RSP Surch Allocations'!AH88,'RSP Surch Allocations'!AS88,'RSP Surch Allocations'!BD88,'RSP Surch Allocations'!BO88,'RSP Surch Allocations'!BZ88,)</f>
        <v>5982027.91795661</v>
      </c>
      <c r="O87" s="155" t="n">
        <f aca="false">SUM(E87:N87)</f>
        <v>21018372.0238236</v>
      </c>
      <c r="P87" s="169" t="n">
        <f aca="false">ROUND(O87-D87,0)</f>
        <v>7545188</v>
      </c>
      <c r="Q87" s="177" t="n">
        <v>156315959</v>
      </c>
      <c r="R87" s="178" t="n">
        <f aca="false">D87/$Q87*100</f>
        <v>8.61919960192099</v>
      </c>
      <c r="S87" s="178" t="n">
        <f aca="false">E87/$Q87*100</f>
        <v>0.705437448400737</v>
      </c>
      <c r="T87" s="178" t="n">
        <f aca="false">F87/$Q87*100</f>
        <v>0.219</v>
      </c>
      <c r="U87" s="178" t="n">
        <f aca="false">G87/$Q87*100</f>
        <v>0.259999987205401</v>
      </c>
      <c r="V87" s="178" t="n">
        <f aca="false">H87/$Q87*100</f>
        <v>2.64317017941416</v>
      </c>
      <c r="W87" s="178" t="n">
        <f aca="false">I87/$Q87*100</f>
        <v>0.036</v>
      </c>
      <c r="X87" s="178" t="n">
        <f aca="false">J87/$Q87*100</f>
        <v>4.75559198690069</v>
      </c>
      <c r="Y87" s="178" t="n">
        <f aca="false">K87/$Q87*100</f>
        <v>0</v>
      </c>
      <c r="Z87" s="178" t="n">
        <f aca="false">L87/$Q87*100</f>
        <v>0</v>
      </c>
      <c r="AA87" s="150" t="n">
        <f aca="false">M87/$Q87*100</f>
        <v>1</v>
      </c>
      <c r="AB87" s="178" t="n">
        <f aca="false">N87/$Q87*100</f>
        <v>3.82688239654187</v>
      </c>
      <c r="AC87" s="178" t="n">
        <f aca="false">O87/$Q87*100</f>
        <v>13.4460819984629</v>
      </c>
      <c r="AD87" s="178"/>
      <c r="AE87" s="157"/>
      <c r="AF87" s="151" t="n">
        <f aca="false">(AC87-AG87)/AG87</f>
        <v>0.397837923622837</v>
      </c>
      <c r="AG87" s="152" t="n">
        <f aca="false">AA87+R87</f>
        <v>9.61919960192099</v>
      </c>
      <c r="AH87" s="152"/>
      <c r="AI87" s="151"/>
      <c r="AJ87" s="151"/>
      <c r="AK87" s="151"/>
      <c r="AL87" s="151"/>
      <c r="AM87" s="151"/>
      <c r="AN87" s="162"/>
      <c r="AO87" s="162"/>
      <c r="AP87" s="179"/>
      <c r="AQ87" s="158"/>
      <c r="AR87" s="162"/>
      <c r="AS87" s="163"/>
      <c r="AT87" s="163"/>
      <c r="AU87" s="162"/>
      <c r="AV87" s="163"/>
      <c r="AW87" s="162"/>
      <c r="AX87" s="163"/>
      <c r="AY87" s="162"/>
      <c r="AZ87" s="163"/>
      <c r="BA87" s="162"/>
      <c r="BB87" s="163"/>
      <c r="BC87" s="162"/>
      <c r="BD87" s="163"/>
      <c r="BE87" s="162"/>
      <c r="BF87" s="164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  <c r="IW87" s="105"/>
    </row>
    <row r="88" customFormat="false" ht="12.75" hidden="false" customHeight="false" outlineLevel="0" collapsed="false">
      <c r="A88" s="84"/>
      <c r="B88" s="100" t="s">
        <v>338</v>
      </c>
      <c r="C88" s="84"/>
      <c r="D88" s="155" t="n">
        <f aca="false">SUM(D71:D75)</f>
        <v>75725715.6101153</v>
      </c>
      <c r="E88" s="155" t="n">
        <f aca="false">SUM(E71:E75)</f>
        <v>3240969.86709722</v>
      </c>
      <c r="F88" s="155" t="n">
        <f aca="false">SUM(F71:F75)</f>
        <v>1006145.05579375</v>
      </c>
      <c r="G88" s="155" t="n">
        <f aca="false">SUM(G71:G75)</f>
        <v>2072923.58768</v>
      </c>
      <c r="H88" s="155" t="n">
        <f aca="false">SUM(H71:H75)</f>
        <v>35572770.270751</v>
      </c>
      <c r="I88" s="155" t="n">
        <f aca="false">SUM(I71:I75)</f>
        <v>308538.3985875</v>
      </c>
      <c r="J88" s="155" t="n">
        <f aca="false">SUM(J71:J75)</f>
        <v>33524368.4302058</v>
      </c>
      <c r="K88" s="155"/>
      <c r="L88" s="155" t="n">
        <f aca="false">SUM(L71:L75)</f>
        <v>0</v>
      </c>
      <c r="M88" s="155" t="n">
        <f aca="false">SUM(M71:M75)</f>
        <v>4594269.66125</v>
      </c>
      <c r="N88" s="155" t="n">
        <f aca="false">SUM(N71:N75)</f>
        <v>17581729.691604</v>
      </c>
      <c r="O88" s="155" t="n">
        <f aca="false">SUM(O71:O75)</f>
        <v>97901714.9629693</v>
      </c>
      <c r="P88" s="187" t="n">
        <f aca="false">SUM(P71:P75)</f>
        <v>22175999</v>
      </c>
      <c r="Q88" s="159" t="n">
        <f aca="false">SUM(Q71:Q75)</f>
        <v>459426966.125</v>
      </c>
      <c r="R88" s="152" t="n">
        <f aca="false">D88/$Q88*100</f>
        <v>16.4826449454671</v>
      </c>
      <c r="S88" s="152" t="n">
        <f aca="false">E88/$Q88*100</f>
        <v>0.705437448400758</v>
      </c>
      <c r="T88" s="152" t="n">
        <f aca="false">F88/$Q88*100</f>
        <v>0.218999999995647</v>
      </c>
      <c r="U88" s="152" t="n">
        <f aca="false">G88/$Q88*100</f>
        <v>0.451197631075927</v>
      </c>
      <c r="V88" s="152" t="n">
        <f aca="false">H88/$Q88*100</f>
        <v>7.74285640453077</v>
      </c>
      <c r="W88" s="152" t="n">
        <f aca="false">I88/$Q88*100</f>
        <v>0.0671572243984376</v>
      </c>
      <c r="X88" s="152" t="n">
        <f aca="false">J88/$Q88*100</f>
        <v>7.29699623706559</v>
      </c>
      <c r="Y88" s="152" t="n">
        <f aca="false">K88/$Q88*100</f>
        <v>0</v>
      </c>
      <c r="Z88" s="152" t="n">
        <f aca="false">L88/$Q88*100</f>
        <v>0</v>
      </c>
      <c r="AA88" s="154" t="n">
        <f aca="false">M88/$Q88*100</f>
        <v>1</v>
      </c>
      <c r="AB88" s="152" t="n">
        <f aca="false">N88/$Q88*100</f>
        <v>3.82688239654187</v>
      </c>
      <c r="AC88" s="152" t="n">
        <f aca="false">O88/$Q88*100</f>
        <v>21.309527342009</v>
      </c>
      <c r="AD88" s="152"/>
      <c r="AE88" s="157"/>
      <c r="AF88" s="141" t="n">
        <f aca="false">(AC88-AG88)/AG88</f>
        <v>0.218896077137006</v>
      </c>
      <c r="AG88" s="152" t="n">
        <f aca="false">AA88+R88</f>
        <v>17.4826449454671</v>
      </c>
      <c r="AH88" s="152"/>
      <c r="AI88" s="141"/>
      <c r="AJ88" s="141"/>
      <c r="AK88" s="141"/>
      <c r="AL88" s="141"/>
      <c r="AM88" s="141"/>
      <c r="AN88" s="162"/>
      <c r="AO88" s="162"/>
      <c r="AP88" s="162"/>
      <c r="AQ88" s="158"/>
      <c r="AR88" s="162"/>
      <c r="AS88" s="163"/>
      <c r="AT88" s="163"/>
      <c r="AU88" s="162"/>
      <c r="AV88" s="163"/>
      <c r="AW88" s="162"/>
      <c r="AX88" s="163"/>
      <c r="AY88" s="162"/>
      <c r="AZ88" s="163"/>
      <c r="BA88" s="162"/>
      <c r="BB88" s="163"/>
      <c r="BC88" s="162"/>
      <c r="BD88" s="163"/>
      <c r="BE88" s="162"/>
      <c r="BF88" s="164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1"/>
      <c r="BY88" s="171"/>
      <c r="BZ88" s="171"/>
      <c r="CA88" s="171"/>
      <c r="CB88" s="171"/>
      <c r="CC88" s="171"/>
      <c r="CD88" s="171"/>
      <c r="CE88" s="171"/>
      <c r="CF88" s="171"/>
      <c r="CG88" s="171"/>
      <c r="CH88" s="171"/>
      <c r="CI88" s="171"/>
      <c r="CJ88" s="171"/>
      <c r="CK88" s="171"/>
      <c r="CL88" s="171"/>
      <c r="CM88" s="171"/>
      <c r="CN88" s="171"/>
      <c r="CO88" s="171"/>
      <c r="CP88" s="171"/>
      <c r="CQ88" s="171"/>
      <c r="CR88" s="171"/>
      <c r="CS88" s="171"/>
      <c r="CT88" s="171"/>
      <c r="CU88" s="171"/>
      <c r="CV88" s="171"/>
      <c r="CW88" s="171"/>
      <c r="CX88" s="171"/>
      <c r="CY88" s="171"/>
      <c r="CZ88" s="171"/>
      <c r="DA88" s="171"/>
      <c r="DB88" s="171"/>
      <c r="DC88" s="171"/>
      <c r="DD88" s="171"/>
      <c r="DE88" s="171"/>
      <c r="DF88" s="171"/>
      <c r="DG88" s="171"/>
      <c r="DH88" s="171"/>
      <c r="DI88" s="171"/>
      <c r="DJ88" s="171"/>
      <c r="DK88" s="171"/>
      <c r="DL88" s="171"/>
      <c r="DM88" s="171"/>
      <c r="DN88" s="171"/>
      <c r="DO88" s="171"/>
      <c r="DP88" s="171"/>
      <c r="DQ88" s="171"/>
      <c r="DR88" s="171"/>
      <c r="DS88" s="171"/>
      <c r="DT88" s="171"/>
      <c r="DU88" s="171"/>
      <c r="DV88" s="171"/>
      <c r="DW88" s="171"/>
      <c r="DX88" s="171"/>
      <c r="DY88" s="171"/>
      <c r="DZ88" s="171"/>
      <c r="EA88" s="171"/>
      <c r="EB88" s="171"/>
      <c r="EC88" s="171"/>
      <c r="ED88" s="171"/>
      <c r="EE88" s="171"/>
      <c r="EF88" s="171"/>
      <c r="EG88" s="171"/>
      <c r="EH88" s="171"/>
      <c r="EI88" s="171"/>
      <c r="EJ88" s="171"/>
      <c r="EK88" s="171"/>
      <c r="EL88" s="171"/>
      <c r="EM88" s="171"/>
      <c r="EN88" s="171"/>
      <c r="EO88" s="171"/>
      <c r="EP88" s="171"/>
      <c r="EQ88" s="171"/>
      <c r="ER88" s="171"/>
      <c r="ES88" s="171"/>
      <c r="ET88" s="171"/>
      <c r="EU88" s="171"/>
      <c r="EV88" s="171"/>
      <c r="EW88" s="171"/>
      <c r="EX88" s="171"/>
      <c r="EY88" s="171"/>
      <c r="EZ88" s="171"/>
      <c r="FA88" s="171"/>
      <c r="FB88" s="171"/>
      <c r="FC88" s="171"/>
      <c r="FD88" s="171"/>
      <c r="FE88" s="171"/>
      <c r="FF88" s="171"/>
      <c r="FG88" s="171"/>
      <c r="FH88" s="171"/>
      <c r="FI88" s="171"/>
      <c r="FJ88" s="171"/>
      <c r="FK88" s="171"/>
      <c r="FL88" s="171"/>
      <c r="FM88" s="171"/>
      <c r="FN88" s="171"/>
      <c r="FO88" s="171"/>
      <c r="FP88" s="171"/>
      <c r="FQ88" s="171"/>
      <c r="FR88" s="171"/>
      <c r="FS88" s="171"/>
      <c r="FT88" s="171"/>
      <c r="FU88" s="171"/>
      <c r="FV88" s="171"/>
      <c r="FW88" s="171"/>
      <c r="FX88" s="171"/>
      <c r="FY88" s="171"/>
      <c r="FZ88" s="171"/>
      <c r="GA88" s="171"/>
      <c r="GB88" s="171"/>
      <c r="GC88" s="171"/>
      <c r="GD88" s="171"/>
      <c r="GE88" s="171"/>
      <c r="GF88" s="171"/>
      <c r="GG88" s="171"/>
      <c r="GH88" s="171"/>
      <c r="GI88" s="171"/>
      <c r="GJ88" s="171"/>
      <c r="GK88" s="171"/>
      <c r="GL88" s="171"/>
      <c r="GM88" s="171"/>
      <c r="GN88" s="171"/>
      <c r="GO88" s="171"/>
      <c r="GP88" s="171"/>
      <c r="GQ88" s="171"/>
      <c r="GR88" s="171"/>
      <c r="GS88" s="171"/>
      <c r="GT88" s="171"/>
      <c r="GU88" s="171"/>
      <c r="GV88" s="171"/>
      <c r="GW88" s="171"/>
      <c r="GX88" s="171"/>
      <c r="GY88" s="171"/>
      <c r="GZ88" s="171"/>
      <c r="HA88" s="171"/>
      <c r="HB88" s="171"/>
      <c r="HC88" s="171"/>
      <c r="HD88" s="171"/>
      <c r="HE88" s="171"/>
      <c r="HF88" s="171"/>
      <c r="HG88" s="171"/>
      <c r="HH88" s="171"/>
      <c r="HI88" s="171"/>
      <c r="HJ88" s="171"/>
      <c r="HK88" s="171"/>
      <c r="HL88" s="171"/>
      <c r="HM88" s="171"/>
      <c r="HN88" s="171"/>
      <c r="HO88" s="171"/>
      <c r="HP88" s="171"/>
      <c r="HQ88" s="171"/>
      <c r="HR88" s="171"/>
      <c r="HS88" s="171"/>
      <c r="HT88" s="171"/>
      <c r="HU88" s="171"/>
      <c r="HV88" s="171"/>
      <c r="HW88" s="171"/>
      <c r="HX88" s="171"/>
      <c r="HY88" s="171"/>
      <c r="HZ88" s="171"/>
      <c r="IA88" s="171"/>
      <c r="IB88" s="171"/>
      <c r="IC88" s="171"/>
      <c r="ID88" s="171"/>
      <c r="IE88" s="171"/>
      <c r="IF88" s="171"/>
      <c r="IG88" s="171"/>
      <c r="IH88" s="171"/>
      <c r="II88" s="171"/>
      <c r="IJ88" s="171"/>
      <c r="IK88" s="171"/>
      <c r="IL88" s="171"/>
      <c r="IM88" s="171"/>
      <c r="IN88" s="171"/>
      <c r="IO88" s="171"/>
      <c r="IP88" s="171"/>
      <c r="IQ88" s="171"/>
      <c r="IR88" s="171"/>
      <c r="IS88" s="171"/>
      <c r="IT88" s="171"/>
      <c r="IU88" s="171"/>
      <c r="IV88" s="171"/>
      <c r="IW88" s="171"/>
    </row>
    <row r="89" customFormat="false" ht="12.75" hidden="false" customHeight="false" outlineLevel="0" collapsed="false">
      <c r="A89" s="84"/>
      <c r="B89" s="100" t="s">
        <v>339</v>
      </c>
      <c r="C89" s="84"/>
      <c r="D89" s="175" t="n">
        <f aca="false">SUM(D76:D78,D81,D82,D86,D87)</f>
        <v>297620454.928144</v>
      </c>
      <c r="E89" s="175" t="n">
        <f aca="false">SUM(E76:E78,E81,E82,E86,E87)</f>
        <v>20805166.573395</v>
      </c>
      <c r="F89" s="175" t="n">
        <f aca="false">SUM(F76:F78,F81,F82,F86,F87)</f>
        <v>6490906.45903</v>
      </c>
      <c r="G89" s="175" t="n">
        <f aca="false">SUM(G76:G78,G81,G82,G86,G87)</f>
        <v>8842456.1107</v>
      </c>
      <c r="H89" s="175" t="n">
        <f aca="false">SUM(H76:H78,H81,H82,H86,H87)</f>
        <v>97681222.9322381</v>
      </c>
      <c r="I89" s="175" t="n">
        <f aca="false">SUM(I76:I78,I81,I82,I86,I87)</f>
        <v>1242327.05285</v>
      </c>
      <c r="J89" s="175" t="n">
        <f aca="false">SUM(J76:J78,J81,J82,J86,J87)</f>
        <v>162558375.799931</v>
      </c>
      <c r="K89" s="175"/>
      <c r="L89" s="175" t="n">
        <f aca="false">SUM(L76:L78,L81,L82,L86,L87)</f>
        <v>0</v>
      </c>
      <c r="M89" s="175" t="n">
        <f aca="false">SUM(M76:M78,M81,M82,M86,M87)</f>
        <v>29634472.37</v>
      </c>
      <c r="N89" s="175" t="n">
        <f aca="false">SUM(N76:N78,N81,N82,N86,N87)</f>
        <v>113407640.643559</v>
      </c>
      <c r="O89" s="175" t="n">
        <f aca="false">SUM(O76:O78,O81,O82,O86,O87)</f>
        <v>440662567.941703</v>
      </c>
      <c r="P89" s="188" t="n">
        <f aca="false">SUM(P76:P87)</f>
        <v>143042114</v>
      </c>
      <c r="Q89" s="185" t="n">
        <f aca="false">SUM(Q76:Q78,Q81,Q82,Q86,Q87)</f>
        <v>2963447237</v>
      </c>
      <c r="R89" s="178" t="n">
        <f aca="false">D89/$Q89*100</f>
        <v>10.0430488929317</v>
      </c>
      <c r="S89" s="178" t="n">
        <f aca="false">E89/$Q89*100</f>
        <v>0.702059625480519</v>
      </c>
      <c r="T89" s="178" t="n">
        <f aca="false">F89/$Q89*100</f>
        <v>0.21903229380932</v>
      </c>
      <c r="U89" s="178" t="n">
        <f aca="false">G89/$Q89*100</f>
        <v>0.298384125092489</v>
      </c>
      <c r="V89" s="178" t="n">
        <f aca="false">H89/$Q89*100</f>
        <v>3.29620253442151</v>
      </c>
      <c r="W89" s="178" t="n">
        <f aca="false">I89/$Q89*100</f>
        <v>0.0419216862490068</v>
      </c>
      <c r="X89" s="178" t="n">
        <f aca="false">J89/$Q89*100</f>
        <v>5.48544862787887</v>
      </c>
      <c r="Y89" s="178" t="n">
        <f aca="false">K89/$Q89*100</f>
        <v>0</v>
      </c>
      <c r="Z89" s="178" t="n">
        <f aca="false">L89/$Q89*100</f>
        <v>0</v>
      </c>
      <c r="AA89" s="150" t="n">
        <f aca="false">M89/$Q89*100</f>
        <v>1</v>
      </c>
      <c r="AB89" s="178" t="n">
        <f aca="false">N89/$Q89*100</f>
        <v>3.82688239654187</v>
      </c>
      <c r="AC89" s="178" t="n">
        <f aca="false">O89/$Q89*100</f>
        <v>14.8699312894736</v>
      </c>
      <c r="AD89" s="178"/>
      <c r="AE89" s="157"/>
      <c r="AF89" s="151" t="n">
        <f aca="false">(AC89-AG89)/AG89</f>
        <v>0.346542194428871</v>
      </c>
      <c r="AG89" s="152" t="n">
        <f aca="false">AA89+R89</f>
        <v>11.0430488929317</v>
      </c>
      <c r="AH89" s="152"/>
      <c r="AI89" s="151"/>
      <c r="AJ89" s="151"/>
      <c r="AK89" s="151"/>
      <c r="AL89" s="151"/>
      <c r="AM89" s="151"/>
      <c r="AN89" s="179"/>
      <c r="AO89" s="179"/>
      <c r="AP89" s="179"/>
      <c r="AQ89" s="180"/>
      <c r="AR89" s="179"/>
      <c r="AS89" s="181"/>
      <c r="AT89" s="181"/>
      <c r="AU89" s="179"/>
      <c r="AV89" s="181"/>
      <c r="AW89" s="179"/>
      <c r="AX89" s="181"/>
      <c r="AY89" s="179"/>
      <c r="AZ89" s="181"/>
      <c r="BA89" s="179"/>
      <c r="BB89" s="181"/>
      <c r="BC89" s="179"/>
      <c r="BD89" s="181"/>
      <c r="BE89" s="179"/>
      <c r="BF89" s="182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1"/>
      <c r="BY89" s="171"/>
      <c r="BZ89" s="171"/>
      <c r="CA89" s="171"/>
      <c r="CB89" s="171"/>
      <c r="CC89" s="171"/>
      <c r="CD89" s="171"/>
      <c r="CE89" s="171"/>
      <c r="CF89" s="171"/>
      <c r="CG89" s="171"/>
      <c r="CH89" s="171"/>
      <c r="CI89" s="171"/>
      <c r="CJ89" s="171"/>
      <c r="CK89" s="171"/>
      <c r="CL89" s="171"/>
      <c r="CM89" s="171"/>
      <c r="CN89" s="171"/>
      <c r="CO89" s="171"/>
      <c r="CP89" s="171"/>
      <c r="CQ89" s="171"/>
      <c r="CR89" s="171"/>
      <c r="CS89" s="171"/>
      <c r="CT89" s="171"/>
      <c r="CU89" s="171"/>
      <c r="CV89" s="171"/>
      <c r="CW89" s="171"/>
      <c r="CX89" s="171"/>
      <c r="CY89" s="171"/>
      <c r="CZ89" s="171"/>
      <c r="DA89" s="171"/>
      <c r="DB89" s="171"/>
      <c r="DC89" s="171"/>
      <c r="DD89" s="171"/>
      <c r="DE89" s="171"/>
      <c r="DF89" s="171"/>
      <c r="DG89" s="171"/>
      <c r="DH89" s="171"/>
      <c r="DI89" s="171"/>
      <c r="DJ89" s="171"/>
      <c r="DK89" s="171"/>
      <c r="DL89" s="171"/>
      <c r="DM89" s="171"/>
      <c r="DN89" s="171"/>
      <c r="DO89" s="171"/>
      <c r="DP89" s="171"/>
      <c r="DQ89" s="171"/>
      <c r="DR89" s="171"/>
      <c r="DS89" s="171"/>
      <c r="DT89" s="171"/>
      <c r="DU89" s="171"/>
      <c r="DV89" s="171"/>
      <c r="DW89" s="171"/>
      <c r="DX89" s="171"/>
      <c r="DY89" s="171"/>
      <c r="DZ89" s="171"/>
      <c r="EA89" s="171"/>
      <c r="EB89" s="171"/>
      <c r="EC89" s="171"/>
      <c r="ED89" s="171"/>
      <c r="EE89" s="171"/>
      <c r="EF89" s="171"/>
      <c r="EG89" s="171"/>
      <c r="EH89" s="171"/>
      <c r="EI89" s="171"/>
      <c r="EJ89" s="171"/>
      <c r="EK89" s="171"/>
      <c r="EL89" s="171"/>
      <c r="EM89" s="171"/>
      <c r="EN89" s="171"/>
      <c r="EO89" s="171"/>
      <c r="EP89" s="171"/>
      <c r="EQ89" s="171"/>
      <c r="ER89" s="171"/>
      <c r="ES89" s="171"/>
      <c r="ET89" s="171"/>
      <c r="EU89" s="171"/>
      <c r="EV89" s="171"/>
      <c r="EW89" s="171"/>
      <c r="EX89" s="171"/>
      <c r="EY89" s="171"/>
      <c r="EZ89" s="171"/>
      <c r="FA89" s="171"/>
      <c r="FB89" s="171"/>
      <c r="FC89" s="171"/>
      <c r="FD89" s="171"/>
      <c r="FE89" s="171"/>
      <c r="FF89" s="171"/>
      <c r="FG89" s="171"/>
      <c r="FH89" s="171"/>
      <c r="FI89" s="171"/>
      <c r="FJ89" s="171"/>
      <c r="FK89" s="171"/>
      <c r="FL89" s="171"/>
      <c r="FM89" s="171"/>
      <c r="FN89" s="171"/>
      <c r="FO89" s="171"/>
      <c r="FP89" s="171"/>
      <c r="FQ89" s="171"/>
      <c r="FR89" s="171"/>
      <c r="FS89" s="171"/>
      <c r="FT89" s="171"/>
      <c r="FU89" s="171"/>
      <c r="FV89" s="171"/>
      <c r="FW89" s="171"/>
      <c r="FX89" s="171"/>
      <c r="FY89" s="171"/>
      <c r="FZ89" s="171"/>
      <c r="GA89" s="171"/>
      <c r="GB89" s="171"/>
      <c r="GC89" s="171"/>
      <c r="GD89" s="171"/>
      <c r="GE89" s="171"/>
      <c r="GF89" s="171"/>
      <c r="GG89" s="171"/>
      <c r="GH89" s="171"/>
      <c r="GI89" s="171"/>
      <c r="GJ89" s="171"/>
      <c r="GK89" s="171"/>
      <c r="GL89" s="171"/>
      <c r="GM89" s="171"/>
      <c r="GN89" s="171"/>
      <c r="GO89" s="171"/>
      <c r="GP89" s="171"/>
      <c r="GQ89" s="171"/>
      <c r="GR89" s="171"/>
      <c r="GS89" s="171"/>
      <c r="GT89" s="171"/>
      <c r="GU89" s="171"/>
      <c r="GV89" s="171"/>
      <c r="GW89" s="171"/>
      <c r="GX89" s="171"/>
      <c r="GY89" s="171"/>
      <c r="GZ89" s="171"/>
      <c r="HA89" s="171"/>
      <c r="HB89" s="171"/>
      <c r="HC89" s="171"/>
      <c r="HD89" s="171"/>
      <c r="HE89" s="171"/>
      <c r="HF89" s="171"/>
      <c r="HG89" s="171"/>
      <c r="HH89" s="171"/>
      <c r="HI89" s="171"/>
      <c r="HJ89" s="171"/>
      <c r="HK89" s="171"/>
      <c r="HL89" s="171"/>
      <c r="HM89" s="171"/>
      <c r="HN89" s="171"/>
      <c r="HO89" s="171"/>
      <c r="HP89" s="171"/>
      <c r="HQ89" s="171"/>
      <c r="HR89" s="171"/>
      <c r="HS89" s="171"/>
      <c r="HT89" s="171"/>
      <c r="HU89" s="171"/>
      <c r="HV89" s="171"/>
      <c r="HW89" s="171"/>
      <c r="HX89" s="171"/>
      <c r="HY89" s="171"/>
      <c r="HZ89" s="171"/>
      <c r="IA89" s="171"/>
      <c r="IB89" s="171"/>
      <c r="IC89" s="171"/>
      <c r="ID89" s="171"/>
      <c r="IE89" s="171"/>
      <c r="IF89" s="171"/>
      <c r="IG89" s="171"/>
      <c r="IH89" s="171"/>
      <c r="II89" s="171"/>
      <c r="IJ89" s="171"/>
      <c r="IK89" s="171"/>
      <c r="IL89" s="171"/>
      <c r="IM89" s="171"/>
      <c r="IN89" s="171"/>
      <c r="IO89" s="171"/>
      <c r="IP89" s="171"/>
      <c r="IQ89" s="171"/>
      <c r="IR89" s="171"/>
      <c r="IS89" s="171"/>
      <c r="IT89" s="171"/>
      <c r="IU89" s="171"/>
      <c r="IV89" s="171"/>
      <c r="IW89" s="171"/>
    </row>
    <row r="90" customFormat="false" ht="12.75" hidden="false" customHeight="false" outlineLevel="0" collapsed="false">
      <c r="A90" s="84"/>
      <c r="B90" s="95" t="s">
        <v>340</v>
      </c>
      <c r="C90" s="98"/>
      <c r="D90" s="155" t="n">
        <f aca="false">SUM(D88:D89)</f>
        <v>373346170.538259</v>
      </c>
      <c r="E90" s="155" t="n">
        <f aca="false">SUM(E88:E89)</f>
        <v>24046136.4404922</v>
      </c>
      <c r="F90" s="155" t="n">
        <f aca="false">SUM(F88:F89)</f>
        <v>7497051.51482375</v>
      </c>
      <c r="G90" s="155" t="n">
        <f aca="false">SUM(G88:G89)</f>
        <v>10915379.69838</v>
      </c>
      <c r="H90" s="155" t="n">
        <f aca="false">SUM(H88:H89)</f>
        <v>133253993.202989</v>
      </c>
      <c r="I90" s="155" t="n">
        <f aca="false">SUM(I88:I89)</f>
        <v>1550865.4514375</v>
      </c>
      <c r="J90" s="155" t="n">
        <f aca="false">SUM(J88:J89)</f>
        <v>196082744.230137</v>
      </c>
      <c r="K90" s="155"/>
      <c r="L90" s="155" t="n">
        <f aca="false">SUM(L88:L89)</f>
        <v>0</v>
      </c>
      <c r="M90" s="155" t="n">
        <f aca="false">SUM(M88:M89)</f>
        <v>34228742.03125</v>
      </c>
      <c r="N90" s="155" t="n">
        <f aca="false">SUM(N88:N89)</f>
        <v>130989370.335163</v>
      </c>
      <c r="O90" s="155" t="n">
        <f aca="false">SUM(O88:O89)</f>
        <v>538564282.904673</v>
      </c>
      <c r="P90" s="187" t="n">
        <f aca="false">SUM(P88:P89)</f>
        <v>165218113</v>
      </c>
      <c r="Q90" s="159" t="n">
        <f aca="false">SUM(Q88:Q89)</f>
        <v>3422874203.125</v>
      </c>
      <c r="R90" s="152" t="n">
        <f aca="false">D90/$Q90*100</f>
        <v>10.9073880131909</v>
      </c>
      <c r="S90" s="152" t="n">
        <f aca="false">E90/$Q90*100</f>
        <v>0.702513005547755</v>
      </c>
      <c r="T90" s="152" t="n">
        <f aca="false">F90/$Q90*100</f>
        <v>0.219027959250712</v>
      </c>
      <c r="U90" s="152" t="n">
        <f aca="false">G90/$Q90*100</f>
        <v>0.31889514631927</v>
      </c>
      <c r="V90" s="152" t="n">
        <f aca="false">H90/$Q90*100</f>
        <v>3.89304383670692</v>
      </c>
      <c r="W90" s="152" t="n">
        <f aca="false">I90/$Q90*100</f>
        <v>0.0453088649890083</v>
      </c>
      <c r="X90" s="152" t="n">
        <f aca="false">J90/$Q90*100</f>
        <v>5.72859920037721</v>
      </c>
      <c r="Y90" s="152" t="n">
        <f aca="false">K90/$Q90*100</f>
        <v>0</v>
      </c>
      <c r="Z90" s="152" t="n">
        <f aca="false">L90/$Q90*100</f>
        <v>0</v>
      </c>
      <c r="AA90" s="154" t="n">
        <f aca="false">M90/$Q90*100</f>
        <v>1</v>
      </c>
      <c r="AB90" s="152" t="n">
        <f aca="false">N90/$Q90*100</f>
        <v>3.82688239654187</v>
      </c>
      <c r="AC90" s="152" t="n">
        <f aca="false">O90/$Q90*100</f>
        <v>15.7342704097327</v>
      </c>
      <c r="AD90" s="152"/>
      <c r="AE90" s="157"/>
      <c r="AF90" s="141" t="n">
        <f aca="false">(AC90-AG90)/AG90</f>
        <v>0.321387225502561</v>
      </c>
      <c r="AG90" s="152" t="n">
        <f aca="false">AA90+R90</f>
        <v>11.9073880131909</v>
      </c>
      <c r="AH90" s="152"/>
      <c r="AI90" s="141"/>
      <c r="AJ90" s="141"/>
      <c r="AK90" s="141"/>
      <c r="AL90" s="141"/>
      <c r="AM90" s="141"/>
      <c r="AN90" s="162"/>
      <c r="AO90" s="162"/>
      <c r="AP90" s="162"/>
      <c r="AQ90" s="158"/>
      <c r="AR90" s="162"/>
      <c r="AS90" s="163"/>
      <c r="AT90" s="163"/>
      <c r="AU90" s="162"/>
      <c r="AV90" s="163"/>
      <c r="AW90" s="162"/>
      <c r="AX90" s="163"/>
      <c r="AY90" s="162"/>
      <c r="AZ90" s="163"/>
      <c r="BA90" s="162"/>
      <c r="BB90" s="163"/>
      <c r="BC90" s="162"/>
      <c r="BD90" s="163"/>
      <c r="BE90" s="162"/>
      <c r="BF90" s="164"/>
      <c r="BG90" s="171"/>
      <c r="BH90" s="171"/>
      <c r="BI90" s="171"/>
      <c r="BJ90" s="171"/>
      <c r="BK90" s="171"/>
      <c r="BL90" s="171"/>
      <c r="BM90" s="171"/>
      <c r="BN90" s="171"/>
      <c r="BO90" s="171"/>
      <c r="BP90" s="171"/>
      <c r="BQ90" s="171"/>
      <c r="BR90" s="171"/>
      <c r="BS90" s="171"/>
      <c r="BT90" s="171"/>
      <c r="BU90" s="171"/>
      <c r="BV90" s="171"/>
      <c r="BW90" s="171"/>
      <c r="BX90" s="171"/>
      <c r="BY90" s="171"/>
      <c r="BZ90" s="171"/>
      <c r="CA90" s="171"/>
      <c r="CB90" s="171"/>
      <c r="CC90" s="171"/>
      <c r="CD90" s="171"/>
      <c r="CE90" s="171"/>
      <c r="CF90" s="171"/>
      <c r="CG90" s="171"/>
      <c r="CH90" s="171"/>
      <c r="CI90" s="171"/>
      <c r="CJ90" s="171"/>
      <c r="CK90" s="171"/>
      <c r="CL90" s="171"/>
      <c r="CM90" s="171"/>
      <c r="CN90" s="171"/>
      <c r="CO90" s="171"/>
      <c r="CP90" s="171"/>
      <c r="CQ90" s="171"/>
      <c r="CR90" s="171"/>
      <c r="CS90" s="171"/>
      <c r="CT90" s="171"/>
      <c r="CU90" s="171"/>
      <c r="CV90" s="171"/>
      <c r="CW90" s="171"/>
      <c r="CX90" s="171"/>
      <c r="CY90" s="171"/>
      <c r="CZ90" s="171"/>
      <c r="DA90" s="171"/>
      <c r="DB90" s="171"/>
      <c r="DC90" s="171"/>
      <c r="DD90" s="171"/>
      <c r="DE90" s="171"/>
      <c r="DF90" s="171"/>
      <c r="DG90" s="171"/>
      <c r="DH90" s="171"/>
      <c r="DI90" s="171"/>
      <c r="DJ90" s="171"/>
      <c r="DK90" s="171"/>
      <c r="DL90" s="171"/>
      <c r="DM90" s="171"/>
      <c r="DN90" s="171"/>
      <c r="DO90" s="171"/>
      <c r="DP90" s="171"/>
      <c r="DQ90" s="171"/>
      <c r="DR90" s="171"/>
      <c r="DS90" s="171"/>
      <c r="DT90" s="171"/>
      <c r="DU90" s="171"/>
      <c r="DV90" s="171"/>
      <c r="DW90" s="171"/>
      <c r="DX90" s="171"/>
      <c r="DY90" s="171"/>
      <c r="DZ90" s="171"/>
      <c r="EA90" s="171"/>
      <c r="EB90" s="171"/>
      <c r="EC90" s="171"/>
      <c r="ED90" s="171"/>
      <c r="EE90" s="171"/>
      <c r="EF90" s="171"/>
      <c r="EG90" s="171"/>
      <c r="EH90" s="171"/>
      <c r="EI90" s="171"/>
      <c r="EJ90" s="171"/>
      <c r="EK90" s="171"/>
      <c r="EL90" s="171"/>
      <c r="EM90" s="171"/>
      <c r="EN90" s="171"/>
      <c r="EO90" s="171"/>
      <c r="EP90" s="171"/>
      <c r="EQ90" s="171"/>
      <c r="ER90" s="171"/>
      <c r="ES90" s="171"/>
      <c r="ET90" s="171"/>
      <c r="EU90" s="171"/>
      <c r="EV90" s="171"/>
      <c r="EW90" s="171"/>
      <c r="EX90" s="171"/>
      <c r="EY90" s="171"/>
      <c r="EZ90" s="171"/>
      <c r="FA90" s="171"/>
      <c r="FB90" s="171"/>
      <c r="FC90" s="171"/>
      <c r="FD90" s="171"/>
      <c r="FE90" s="171"/>
      <c r="FF90" s="171"/>
      <c r="FG90" s="171"/>
      <c r="FH90" s="171"/>
      <c r="FI90" s="171"/>
      <c r="FJ90" s="171"/>
      <c r="FK90" s="171"/>
      <c r="FL90" s="171"/>
      <c r="FM90" s="171"/>
      <c r="FN90" s="171"/>
      <c r="FO90" s="171"/>
      <c r="FP90" s="171"/>
      <c r="FQ90" s="171"/>
      <c r="FR90" s="171"/>
      <c r="FS90" s="171"/>
      <c r="FT90" s="171"/>
      <c r="FU90" s="171"/>
      <c r="FV90" s="171"/>
      <c r="FW90" s="171"/>
      <c r="FX90" s="171"/>
      <c r="FY90" s="171"/>
      <c r="FZ90" s="171"/>
      <c r="GA90" s="171"/>
      <c r="GB90" s="171"/>
      <c r="GC90" s="171"/>
      <c r="GD90" s="171"/>
      <c r="GE90" s="171"/>
      <c r="GF90" s="171"/>
      <c r="GG90" s="171"/>
      <c r="GH90" s="171"/>
      <c r="GI90" s="171"/>
      <c r="GJ90" s="171"/>
      <c r="GK90" s="171"/>
      <c r="GL90" s="171"/>
      <c r="GM90" s="171"/>
      <c r="GN90" s="171"/>
      <c r="GO90" s="171"/>
      <c r="GP90" s="171"/>
      <c r="GQ90" s="171"/>
      <c r="GR90" s="171"/>
      <c r="GS90" s="171"/>
      <c r="GT90" s="171"/>
      <c r="GU90" s="171"/>
      <c r="GV90" s="171"/>
      <c r="GW90" s="171"/>
      <c r="GX90" s="171"/>
      <c r="GY90" s="171"/>
      <c r="GZ90" s="171"/>
      <c r="HA90" s="171"/>
      <c r="HB90" s="171"/>
      <c r="HC90" s="171"/>
      <c r="HD90" s="171"/>
      <c r="HE90" s="171"/>
      <c r="HF90" s="171"/>
      <c r="HG90" s="171"/>
      <c r="HH90" s="171"/>
      <c r="HI90" s="171"/>
      <c r="HJ90" s="171"/>
      <c r="HK90" s="171"/>
      <c r="HL90" s="171"/>
      <c r="HM90" s="171"/>
      <c r="HN90" s="171"/>
      <c r="HO90" s="171"/>
      <c r="HP90" s="171"/>
      <c r="HQ90" s="171"/>
      <c r="HR90" s="171"/>
      <c r="HS90" s="171"/>
      <c r="HT90" s="171"/>
      <c r="HU90" s="171"/>
      <c r="HV90" s="171"/>
      <c r="HW90" s="171"/>
      <c r="HX90" s="171"/>
      <c r="HY90" s="171"/>
      <c r="HZ90" s="171"/>
      <c r="IA90" s="171"/>
      <c r="IB90" s="171"/>
      <c r="IC90" s="171"/>
      <c r="ID90" s="171"/>
      <c r="IE90" s="171"/>
      <c r="IF90" s="171"/>
      <c r="IG90" s="171"/>
      <c r="IH90" s="171"/>
      <c r="II90" s="171"/>
      <c r="IJ90" s="171"/>
      <c r="IK90" s="171"/>
      <c r="IL90" s="171"/>
      <c r="IM90" s="171"/>
      <c r="IN90" s="171"/>
      <c r="IO90" s="171"/>
      <c r="IP90" s="171"/>
      <c r="IQ90" s="171"/>
      <c r="IR90" s="171"/>
      <c r="IS90" s="171"/>
      <c r="IT90" s="171"/>
      <c r="IU90" s="171"/>
      <c r="IV90" s="171"/>
      <c r="IW90" s="171"/>
    </row>
    <row r="91" customFormat="false" ht="12.75" hidden="false" customHeight="false" outlineLevel="0" collapsed="false">
      <c r="A91" s="84"/>
      <c r="B91" s="85"/>
      <c r="C91" s="82"/>
      <c r="D91" s="167"/>
      <c r="E91" s="156"/>
      <c r="F91" s="167"/>
      <c r="G91" s="167"/>
      <c r="H91" s="167"/>
      <c r="I91" s="167"/>
      <c r="J91" s="155"/>
      <c r="K91" s="155"/>
      <c r="L91" s="155"/>
      <c r="M91" s="155"/>
      <c r="N91" s="155"/>
      <c r="O91" s="155"/>
      <c r="P91" s="169"/>
      <c r="Q91" s="159"/>
      <c r="R91" s="152"/>
      <c r="S91" s="152"/>
      <c r="T91" s="152"/>
      <c r="U91" s="152"/>
      <c r="V91" s="152"/>
      <c r="W91" s="152"/>
      <c r="X91" s="152"/>
      <c r="Y91" s="152"/>
      <c r="Z91" s="152"/>
      <c r="AA91" s="154"/>
      <c r="AB91" s="152"/>
      <c r="AC91" s="152"/>
      <c r="AD91" s="152"/>
      <c r="AE91" s="157"/>
      <c r="AF91" s="141"/>
      <c r="AG91" s="152" t="n">
        <f aca="false">AA91+R91</f>
        <v>0</v>
      </c>
      <c r="AH91" s="152"/>
      <c r="AI91" s="141"/>
      <c r="AJ91" s="141"/>
      <c r="AK91" s="141"/>
      <c r="AL91" s="141"/>
      <c r="AM91" s="141"/>
      <c r="AN91" s="162"/>
      <c r="AO91" s="162"/>
      <c r="AP91" s="162"/>
      <c r="AQ91" s="158"/>
      <c r="AR91" s="162"/>
      <c r="AS91" s="163"/>
      <c r="AT91" s="163"/>
      <c r="AU91" s="162"/>
      <c r="AV91" s="163"/>
      <c r="AW91" s="162"/>
      <c r="AX91" s="163"/>
      <c r="AY91" s="162"/>
      <c r="AZ91" s="163"/>
      <c r="BA91" s="162"/>
      <c r="BB91" s="163"/>
      <c r="BC91" s="162"/>
      <c r="BD91" s="163"/>
      <c r="BE91" s="162"/>
      <c r="BF91" s="164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  <c r="IT91" s="105"/>
      <c r="IU91" s="105"/>
      <c r="IV91" s="105"/>
      <c r="IW91" s="105"/>
    </row>
    <row r="92" customFormat="false" ht="12.75" hidden="false" customHeight="false" outlineLevel="0" collapsed="false">
      <c r="A92" s="84"/>
      <c r="B92" s="85" t="s">
        <v>341</v>
      </c>
      <c r="C92" s="82"/>
      <c r="D92" s="167"/>
      <c r="E92" s="156"/>
      <c r="F92" s="167"/>
      <c r="G92" s="167"/>
      <c r="H92" s="167"/>
      <c r="I92" s="167"/>
      <c r="J92" s="155"/>
      <c r="K92" s="155"/>
      <c r="L92" s="155"/>
      <c r="M92" s="155"/>
      <c r="N92" s="155"/>
      <c r="O92" s="155"/>
      <c r="P92" s="169"/>
      <c r="Q92" s="159"/>
      <c r="R92" s="152"/>
      <c r="S92" s="152"/>
      <c r="T92" s="152"/>
      <c r="U92" s="152"/>
      <c r="V92" s="152"/>
      <c r="W92" s="152"/>
      <c r="X92" s="152"/>
      <c r="Y92" s="152"/>
      <c r="Z92" s="152"/>
      <c r="AA92" s="154"/>
      <c r="AB92" s="152"/>
      <c r="AC92" s="152"/>
      <c r="AD92" s="152"/>
      <c r="AE92" s="157"/>
      <c r="AF92" s="141"/>
      <c r="AG92" s="152" t="n">
        <f aca="false">AA92+R92</f>
        <v>0</v>
      </c>
      <c r="AH92" s="152"/>
      <c r="AI92" s="141"/>
      <c r="AJ92" s="141"/>
      <c r="AK92" s="141"/>
      <c r="AL92" s="141"/>
      <c r="AM92" s="141"/>
      <c r="AN92" s="158"/>
      <c r="AO92" s="158"/>
      <c r="AP92" s="162"/>
      <c r="AQ92" s="158"/>
      <c r="AR92" s="162"/>
      <c r="AS92" s="163"/>
      <c r="AT92" s="163"/>
      <c r="AU92" s="162"/>
      <c r="AV92" s="163"/>
      <c r="AW92" s="162"/>
      <c r="AX92" s="163"/>
      <c r="AY92" s="162"/>
      <c r="AZ92" s="163"/>
      <c r="BA92" s="162"/>
      <c r="BB92" s="163"/>
      <c r="BC92" s="162"/>
      <c r="BD92" s="163"/>
      <c r="BE92" s="158"/>
      <c r="BF92" s="164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  <c r="IT92" s="105"/>
      <c r="IU92" s="105"/>
      <c r="IV92" s="105"/>
      <c r="IW92" s="105"/>
    </row>
    <row r="93" customFormat="false" ht="12.75" hidden="false" customHeight="false" outlineLevel="0" collapsed="false">
      <c r="A93" s="84"/>
      <c r="B93" s="94" t="s">
        <v>342</v>
      </c>
      <c r="C93" s="82" t="s">
        <v>236</v>
      </c>
      <c r="D93" s="167" t="n">
        <v>210910807.633659</v>
      </c>
      <c r="E93" s="166" t="n">
        <v>13793994.8015997</v>
      </c>
      <c r="F93" s="167" t="n">
        <v>8624106.9154637</v>
      </c>
      <c r="G93" s="167" t="n">
        <v>6442043.19145231</v>
      </c>
      <c r="H93" s="167" t="n">
        <v>7071847.08834471</v>
      </c>
      <c r="I93" s="167" t="n">
        <v>774676.079984771</v>
      </c>
      <c r="J93" s="155" t="n">
        <f aca="false">D93-SUM(E93:I93,K93)</f>
        <v>174204139.556813</v>
      </c>
      <c r="K93" s="168"/>
      <c r="L93" s="168" t="n">
        <f aca="false">IF(allocation_method&gt;=6,CHOOSE(gen_choice,'Generation Calculations'!H97-'Generation Calculations'!I97+'Generation Calculations'!J97,'Generation Calculations'!G97+'Generation Calculations'!H97-'Generation Calculations'!I97+'Generation Calculations'!J97),0)</f>
        <v>0</v>
      </c>
      <c r="M93" s="168" t="n">
        <f aca="false">'Test Year 2001 Sales and Revs.'!K97</f>
        <v>40772425.2623564</v>
      </c>
      <c r="N93" s="168" t="n">
        <f aca="false">CHOOSE(allocation_method,'RSP Surch Allocations'!E94,'RSP Surch Allocations'!J94,'RSP Surch Allocations'!N94,'RSP Surch Allocations'!Q94,'RSP Surch Allocations'!AA94,'RSP Surch Allocations'!AH94,'RSP Surch Allocations'!AS94,'RSP Surch Allocations'!BD94,'RSP Surch Allocations'!BO94,'RSP Surch Allocations'!BZ94,)</f>
        <v>156031276.500831</v>
      </c>
      <c r="O93" s="155" t="n">
        <f aca="false">SUM(E93:N93)</f>
        <v>407714509.396846</v>
      </c>
      <c r="P93" s="169" t="n">
        <f aca="false">ROUND(O93-D93,0)</f>
        <v>196803702</v>
      </c>
      <c r="Q93" s="170" t="n">
        <v>4077242526.23564</v>
      </c>
      <c r="R93" s="152" t="n">
        <f aca="false">D93/$Q93*100</f>
        <v>5.17287863737614</v>
      </c>
      <c r="S93" s="152" t="n">
        <f aca="false">E93/$Q93*100</f>
        <v>0.338316759742403</v>
      </c>
      <c r="T93" s="152" t="n">
        <f aca="false">F93/$Q93*100</f>
        <v>0.211518124319821</v>
      </c>
      <c r="U93" s="152" t="n">
        <f aca="false">G93/$Q93*100</f>
        <v>0.158</v>
      </c>
      <c r="V93" s="152" t="n">
        <f aca="false">H93/$Q93*100</f>
        <v>0.17344680977008</v>
      </c>
      <c r="W93" s="152" t="n">
        <f aca="false">I93/$Q93*100</f>
        <v>0.019</v>
      </c>
      <c r="X93" s="152" t="n">
        <f aca="false">J93/$Q93*100</f>
        <v>4.27259694354384</v>
      </c>
      <c r="Y93" s="152" t="n">
        <f aca="false">K93/$Q93*100</f>
        <v>0</v>
      </c>
      <c r="Z93" s="152" t="n">
        <f aca="false">L93/$Q93*100</f>
        <v>0</v>
      </c>
      <c r="AA93" s="154" t="n">
        <f aca="false">M93/$Q93*100</f>
        <v>1</v>
      </c>
      <c r="AB93" s="152" t="n">
        <f aca="false">N93/$Q93*100</f>
        <v>3.82688239654187</v>
      </c>
      <c r="AC93" s="152" t="n">
        <f aca="false">O93/$Q93*100</f>
        <v>9.99976103391802</v>
      </c>
      <c r="AD93" s="152"/>
      <c r="AE93" s="157"/>
      <c r="AF93" s="141" t="n">
        <f aca="false">(AC93-AG93)/AG93</f>
        <v>0.619951018212231</v>
      </c>
      <c r="AG93" s="152" t="n">
        <f aca="false">AA93+R93</f>
        <v>6.17287863737614</v>
      </c>
      <c r="AH93" s="152"/>
      <c r="AI93" s="141"/>
      <c r="AJ93" s="141"/>
      <c r="AK93" s="141"/>
      <c r="AL93" s="141"/>
      <c r="AM93" s="141"/>
      <c r="AN93" s="162"/>
      <c r="AO93" s="162"/>
      <c r="AP93" s="162"/>
      <c r="AQ93" s="158"/>
      <c r="AR93" s="162"/>
      <c r="AS93" s="163"/>
      <c r="AT93" s="163"/>
      <c r="AU93" s="162"/>
      <c r="AV93" s="163"/>
      <c r="AW93" s="162"/>
      <c r="AX93" s="163"/>
      <c r="AY93" s="162"/>
      <c r="AZ93" s="163"/>
      <c r="BA93" s="162"/>
      <c r="BB93" s="163"/>
      <c r="BC93" s="162"/>
      <c r="BD93" s="163"/>
      <c r="BE93" s="162"/>
      <c r="BF93" s="164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  <c r="IT93" s="105"/>
      <c r="IU93" s="105"/>
      <c r="IV93" s="105"/>
      <c r="IW93" s="105"/>
    </row>
    <row r="94" customFormat="false" ht="12.75" hidden="false" customHeight="false" outlineLevel="0" collapsed="false">
      <c r="A94" s="84"/>
      <c r="B94" s="94" t="s">
        <v>343</v>
      </c>
      <c r="C94" s="82" t="s">
        <v>236</v>
      </c>
      <c r="D94" s="174" t="n">
        <v>119756012.114192</v>
      </c>
      <c r="E94" s="173" t="n">
        <v>10030713.7213117</v>
      </c>
      <c r="F94" s="174" t="n">
        <v>5742585.56314712</v>
      </c>
      <c r="G94" s="174" t="n">
        <v>4684523.37145217</v>
      </c>
      <c r="H94" s="174" t="n">
        <v>4297638.58479514</v>
      </c>
      <c r="I94" s="174" t="n">
        <v>563328.759858172</v>
      </c>
      <c r="J94" s="175" t="n">
        <f aca="false">D94-SUM(E94:I94,K94)</f>
        <v>94437222.1136278</v>
      </c>
      <c r="K94" s="176"/>
      <c r="L94" s="176" t="n">
        <f aca="false">IF(allocation_method&gt;=6,CHOOSE(gen_choice,'Generation Calculations'!H98-'Generation Calculations'!I98+'Generation Calculations'!J98,'Generation Calculations'!G98+'Generation Calculations'!H98-'Generation Calculations'!I98+'Generation Calculations'!J98),0)</f>
        <v>0</v>
      </c>
      <c r="M94" s="176" t="n">
        <f aca="false">'Test Year 2001 Sales and Revs.'!K98</f>
        <v>29648882.0977985</v>
      </c>
      <c r="N94" s="176" t="n">
        <f aca="false">CHOOSE(allocation_method,'RSP Surch Allocations'!E95,'RSP Surch Allocations'!J95,'RSP Surch Allocations'!N95,'RSP Surch Allocations'!Q95,'RSP Surch Allocations'!AA95,'RSP Surch Allocations'!AH95,'RSP Surch Allocations'!AS95,'RSP Surch Allocations'!BD95,'RSP Surch Allocations'!BO95,'RSP Surch Allocations'!BZ95,)</f>
        <v>113462784.977211</v>
      </c>
      <c r="O94" s="155" t="n">
        <f aca="false">SUM(E94:N94)</f>
        <v>262867679.189201</v>
      </c>
      <c r="P94" s="169" t="n">
        <f aca="false">ROUND(O94-D94,0)</f>
        <v>143111667</v>
      </c>
      <c r="Q94" s="177" t="n">
        <v>2964888209.77985</v>
      </c>
      <c r="R94" s="178" t="n">
        <f aca="false">D94/$Q94*100</f>
        <v>4.03914089304177</v>
      </c>
      <c r="S94" s="178" t="n">
        <f aca="false">E94/$Q94*100</f>
        <v>0.338316759742403</v>
      </c>
      <c r="T94" s="178" t="n">
        <f aca="false">F94/$Q94*100</f>
        <v>0.193686410981867</v>
      </c>
      <c r="U94" s="178" t="n">
        <f aca="false">G94/$Q94*100</f>
        <v>0.158</v>
      </c>
      <c r="V94" s="178" t="n">
        <f aca="false">H94/$Q94*100</f>
        <v>0.144951117233329</v>
      </c>
      <c r="W94" s="178" t="n">
        <f aca="false">I94/$Q94*100</f>
        <v>0.019</v>
      </c>
      <c r="X94" s="178" t="n">
        <f aca="false">J94/$Q94*100</f>
        <v>3.18518660508417</v>
      </c>
      <c r="Y94" s="178" t="n">
        <f aca="false">K94/$Q94*100</f>
        <v>0</v>
      </c>
      <c r="Z94" s="178" t="n">
        <f aca="false">L94/$Q94*100</f>
        <v>0</v>
      </c>
      <c r="AA94" s="150" t="n">
        <f aca="false">M94/$Q94*100</f>
        <v>1</v>
      </c>
      <c r="AB94" s="178" t="n">
        <f aca="false">N94/$Q94*100</f>
        <v>3.82688239654187</v>
      </c>
      <c r="AC94" s="178" t="n">
        <f aca="false">O94/$Q94*100</f>
        <v>8.86602328958364</v>
      </c>
      <c r="AD94" s="178"/>
      <c r="AE94" s="157"/>
      <c r="AF94" s="151" t="n">
        <f aca="false">(AC94-AG94)/AG94</f>
        <v>0.75943151377771</v>
      </c>
      <c r="AG94" s="152" t="n">
        <f aca="false">AA94+R94</f>
        <v>5.03914089304177</v>
      </c>
      <c r="AH94" s="152"/>
      <c r="AI94" s="151"/>
      <c r="AJ94" s="151"/>
      <c r="AK94" s="151"/>
      <c r="AL94" s="151"/>
      <c r="AM94" s="151"/>
      <c r="AN94" s="179"/>
      <c r="AO94" s="179"/>
      <c r="AP94" s="179"/>
      <c r="AQ94" s="180"/>
      <c r="AR94" s="179"/>
      <c r="AS94" s="181"/>
      <c r="AT94" s="181"/>
      <c r="AU94" s="179"/>
      <c r="AV94" s="181"/>
      <c r="AW94" s="179"/>
      <c r="AX94" s="181"/>
      <c r="AY94" s="179"/>
      <c r="AZ94" s="181"/>
      <c r="BA94" s="179"/>
      <c r="BB94" s="181"/>
      <c r="BC94" s="179"/>
      <c r="BD94" s="181"/>
      <c r="BE94" s="179"/>
      <c r="BF94" s="182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  <c r="IT94" s="105"/>
      <c r="IU94" s="105"/>
      <c r="IV94" s="105"/>
      <c r="IW94" s="105"/>
    </row>
    <row r="95" customFormat="false" ht="12.75" hidden="false" customHeight="false" outlineLevel="0" collapsed="false">
      <c r="A95" s="84"/>
      <c r="B95" s="97" t="s">
        <v>344</v>
      </c>
      <c r="C95" s="98" t="s">
        <v>236</v>
      </c>
      <c r="D95" s="155" t="n">
        <v>330666819.747851</v>
      </c>
      <c r="E95" s="156" t="n">
        <f aca="false">SUM(E93:E94)</f>
        <v>23824708.5229115</v>
      </c>
      <c r="F95" s="155" t="n">
        <v>14366692.4686128</v>
      </c>
      <c r="G95" s="155" t="n">
        <f aca="false">SUM(G93:G94)</f>
        <v>11126566.5629045</v>
      </c>
      <c r="H95" s="155" t="n">
        <f aca="false">SUM(H93:H94)</f>
        <v>11369485.6731398</v>
      </c>
      <c r="I95" s="155" t="n">
        <f aca="false">SUM(I93:I94)</f>
        <v>1338004.83984294</v>
      </c>
      <c r="J95" s="155" t="n">
        <f aca="false">D95-SUM(E95:I95,K95)</f>
        <v>268641361.680439</v>
      </c>
      <c r="K95" s="155"/>
      <c r="L95" s="155" t="n">
        <f aca="false">SUM(L93:L94)</f>
        <v>0</v>
      </c>
      <c r="M95" s="155" t="n">
        <f aca="false">SUM(M93:M94)</f>
        <v>70421307.3601549</v>
      </c>
      <c r="N95" s="155" t="n">
        <f aca="false">SUM(N93:N94)</f>
        <v>269494061.478041</v>
      </c>
      <c r="O95" s="155" t="n">
        <f aca="false">SUM(O93:O94)</f>
        <v>670582188.586047</v>
      </c>
      <c r="P95" s="169" t="n">
        <f aca="false">ROUND(O95-D95,0)</f>
        <v>339915369</v>
      </c>
      <c r="Q95" s="159" t="n">
        <f aca="false">SUM(Q93:Q94)</f>
        <v>7042130736.01549</v>
      </c>
      <c r="R95" s="152" t="n">
        <f aca="false">D95/$Q95*100</f>
        <v>4.6955507096272</v>
      </c>
      <c r="S95" s="152" t="n">
        <f aca="false">E95/$Q95*100</f>
        <v>0.338316759742403</v>
      </c>
      <c r="T95" s="152" t="n">
        <f aca="false">F95/$Q95*100</f>
        <v>0.204010590078049</v>
      </c>
      <c r="U95" s="152" t="n">
        <f aca="false">G95/$Q95*100</f>
        <v>0.158</v>
      </c>
      <c r="V95" s="152" t="n">
        <f aca="false">H95/$Q95*100</f>
        <v>0.161449511509251</v>
      </c>
      <c r="W95" s="152" t="n">
        <f aca="false">I95/$Q95*100</f>
        <v>0.019</v>
      </c>
      <c r="X95" s="152" t="n">
        <f aca="false">J95/$Q95*100</f>
        <v>3.8147738482975</v>
      </c>
      <c r="Y95" s="152" t="n">
        <f aca="false">K95/$Q95*100</f>
        <v>0</v>
      </c>
      <c r="Z95" s="152" t="n">
        <f aca="false">L95/$Q95*100</f>
        <v>0</v>
      </c>
      <c r="AA95" s="154" t="n">
        <f aca="false">M95/$Q95*100</f>
        <v>1</v>
      </c>
      <c r="AB95" s="152" t="n">
        <f aca="false">N95/$Q95*100</f>
        <v>3.82688239654187</v>
      </c>
      <c r="AC95" s="152" t="n">
        <f aca="false">O95/$Q95*100</f>
        <v>9.52243310616908</v>
      </c>
      <c r="AD95" s="152"/>
      <c r="AE95" s="157"/>
      <c r="AF95" s="141" t="n">
        <f aca="false">(AC95-AG95)/AG95</f>
        <v>0.671907352185151</v>
      </c>
      <c r="AG95" s="152" t="n">
        <f aca="false">AA95+R95</f>
        <v>5.6955507096272</v>
      </c>
      <c r="AH95" s="152"/>
      <c r="AI95" s="141"/>
      <c r="AJ95" s="141"/>
      <c r="AK95" s="141"/>
      <c r="AL95" s="141"/>
      <c r="AM95" s="141"/>
      <c r="AN95" s="162"/>
      <c r="AO95" s="162"/>
      <c r="AP95" s="162"/>
      <c r="AQ95" s="158"/>
      <c r="AR95" s="162"/>
      <c r="AS95" s="163"/>
      <c r="AT95" s="163"/>
      <c r="AU95" s="162"/>
      <c r="AV95" s="163"/>
      <c r="AW95" s="162"/>
      <c r="AX95" s="163"/>
      <c r="AY95" s="162"/>
      <c r="AZ95" s="163"/>
      <c r="BA95" s="162"/>
      <c r="BB95" s="163"/>
      <c r="BC95" s="162"/>
      <c r="BD95" s="163"/>
      <c r="BE95" s="162"/>
      <c r="BF95" s="164"/>
      <c r="BG95" s="171"/>
      <c r="BH95" s="171"/>
      <c r="BI95" s="171"/>
      <c r="BJ95" s="171"/>
      <c r="BK95" s="171"/>
      <c r="BL95" s="171"/>
      <c r="BM95" s="171"/>
      <c r="BN95" s="171"/>
      <c r="BO95" s="171"/>
      <c r="BP95" s="171"/>
      <c r="BQ95" s="171"/>
      <c r="BR95" s="171"/>
      <c r="BS95" s="171"/>
      <c r="BT95" s="171"/>
      <c r="BU95" s="171"/>
      <c r="BV95" s="171"/>
      <c r="BW95" s="171"/>
      <c r="BX95" s="171"/>
      <c r="BY95" s="171"/>
      <c r="BZ95" s="171"/>
      <c r="CA95" s="171"/>
      <c r="CB95" s="171"/>
      <c r="CC95" s="171"/>
      <c r="CD95" s="171"/>
      <c r="CE95" s="171"/>
      <c r="CF95" s="171"/>
      <c r="CG95" s="171"/>
      <c r="CH95" s="171"/>
      <c r="CI95" s="171"/>
      <c r="CJ95" s="171"/>
      <c r="CK95" s="171"/>
      <c r="CL95" s="171"/>
      <c r="CM95" s="171"/>
      <c r="CN95" s="171"/>
      <c r="CO95" s="171"/>
      <c r="CP95" s="171"/>
      <c r="CQ95" s="171"/>
      <c r="CR95" s="171"/>
      <c r="CS95" s="171"/>
      <c r="CT95" s="171"/>
      <c r="CU95" s="171"/>
      <c r="CV95" s="171"/>
      <c r="CW95" s="171"/>
      <c r="CX95" s="171"/>
      <c r="CY95" s="171"/>
      <c r="CZ95" s="171"/>
      <c r="DA95" s="171"/>
      <c r="DB95" s="171"/>
      <c r="DC95" s="171"/>
      <c r="DD95" s="171"/>
      <c r="DE95" s="171"/>
      <c r="DF95" s="171"/>
      <c r="DG95" s="171"/>
      <c r="DH95" s="171"/>
      <c r="DI95" s="171"/>
      <c r="DJ95" s="171"/>
      <c r="DK95" s="171"/>
      <c r="DL95" s="171"/>
      <c r="DM95" s="171"/>
      <c r="DN95" s="171"/>
      <c r="DO95" s="171"/>
      <c r="DP95" s="171"/>
      <c r="DQ95" s="171"/>
      <c r="DR95" s="171"/>
      <c r="DS95" s="171"/>
      <c r="DT95" s="171"/>
      <c r="DU95" s="171"/>
      <c r="DV95" s="171"/>
      <c r="DW95" s="171"/>
      <c r="DX95" s="171"/>
      <c r="DY95" s="171"/>
      <c r="DZ95" s="171"/>
      <c r="EA95" s="171"/>
      <c r="EB95" s="171"/>
      <c r="EC95" s="171"/>
      <c r="ED95" s="171"/>
      <c r="EE95" s="171"/>
      <c r="EF95" s="171"/>
      <c r="EG95" s="171"/>
      <c r="EH95" s="171"/>
      <c r="EI95" s="171"/>
      <c r="EJ95" s="171"/>
      <c r="EK95" s="171"/>
      <c r="EL95" s="171"/>
      <c r="EM95" s="171"/>
      <c r="EN95" s="171"/>
      <c r="EO95" s="171"/>
      <c r="EP95" s="171"/>
      <c r="EQ95" s="171"/>
      <c r="ER95" s="171"/>
      <c r="ES95" s="171"/>
      <c r="ET95" s="171"/>
      <c r="EU95" s="171"/>
      <c r="EV95" s="171"/>
      <c r="EW95" s="171"/>
      <c r="EX95" s="171"/>
      <c r="EY95" s="171"/>
      <c r="EZ95" s="171"/>
      <c r="FA95" s="171"/>
      <c r="FB95" s="171"/>
      <c r="FC95" s="171"/>
      <c r="FD95" s="171"/>
      <c r="FE95" s="171"/>
      <c r="FF95" s="171"/>
      <c r="FG95" s="171"/>
      <c r="FH95" s="171"/>
      <c r="FI95" s="171"/>
      <c r="FJ95" s="171"/>
      <c r="FK95" s="171"/>
      <c r="FL95" s="171"/>
      <c r="FM95" s="171"/>
      <c r="FN95" s="171"/>
      <c r="FO95" s="171"/>
      <c r="FP95" s="171"/>
      <c r="FQ95" s="171"/>
      <c r="FR95" s="171"/>
      <c r="FS95" s="171"/>
      <c r="FT95" s="171"/>
      <c r="FU95" s="171"/>
      <c r="FV95" s="171"/>
      <c r="FW95" s="171"/>
      <c r="FX95" s="171"/>
      <c r="FY95" s="171"/>
      <c r="FZ95" s="171"/>
      <c r="GA95" s="171"/>
      <c r="GB95" s="171"/>
      <c r="GC95" s="171"/>
      <c r="GD95" s="171"/>
      <c r="GE95" s="171"/>
      <c r="GF95" s="171"/>
      <c r="GG95" s="171"/>
      <c r="GH95" s="171"/>
      <c r="GI95" s="171"/>
      <c r="GJ95" s="171"/>
      <c r="GK95" s="171"/>
      <c r="GL95" s="171"/>
      <c r="GM95" s="171"/>
      <c r="GN95" s="171"/>
      <c r="GO95" s="171"/>
      <c r="GP95" s="171"/>
      <c r="GQ95" s="171"/>
      <c r="GR95" s="171"/>
      <c r="GS95" s="171"/>
      <c r="GT95" s="171"/>
      <c r="GU95" s="171"/>
      <c r="GV95" s="171"/>
      <c r="GW95" s="171"/>
      <c r="GX95" s="171"/>
      <c r="GY95" s="171"/>
      <c r="GZ95" s="171"/>
      <c r="HA95" s="171"/>
      <c r="HB95" s="171"/>
      <c r="HC95" s="171"/>
      <c r="HD95" s="171"/>
      <c r="HE95" s="171"/>
      <c r="HF95" s="171"/>
      <c r="HG95" s="171"/>
      <c r="HH95" s="171"/>
      <c r="HI95" s="171"/>
      <c r="HJ95" s="171"/>
      <c r="HK95" s="171"/>
      <c r="HL95" s="171"/>
      <c r="HM95" s="171"/>
      <c r="HN95" s="171"/>
      <c r="HO95" s="171"/>
      <c r="HP95" s="171"/>
      <c r="HQ95" s="171"/>
      <c r="HR95" s="171"/>
      <c r="HS95" s="171"/>
      <c r="HT95" s="171"/>
      <c r="HU95" s="171"/>
      <c r="HV95" s="171"/>
      <c r="HW95" s="171"/>
      <c r="HX95" s="171"/>
      <c r="HY95" s="171"/>
      <c r="HZ95" s="171"/>
      <c r="IA95" s="171"/>
      <c r="IB95" s="171"/>
      <c r="IC95" s="171"/>
      <c r="ID95" s="171"/>
      <c r="IE95" s="171"/>
      <c r="IF95" s="171"/>
      <c r="IG95" s="171"/>
      <c r="IH95" s="171"/>
      <c r="II95" s="171"/>
      <c r="IJ95" s="171"/>
      <c r="IK95" s="171"/>
      <c r="IL95" s="171"/>
      <c r="IM95" s="171"/>
      <c r="IN95" s="171"/>
      <c r="IO95" s="171"/>
      <c r="IP95" s="171"/>
      <c r="IQ95" s="171"/>
      <c r="IR95" s="171"/>
      <c r="IS95" s="171"/>
      <c r="IT95" s="171"/>
      <c r="IU95" s="171"/>
      <c r="IV95" s="171"/>
      <c r="IW95" s="171"/>
    </row>
    <row r="96" customFormat="false" ht="8.25" hidden="false" customHeight="true" outlineLevel="0" collapsed="false">
      <c r="A96" s="84"/>
      <c r="B96" s="94"/>
      <c r="C96" s="82"/>
      <c r="D96" s="167"/>
      <c r="E96" s="156"/>
      <c r="F96" s="167"/>
      <c r="G96" s="167"/>
      <c r="H96" s="167"/>
      <c r="I96" s="167"/>
      <c r="J96" s="155"/>
      <c r="K96" s="155"/>
      <c r="L96" s="155"/>
      <c r="M96" s="155"/>
      <c r="N96" s="155"/>
      <c r="O96" s="155"/>
      <c r="P96" s="169"/>
      <c r="Q96" s="159"/>
      <c r="R96" s="152"/>
      <c r="S96" s="152"/>
      <c r="T96" s="152"/>
      <c r="U96" s="152"/>
      <c r="V96" s="152"/>
      <c r="W96" s="152"/>
      <c r="X96" s="152"/>
      <c r="Y96" s="152"/>
      <c r="Z96" s="152"/>
      <c r="AA96" s="154"/>
      <c r="AB96" s="152"/>
      <c r="AC96" s="152"/>
      <c r="AD96" s="152"/>
      <c r="AE96" s="157"/>
      <c r="AF96" s="141"/>
      <c r="AG96" s="152" t="n">
        <f aca="false">AA96+R96</f>
        <v>0</v>
      </c>
      <c r="AH96" s="152"/>
      <c r="AI96" s="141"/>
      <c r="AJ96" s="141"/>
      <c r="AK96" s="141"/>
      <c r="AL96" s="141"/>
      <c r="AM96" s="141"/>
      <c r="AN96" s="158"/>
      <c r="AO96" s="158"/>
      <c r="AP96" s="162"/>
      <c r="AQ96" s="158"/>
      <c r="AR96" s="162"/>
      <c r="AS96" s="163"/>
      <c r="AT96" s="163"/>
      <c r="AU96" s="162"/>
      <c r="AV96" s="163"/>
      <c r="AW96" s="162"/>
      <c r="AX96" s="163"/>
      <c r="AY96" s="162"/>
      <c r="AZ96" s="163"/>
      <c r="BA96" s="162"/>
      <c r="BB96" s="163"/>
      <c r="BC96" s="162"/>
      <c r="BD96" s="163"/>
      <c r="BE96" s="158"/>
      <c r="BF96" s="164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  <c r="GR96" s="105"/>
      <c r="GS96" s="105"/>
      <c r="GT96" s="105"/>
      <c r="GU96" s="105"/>
      <c r="GV96" s="105"/>
      <c r="GW96" s="105"/>
      <c r="GX96" s="105"/>
      <c r="GY96" s="105"/>
      <c r="GZ96" s="105"/>
      <c r="HA96" s="105"/>
      <c r="HB96" s="105"/>
      <c r="HC96" s="105"/>
      <c r="HD96" s="105"/>
      <c r="HE96" s="105"/>
      <c r="HF96" s="105"/>
      <c r="HG96" s="105"/>
      <c r="HH96" s="105"/>
      <c r="HI96" s="105"/>
      <c r="HJ96" s="105"/>
      <c r="HK96" s="105"/>
      <c r="HL96" s="105"/>
      <c r="HM96" s="105"/>
      <c r="HN96" s="105"/>
      <c r="HO96" s="105"/>
      <c r="HP96" s="105"/>
      <c r="HQ96" s="105"/>
      <c r="HR96" s="105"/>
      <c r="HS96" s="105"/>
      <c r="HT96" s="105"/>
      <c r="HU96" s="105"/>
      <c r="HV96" s="105"/>
      <c r="HW96" s="105"/>
      <c r="HX96" s="105"/>
      <c r="HY96" s="105"/>
      <c r="HZ96" s="105"/>
      <c r="IA96" s="105"/>
      <c r="IB96" s="105"/>
      <c r="IC96" s="105"/>
      <c r="ID96" s="105"/>
      <c r="IE96" s="105"/>
      <c r="IF96" s="105"/>
      <c r="IG96" s="105"/>
      <c r="IH96" s="105"/>
      <c r="II96" s="105"/>
      <c r="IJ96" s="105"/>
      <c r="IK96" s="105"/>
      <c r="IL96" s="105"/>
      <c r="IM96" s="105"/>
      <c r="IN96" s="105"/>
      <c r="IO96" s="105"/>
      <c r="IP96" s="105"/>
      <c r="IQ96" s="105"/>
      <c r="IR96" s="105"/>
      <c r="IS96" s="105"/>
      <c r="IT96" s="105"/>
      <c r="IU96" s="105"/>
      <c r="IV96" s="105"/>
      <c r="IW96" s="105"/>
    </row>
    <row r="97" customFormat="false" ht="12.75" hidden="false" customHeight="false" outlineLevel="0" collapsed="false">
      <c r="A97" s="84"/>
      <c r="B97" s="94" t="s">
        <v>342</v>
      </c>
      <c r="C97" s="82" t="s">
        <v>234</v>
      </c>
      <c r="D97" s="167" t="n">
        <v>362915721.76695</v>
      </c>
      <c r="E97" s="166" t="n">
        <v>17630689.1345386</v>
      </c>
      <c r="F97" s="167" t="n">
        <v>11319241.8423204</v>
      </c>
      <c r="G97" s="167" t="n">
        <v>11047947.3764508</v>
      </c>
      <c r="H97" s="167" t="n">
        <v>53730660.6476988</v>
      </c>
      <c r="I97" s="167" t="n">
        <v>1459162.99311614</v>
      </c>
      <c r="J97" s="155" t="n">
        <f aca="false">D97-SUM(E97:I97,K97)</f>
        <v>267728019.772825</v>
      </c>
      <c r="K97" s="168"/>
      <c r="L97" s="168" t="n">
        <f aca="false">IF(allocation_method&gt;=6,CHOOSE(gen_choice,'Generation Calculations'!H101-'Generation Calculations'!I101+'Generation Calculations'!J101,'Generation Calculations'!G101+'Generation Calculations'!H101-'Generation Calculations'!I101+'Generation Calculations'!J101),0)</f>
        <v>0</v>
      </c>
      <c r="M97" s="168" t="n">
        <f aca="false">'Test Year 2001 Sales and Revs.'!K101</f>
        <v>52112964.0398623</v>
      </c>
      <c r="N97" s="168" t="n">
        <f aca="false">CHOOSE(allocation_method,'RSP Surch Allocations'!E98,'RSP Surch Allocations'!J98,'RSP Surch Allocations'!N98,'RSP Surch Allocations'!Q98,'RSP Surch Allocations'!AA98,'RSP Surch Allocations'!AH98,'RSP Surch Allocations'!AS98,'RSP Surch Allocations'!BD98,'RSP Surch Allocations'!BO98,'RSP Surch Allocations'!BZ98,)</f>
        <v>199430184.715769</v>
      </c>
      <c r="O97" s="155" t="n">
        <f aca="false">SUM(E97:N97)</f>
        <v>614458870.52258</v>
      </c>
      <c r="P97" s="169" t="n">
        <f aca="false">ROUND(O97-D97,0)</f>
        <v>251543149</v>
      </c>
      <c r="Q97" s="170" t="n">
        <v>5211296403.98623</v>
      </c>
      <c r="R97" s="152" t="n">
        <f aca="false">D97/$Q97*100</f>
        <v>6.96401996035666</v>
      </c>
      <c r="S97" s="152" t="n">
        <f aca="false">E97/$Q97*100</f>
        <v>0.338316759742403</v>
      </c>
      <c r="T97" s="152" t="n">
        <f aca="false">F97/$Q97*100</f>
        <v>0.217205872873822</v>
      </c>
      <c r="U97" s="152" t="n">
        <f aca="false">G97/$Q97*100</f>
        <v>0.211999980810917</v>
      </c>
      <c r="V97" s="152" t="n">
        <f aca="false">H97/$Q97*100</f>
        <v>1.03104211471447</v>
      </c>
      <c r="W97" s="152" t="n">
        <f aca="false">I97/$Q97*100</f>
        <v>0.028</v>
      </c>
      <c r="X97" s="152" t="n">
        <f aca="false">J97/$Q97*100</f>
        <v>5.13745523221505</v>
      </c>
      <c r="Y97" s="152" t="n">
        <f aca="false">K97/$Q97*100</f>
        <v>0</v>
      </c>
      <c r="Z97" s="152" t="n">
        <f aca="false">L97/$Q97*100</f>
        <v>0</v>
      </c>
      <c r="AA97" s="154" t="n">
        <f aca="false">M97/$Q97*100</f>
        <v>1</v>
      </c>
      <c r="AB97" s="152" t="n">
        <f aca="false">N97/$Q97*100</f>
        <v>3.82688239654187</v>
      </c>
      <c r="AC97" s="152" t="n">
        <f aca="false">O97/$Q97*100</f>
        <v>11.7909023568985</v>
      </c>
      <c r="AD97" s="152"/>
      <c r="AE97" s="157"/>
      <c r="AF97" s="141" t="n">
        <f aca="false">(AC97-AG97)/AG97</f>
        <v>0.480521447157509</v>
      </c>
      <c r="AG97" s="152" t="n">
        <f aca="false">AA97+R97</f>
        <v>7.96401996035666</v>
      </c>
      <c r="AH97" s="152"/>
      <c r="AI97" s="141"/>
      <c r="AJ97" s="141"/>
      <c r="AK97" s="141"/>
      <c r="AL97" s="141"/>
      <c r="AM97" s="141"/>
      <c r="AN97" s="162"/>
      <c r="AO97" s="162"/>
      <c r="AP97" s="162"/>
      <c r="AQ97" s="158"/>
      <c r="AR97" s="162"/>
      <c r="AS97" s="163"/>
      <c r="AT97" s="163"/>
      <c r="AU97" s="162"/>
      <c r="AV97" s="163"/>
      <c r="AW97" s="162"/>
      <c r="AX97" s="163"/>
      <c r="AY97" s="162"/>
      <c r="AZ97" s="163"/>
      <c r="BA97" s="162"/>
      <c r="BB97" s="163"/>
      <c r="BC97" s="162"/>
      <c r="BD97" s="163"/>
      <c r="BE97" s="162"/>
      <c r="BF97" s="164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  <c r="GR97" s="105"/>
      <c r="GS97" s="105"/>
      <c r="GT97" s="105"/>
      <c r="GU97" s="105"/>
      <c r="GV97" s="105"/>
      <c r="GW97" s="105"/>
      <c r="GX97" s="105"/>
      <c r="GY97" s="105"/>
      <c r="GZ97" s="105"/>
      <c r="HA97" s="105"/>
      <c r="HB97" s="105"/>
      <c r="HC97" s="105"/>
      <c r="HD97" s="105"/>
      <c r="HE97" s="105"/>
      <c r="HF97" s="105"/>
      <c r="HG97" s="105"/>
      <c r="HH97" s="105"/>
      <c r="HI97" s="105"/>
      <c r="HJ97" s="105"/>
      <c r="HK97" s="105"/>
      <c r="HL97" s="105"/>
      <c r="HM97" s="105"/>
      <c r="HN97" s="105"/>
      <c r="HO97" s="105"/>
      <c r="HP97" s="105"/>
      <c r="HQ97" s="105"/>
      <c r="HR97" s="105"/>
      <c r="HS97" s="105"/>
      <c r="HT97" s="105"/>
      <c r="HU97" s="105"/>
      <c r="HV97" s="105"/>
      <c r="HW97" s="105"/>
      <c r="HX97" s="105"/>
      <c r="HY97" s="105"/>
      <c r="HZ97" s="105"/>
      <c r="IA97" s="105"/>
      <c r="IB97" s="105"/>
      <c r="IC97" s="105"/>
      <c r="ID97" s="105"/>
      <c r="IE97" s="105"/>
      <c r="IF97" s="105"/>
      <c r="IG97" s="105"/>
      <c r="IH97" s="105"/>
      <c r="II97" s="105"/>
      <c r="IJ97" s="105"/>
      <c r="IK97" s="105"/>
      <c r="IL97" s="105"/>
      <c r="IM97" s="105"/>
      <c r="IN97" s="105"/>
      <c r="IO97" s="105"/>
      <c r="IP97" s="105"/>
      <c r="IQ97" s="105"/>
      <c r="IR97" s="105"/>
      <c r="IS97" s="105"/>
      <c r="IT97" s="105"/>
      <c r="IU97" s="105"/>
      <c r="IV97" s="105"/>
      <c r="IW97" s="105"/>
    </row>
    <row r="98" customFormat="false" ht="12.75" hidden="false" customHeight="false" outlineLevel="0" collapsed="false">
      <c r="A98" s="84"/>
      <c r="B98" s="94" t="s">
        <v>343</v>
      </c>
      <c r="C98" s="82" t="s">
        <v>234</v>
      </c>
      <c r="D98" s="174" t="n">
        <v>62043108.6477908</v>
      </c>
      <c r="E98" s="173" t="n">
        <v>3561141.08258447</v>
      </c>
      <c r="F98" s="174" t="n">
        <v>2406327.91789366</v>
      </c>
      <c r="G98" s="174" t="n">
        <v>2225257.50743512</v>
      </c>
      <c r="H98" s="174" t="n">
        <v>11066854.5303709</v>
      </c>
      <c r="I98" s="174" t="n">
        <v>293901.934744261</v>
      </c>
      <c r="J98" s="175" t="n">
        <f aca="false">D98-SUM(E98:I98,K98)</f>
        <v>42489625.6747623</v>
      </c>
      <c r="K98" s="176"/>
      <c r="L98" s="176" t="n">
        <f aca="false">IF(allocation_method&gt;=6,CHOOSE(gen_choice,'Generation Calculations'!H102-'Generation Calculations'!I102+'Generation Calculations'!J102,'Generation Calculations'!G102+'Generation Calculations'!H102-'Generation Calculations'!I102+'Generation Calculations'!J102),0)</f>
        <v>0</v>
      </c>
      <c r="M98" s="176" t="n">
        <f aca="false">'Test Year 2001 Sales and Revs.'!K102</f>
        <v>10496497.6765808</v>
      </c>
      <c r="N98" s="176" t="n">
        <f aca="false">CHOOSE(allocation_method,'RSP Surch Allocations'!E99,'RSP Surch Allocations'!J99,'RSP Surch Allocations'!N99,'RSP Surch Allocations'!Q99,'RSP Surch Allocations'!AA99,'RSP Surch Allocations'!AH99,'RSP Surch Allocations'!AS99,'RSP Surch Allocations'!BD99,'RSP Surch Allocations'!BO99,'RSP Surch Allocations'!BZ99,)</f>
        <v>40168862.1838496</v>
      </c>
      <c r="O98" s="155" t="n">
        <f aca="false">SUM(E98:N98)</f>
        <v>112708468.508221</v>
      </c>
      <c r="P98" s="169" t="n">
        <f aca="false">ROUND(O98-D98,0)</f>
        <v>50665360</v>
      </c>
      <c r="Q98" s="177" t="n">
        <v>1049649767.65808</v>
      </c>
      <c r="R98" s="178" t="n">
        <f aca="false">D98/$Q98*100</f>
        <v>5.9108390778972</v>
      </c>
      <c r="S98" s="178" t="n">
        <f aca="false">E98/$Q98*100</f>
        <v>0.339269458471839</v>
      </c>
      <c r="T98" s="178" t="n">
        <f aca="false">F98/$Q98*100</f>
        <v>0.229250554998219</v>
      </c>
      <c r="U98" s="178" t="n">
        <f aca="false">G98/$Q98*100</f>
        <v>0.212</v>
      </c>
      <c r="V98" s="178" t="n">
        <f aca="false">H98/$Q98*100</f>
        <v>1.05433782499306</v>
      </c>
      <c r="W98" s="178" t="n">
        <f aca="false">I98/$Q98*100</f>
        <v>0.027999999980946</v>
      </c>
      <c r="X98" s="178" t="n">
        <f aca="false">J98/$Q98*100</f>
        <v>4.04798123945313</v>
      </c>
      <c r="Y98" s="178" t="n">
        <f aca="false">K98/$Q98*100</f>
        <v>0</v>
      </c>
      <c r="Z98" s="178" t="n">
        <f aca="false">L98/$Q98*100</f>
        <v>0</v>
      </c>
      <c r="AA98" s="150" t="n">
        <f aca="false">M98/$Q98*100</f>
        <v>1</v>
      </c>
      <c r="AB98" s="178" t="n">
        <f aca="false">N98/$Q98*100</f>
        <v>3.82688239654187</v>
      </c>
      <c r="AC98" s="178" t="n">
        <f aca="false">O98/$Q98*100</f>
        <v>10.7377214744391</v>
      </c>
      <c r="AD98" s="178"/>
      <c r="AE98" s="157"/>
      <c r="AF98" s="151" t="n">
        <f aca="false">(AC98-AG98)/AG98</f>
        <v>0.553750760711723</v>
      </c>
      <c r="AG98" s="152" t="n">
        <f aca="false">AA98+R98</f>
        <v>6.9108390778972</v>
      </c>
      <c r="AH98" s="152"/>
      <c r="AI98" s="151"/>
      <c r="AJ98" s="151"/>
      <c r="AK98" s="151"/>
      <c r="AL98" s="151"/>
      <c r="AM98" s="151"/>
      <c r="AN98" s="179"/>
      <c r="AO98" s="179"/>
      <c r="AP98" s="179"/>
      <c r="AQ98" s="180"/>
      <c r="AR98" s="179"/>
      <c r="AS98" s="181"/>
      <c r="AT98" s="181"/>
      <c r="AU98" s="179"/>
      <c r="AV98" s="181"/>
      <c r="AW98" s="179"/>
      <c r="AX98" s="181"/>
      <c r="AY98" s="179"/>
      <c r="AZ98" s="181"/>
      <c r="BA98" s="179"/>
      <c r="BB98" s="181"/>
      <c r="BC98" s="179"/>
      <c r="BD98" s="181"/>
      <c r="BE98" s="179"/>
      <c r="BF98" s="182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  <c r="GR98" s="105"/>
      <c r="GS98" s="105"/>
      <c r="GT98" s="105"/>
      <c r="GU98" s="105"/>
      <c r="GV98" s="105"/>
      <c r="GW98" s="105"/>
      <c r="GX98" s="105"/>
      <c r="GY98" s="105"/>
      <c r="GZ98" s="105"/>
      <c r="HA98" s="105"/>
      <c r="HB98" s="105"/>
      <c r="HC98" s="105"/>
      <c r="HD98" s="105"/>
      <c r="HE98" s="105"/>
      <c r="HF98" s="105"/>
      <c r="HG98" s="105"/>
      <c r="HH98" s="105"/>
      <c r="HI98" s="105"/>
      <c r="HJ98" s="105"/>
      <c r="HK98" s="105"/>
      <c r="HL98" s="105"/>
      <c r="HM98" s="105"/>
      <c r="HN98" s="105"/>
      <c r="HO98" s="105"/>
      <c r="HP98" s="105"/>
      <c r="HQ98" s="105"/>
      <c r="HR98" s="105"/>
      <c r="HS98" s="105"/>
      <c r="HT98" s="105"/>
      <c r="HU98" s="105"/>
      <c r="HV98" s="105"/>
      <c r="HW98" s="105"/>
      <c r="HX98" s="105"/>
      <c r="HY98" s="105"/>
      <c r="HZ98" s="105"/>
      <c r="IA98" s="105"/>
      <c r="IB98" s="105"/>
      <c r="IC98" s="105"/>
      <c r="ID98" s="105"/>
      <c r="IE98" s="105"/>
      <c r="IF98" s="105"/>
      <c r="IG98" s="105"/>
      <c r="IH98" s="105"/>
      <c r="II98" s="105"/>
      <c r="IJ98" s="105"/>
      <c r="IK98" s="105"/>
      <c r="IL98" s="105"/>
      <c r="IM98" s="105"/>
      <c r="IN98" s="105"/>
      <c r="IO98" s="105"/>
      <c r="IP98" s="105"/>
      <c r="IQ98" s="105"/>
      <c r="IR98" s="105"/>
      <c r="IS98" s="105"/>
      <c r="IT98" s="105"/>
      <c r="IU98" s="105"/>
      <c r="IV98" s="105"/>
      <c r="IW98" s="105"/>
    </row>
    <row r="99" customFormat="false" ht="12.75" hidden="false" customHeight="false" outlineLevel="0" collapsed="false">
      <c r="A99" s="84"/>
      <c r="B99" s="97" t="s">
        <v>344</v>
      </c>
      <c r="C99" s="98" t="s">
        <v>234</v>
      </c>
      <c r="D99" s="155" t="n">
        <f aca="false">SUM(D97:D98)</f>
        <v>424958830.41474</v>
      </c>
      <c r="E99" s="156" t="n">
        <f aca="false">SUM(E97:E98)</f>
        <v>21191830.217123</v>
      </c>
      <c r="F99" s="155" t="n">
        <v>13725669.7602141</v>
      </c>
      <c r="G99" s="155" t="n">
        <f aca="false">SUM(G97:G98)</f>
        <v>13273204.8838859</v>
      </c>
      <c r="H99" s="155" t="n">
        <f aca="false">SUM(H97:H98)</f>
        <v>64797515.1780697</v>
      </c>
      <c r="I99" s="155" t="n">
        <f aca="false">SUM(I97:I98)</f>
        <v>1753064.9278604</v>
      </c>
      <c r="J99" s="155" t="n">
        <f aca="false">D99-SUM(E99:I99,K99)</f>
        <v>310217545.447587</v>
      </c>
      <c r="K99" s="155"/>
      <c r="L99" s="155" t="n">
        <f aca="false">SUM(L97:L98)</f>
        <v>0</v>
      </c>
      <c r="M99" s="155" t="n">
        <f aca="false">SUM(M97:M98)</f>
        <v>62609461.716443</v>
      </c>
      <c r="N99" s="155" t="n">
        <f aca="false">SUM(N97:N98)</f>
        <v>239599046.899618</v>
      </c>
      <c r="O99" s="155" t="n">
        <f aca="false">SUM(O97:O98)</f>
        <v>727167339.030802</v>
      </c>
      <c r="P99" s="169" t="n">
        <f aca="false">ROUND(O99-D99,0)</f>
        <v>302208509</v>
      </c>
      <c r="Q99" s="159" t="n">
        <f aca="false">SUM(Q97:Q98)</f>
        <v>6260946171.6443</v>
      </c>
      <c r="R99" s="152" t="n">
        <f aca="false">D99/$Q99*100</f>
        <v>6.78745382510027</v>
      </c>
      <c r="S99" s="152" t="n">
        <f aca="false">E99/$Q99*100</f>
        <v>0.338476480010328</v>
      </c>
      <c r="T99" s="152" t="n">
        <f aca="false">F99/$Q99*100</f>
        <v>0.219226765155359</v>
      </c>
      <c r="U99" s="152" t="n">
        <f aca="false">G99/$Q99*100</f>
        <v>0.211999984027973</v>
      </c>
      <c r="V99" s="152" t="n">
        <f aca="false">H99/$Q99*100</f>
        <v>1.03494764851256</v>
      </c>
      <c r="W99" s="152" t="n">
        <f aca="false">I99/$Q99*100</f>
        <v>0.0279999999968056</v>
      </c>
      <c r="X99" s="152" t="n">
        <f aca="false">J99/$Q99*100</f>
        <v>4.95480294739725</v>
      </c>
      <c r="Y99" s="152" t="n">
        <f aca="false">K99/$Q99*100</f>
        <v>0</v>
      </c>
      <c r="Z99" s="152" t="n">
        <f aca="false">L99/$Q99*100</f>
        <v>0</v>
      </c>
      <c r="AA99" s="154" t="n">
        <f aca="false">M99/$Q99*100</f>
        <v>1</v>
      </c>
      <c r="AB99" s="152" t="n">
        <f aca="false">N99/$Q99*100</f>
        <v>3.82688239654187</v>
      </c>
      <c r="AC99" s="152" t="n">
        <f aca="false">O99/$Q99*100</f>
        <v>11.6143362216421</v>
      </c>
      <c r="AD99" s="152"/>
      <c r="AE99" s="157"/>
      <c r="AF99" s="141" t="n">
        <f aca="false">(AC99-AG99)/AG99</f>
        <v>0.491416383646114</v>
      </c>
      <c r="AG99" s="152" t="n">
        <f aca="false">AA99+R99</f>
        <v>7.78745382510027</v>
      </c>
      <c r="AH99" s="152"/>
      <c r="AI99" s="141"/>
      <c r="AJ99" s="141"/>
      <c r="AK99" s="141"/>
      <c r="AL99" s="141"/>
      <c r="AM99" s="141"/>
      <c r="AN99" s="162"/>
      <c r="AO99" s="162"/>
      <c r="AP99" s="162"/>
      <c r="AQ99" s="158"/>
      <c r="AR99" s="162"/>
      <c r="AS99" s="163"/>
      <c r="AT99" s="163"/>
      <c r="AU99" s="162"/>
      <c r="AV99" s="163"/>
      <c r="AW99" s="162"/>
      <c r="AX99" s="163"/>
      <c r="AY99" s="162"/>
      <c r="AZ99" s="163"/>
      <c r="BA99" s="162"/>
      <c r="BB99" s="163"/>
      <c r="BC99" s="162"/>
      <c r="BD99" s="163"/>
      <c r="BE99" s="162"/>
      <c r="BF99" s="164"/>
      <c r="BG99" s="171"/>
      <c r="BH99" s="171"/>
      <c r="BI99" s="171"/>
      <c r="BJ99" s="171"/>
      <c r="BK99" s="171"/>
      <c r="BL99" s="171"/>
      <c r="BM99" s="171"/>
      <c r="BN99" s="171"/>
      <c r="BO99" s="171"/>
      <c r="BP99" s="171"/>
      <c r="BQ99" s="171"/>
      <c r="BR99" s="171"/>
      <c r="BS99" s="171"/>
      <c r="BT99" s="171"/>
      <c r="BU99" s="171"/>
      <c r="BV99" s="171"/>
      <c r="BW99" s="171"/>
      <c r="BX99" s="171"/>
      <c r="BY99" s="171"/>
      <c r="BZ99" s="171"/>
      <c r="CA99" s="171"/>
      <c r="CB99" s="171"/>
      <c r="CC99" s="171"/>
      <c r="CD99" s="171"/>
      <c r="CE99" s="171"/>
      <c r="CF99" s="171"/>
      <c r="CG99" s="171"/>
      <c r="CH99" s="171"/>
      <c r="CI99" s="171"/>
      <c r="CJ99" s="171"/>
      <c r="CK99" s="171"/>
      <c r="CL99" s="171"/>
      <c r="CM99" s="171"/>
      <c r="CN99" s="171"/>
      <c r="CO99" s="171"/>
      <c r="CP99" s="171"/>
      <c r="CQ99" s="171"/>
      <c r="CR99" s="171"/>
      <c r="CS99" s="171"/>
      <c r="CT99" s="171"/>
      <c r="CU99" s="171"/>
      <c r="CV99" s="171"/>
      <c r="CW99" s="171"/>
      <c r="CX99" s="171"/>
      <c r="CY99" s="171"/>
      <c r="CZ99" s="171"/>
      <c r="DA99" s="171"/>
      <c r="DB99" s="171"/>
      <c r="DC99" s="171"/>
      <c r="DD99" s="171"/>
      <c r="DE99" s="171"/>
      <c r="DF99" s="171"/>
      <c r="DG99" s="171"/>
      <c r="DH99" s="171"/>
      <c r="DI99" s="171"/>
      <c r="DJ99" s="171"/>
      <c r="DK99" s="171"/>
      <c r="DL99" s="171"/>
      <c r="DM99" s="171"/>
      <c r="DN99" s="171"/>
      <c r="DO99" s="171"/>
      <c r="DP99" s="171"/>
      <c r="DQ99" s="171"/>
      <c r="DR99" s="171"/>
      <c r="DS99" s="171"/>
      <c r="DT99" s="171"/>
      <c r="DU99" s="171"/>
      <c r="DV99" s="171"/>
      <c r="DW99" s="171"/>
      <c r="DX99" s="171"/>
      <c r="DY99" s="171"/>
      <c r="DZ99" s="171"/>
      <c r="EA99" s="171"/>
      <c r="EB99" s="171"/>
      <c r="EC99" s="171"/>
      <c r="ED99" s="171"/>
      <c r="EE99" s="171"/>
      <c r="EF99" s="171"/>
      <c r="EG99" s="171"/>
      <c r="EH99" s="171"/>
      <c r="EI99" s="171"/>
      <c r="EJ99" s="171"/>
      <c r="EK99" s="171"/>
      <c r="EL99" s="171"/>
      <c r="EM99" s="171"/>
      <c r="EN99" s="171"/>
      <c r="EO99" s="171"/>
      <c r="EP99" s="171"/>
      <c r="EQ99" s="171"/>
      <c r="ER99" s="171"/>
      <c r="ES99" s="171"/>
      <c r="ET99" s="171"/>
      <c r="EU99" s="171"/>
      <c r="EV99" s="171"/>
      <c r="EW99" s="171"/>
      <c r="EX99" s="171"/>
      <c r="EY99" s="171"/>
      <c r="EZ99" s="171"/>
      <c r="FA99" s="171"/>
      <c r="FB99" s="171"/>
      <c r="FC99" s="171"/>
      <c r="FD99" s="171"/>
      <c r="FE99" s="171"/>
      <c r="FF99" s="171"/>
      <c r="FG99" s="171"/>
      <c r="FH99" s="171"/>
      <c r="FI99" s="171"/>
      <c r="FJ99" s="171"/>
      <c r="FK99" s="171"/>
      <c r="FL99" s="171"/>
      <c r="FM99" s="171"/>
      <c r="FN99" s="171"/>
      <c r="FO99" s="171"/>
      <c r="FP99" s="171"/>
      <c r="FQ99" s="171"/>
      <c r="FR99" s="171"/>
      <c r="FS99" s="171"/>
      <c r="FT99" s="171"/>
      <c r="FU99" s="171"/>
      <c r="FV99" s="171"/>
      <c r="FW99" s="171"/>
      <c r="FX99" s="171"/>
      <c r="FY99" s="171"/>
      <c r="FZ99" s="171"/>
      <c r="GA99" s="171"/>
      <c r="GB99" s="171"/>
      <c r="GC99" s="171"/>
      <c r="GD99" s="171"/>
      <c r="GE99" s="171"/>
      <c r="GF99" s="171"/>
      <c r="GG99" s="171"/>
      <c r="GH99" s="171"/>
      <c r="GI99" s="171"/>
      <c r="GJ99" s="171"/>
      <c r="GK99" s="171"/>
      <c r="GL99" s="171"/>
      <c r="GM99" s="171"/>
      <c r="GN99" s="171"/>
      <c r="GO99" s="171"/>
      <c r="GP99" s="171"/>
      <c r="GQ99" s="171"/>
      <c r="GR99" s="171"/>
      <c r="GS99" s="171"/>
      <c r="GT99" s="171"/>
      <c r="GU99" s="171"/>
      <c r="GV99" s="171"/>
      <c r="GW99" s="171"/>
      <c r="GX99" s="171"/>
      <c r="GY99" s="171"/>
      <c r="GZ99" s="171"/>
      <c r="HA99" s="171"/>
      <c r="HB99" s="171"/>
      <c r="HC99" s="171"/>
      <c r="HD99" s="171"/>
      <c r="HE99" s="171"/>
      <c r="HF99" s="171"/>
      <c r="HG99" s="171"/>
      <c r="HH99" s="171"/>
      <c r="HI99" s="171"/>
      <c r="HJ99" s="171"/>
      <c r="HK99" s="171"/>
      <c r="HL99" s="171"/>
      <c r="HM99" s="171"/>
      <c r="HN99" s="171"/>
      <c r="HO99" s="171"/>
      <c r="HP99" s="171"/>
      <c r="HQ99" s="171"/>
      <c r="HR99" s="171"/>
      <c r="HS99" s="171"/>
      <c r="HT99" s="171"/>
      <c r="HU99" s="171"/>
      <c r="HV99" s="171"/>
      <c r="HW99" s="171"/>
      <c r="HX99" s="171"/>
      <c r="HY99" s="171"/>
      <c r="HZ99" s="171"/>
      <c r="IA99" s="171"/>
      <c r="IB99" s="171"/>
      <c r="IC99" s="171"/>
      <c r="ID99" s="171"/>
      <c r="IE99" s="171"/>
      <c r="IF99" s="171"/>
      <c r="IG99" s="171"/>
      <c r="IH99" s="171"/>
      <c r="II99" s="171"/>
      <c r="IJ99" s="171"/>
      <c r="IK99" s="171"/>
      <c r="IL99" s="171"/>
      <c r="IM99" s="171"/>
      <c r="IN99" s="171"/>
      <c r="IO99" s="171"/>
      <c r="IP99" s="171"/>
      <c r="IQ99" s="171"/>
      <c r="IR99" s="171"/>
      <c r="IS99" s="171"/>
      <c r="IT99" s="171"/>
      <c r="IU99" s="171"/>
      <c r="IV99" s="171"/>
      <c r="IW99" s="171"/>
    </row>
    <row r="100" customFormat="false" ht="12.75" hidden="false" customHeight="false" outlineLevel="0" collapsed="false">
      <c r="A100" s="84"/>
      <c r="B100" s="94"/>
      <c r="C100" s="82"/>
      <c r="D100" s="167"/>
      <c r="E100" s="156"/>
      <c r="F100" s="167"/>
      <c r="G100" s="167"/>
      <c r="H100" s="167"/>
      <c r="I100" s="167"/>
      <c r="J100" s="155"/>
      <c r="K100" s="155"/>
      <c r="L100" s="155"/>
      <c r="M100" s="155"/>
      <c r="N100" s="155"/>
      <c r="O100" s="155"/>
      <c r="P100" s="169"/>
      <c r="Q100" s="159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4"/>
      <c r="AB100" s="152"/>
      <c r="AC100" s="152"/>
      <c r="AD100" s="152"/>
      <c r="AE100" s="157"/>
      <c r="AF100" s="141"/>
      <c r="AG100" s="152" t="n">
        <f aca="false">AA100+R100</f>
        <v>0</v>
      </c>
      <c r="AH100" s="152"/>
      <c r="AI100" s="141"/>
      <c r="AJ100" s="141"/>
      <c r="AK100" s="141"/>
      <c r="AL100" s="141"/>
      <c r="AM100" s="141"/>
      <c r="AN100" s="162"/>
      <c r="AO100" s="162"/>
      <c r="AP100" s="162"/>
      <c r="AQ100" s="158"/>
      <c r="AR100" s="162"/>
      <c r="AS100" s="163"/>
      <c r="AT100" s="163"/>
      <c r="AU100" s="162"/>
      <c r="AV100" s="163"/>
      <c r="AW100" s="162"/>
      <c r="AX100" s="163"/>
      <c r="AY100" s="162"/>
      <c r="AZ100" s="163"/>
      <c r="BA100" s="162"/>
      <c r="BB100" s="163"/>
      <c r="BC100" s="162"/>
      <c r="BD100" s="163"/>
      <c r="BE100" s="162"/>
      <c r="BF100" s="164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  <c r="FX100" s="105"/>
      <c r="FY100" s="105"/>
      <c r="FZ100" s="105"/>
      <c r="GA100" s="105"/>
      <c r="GB100" s="105"/>
      <c r="GC100" s="105"/>
      <c r="GD100" s="105"/>
      <c r="GE100" s="105"/>
      <c r="GF100" s="105"/>
      <c r="GG100" s="105"/>
      <c r="GH100" s="105"/>
      <c r="GI100" s="105"/>
      <c r="GJ100" s="105"/>
      <c r="GK100" s="105"/>
      <c r="GL100" s="105"/>
      <c r="GM100" s="105"/>
      <c r="GN100" s="105"/>
      <c r="GO100" s="105"/>
      <c r="GP100" s="105"/>
      <c r="GQ100" s="105"/>
      <c r="GR100" s="105"/>
      <c r="GS100" s="105"/>
      <c r="GT100" s="105"/>
      <c r="GU100" s="105"/>
      <c r="GV100" s="105"/>
      <c r="GW100" s="105"/>
      <c r="GX100" s="105"/>
      <c r="GY100" s="105"/>
      <c r="GZ100" s="105"/>
      <c r="HA100" s="105"/>
      <c r="HB100" s="105"/>
      <c r="HC100" s="105"/>
      <c r="HD100" s="105"/>
      <c r="HE100" s="105"/>
      <c r="HF100" s="105"/>
      <c r="HG100" s="105"/>
      <c r="HH100" s="105"/>
      <c r="HI100" s="105"/>
      <c r="HJ100" s="105"/>
      <c r="HK100" s="105"/>
      <c r="HL100" s="105"/>
      <c r="HM100" s="105"/>
      <c r="HN100" s="105"/>
      <c r="HO100" s="105"/>
      <c r="HP100" s="105"/>
      <c r="HQ100" s="105"/>
      <c r="HR100" s="105"/>
      <c r="HS100" s="105"/>
      <c r="HT100" s="105"/>
      <c r="HU100" s="105"/>
      <c r="HV100" s="105"/>
      <c r="HW100" s="105"/>
      <c r="HX100" s="105"/>
      <c r="HY100" s="105"/>
      <c r="HZ100" s="105"/>
      <c r="IA100" s="105"/>
      <c r="IB100" s="105"/>
      <c r="IC100" s="105"/>
      <c r="ID100" s="105"/>
      <c r="IE100" s="105"/>
      <c r="IF100" s="105"/>
      <c r="IG100" s="105"/>
      <c r="IH100" s="105"/>
      <c r="II100" s="105"/>
      <c r="IJ100" s="105"/>
      <c r="IK100" s="105"/>
      <c r="IL100" s="105"/>
      <c r="IM100" s="105"/>
      <c r="IN100" s="105"/>
      <c r="IO100" s="105"/>
      <c r="IP100" s="105"/>
      <c r="IQ100" s="105"/>
      <c r="IR100" s="105"/>
      <c r="IS100" s="105"/>
      <c r="IT100" s="105"/>
      <c r="IU100" s="105"/>
      <c r="IV100" s="105"/>
      <c r="IW100" s="105"/>
    </row>
    <row r="101" customFormat="false" ht="12.75" hidden="false" customHeight="false" outlineLevel="0" collapsed="false">
      <c r="A101" s="84"/>
      <c r="B101" s="94" t="s">
        <v>342</v>
      </c>
      <c r="C101" s="82" t="s">
        <v>231</v>
      </c>
      <c r="D101" s="167" t="n">
        <v>250994563.902674</v>
      </c>
      <c r="E101" s="166" t="n">
        <v>10235221.3595231</v>
      </c>
      <c r="F101" s="167" t="n">
        <v>6884087.02525295</v>
      </c>
      <c r="G101" s="167" t="n">
        <v>7623847.68122908</v>
      </c>
      <c r="H101" s="167" t="n">
        <v>57324701.1432691</v>
      </c>
      <c r="I101" s="167" t="n">
        <v>1058867.87239293</v>
      </c>
      <c r="J101" s="155" t="n">
        <f aca="false">D101-SUM(E101:I101,K101)</f>
        <v>167867838.821007</v>
      </c>
      <c r="K101" s="168"/>
      <c r="L101" s="168" t="n">
        <f aca="false">IF(allocation_method&gt;=6,CHOOSE(gen_choice,'Generation Calculations'!H105-'Generation Calculations'!I105+'Generation Calculations'!J105,'Generation Calculations'!G105+'Generation Calculations'!H105-'Generation Calculations'!I105+'Generation Calculations'!J105),0)</f>
        <v>0</v>
      </c>
      <c r="M101" s="168" t="n">
        <f aca="false">'Test Year 2001 Sales and Revs.'!K105</f>
        <v>30253367.7826551</v>
      </c>
      <c r="N101" s="168" t="n">
        <f aca="false">CHOOSE(allocation_method,'RSP Surch Allocations'!E102,'RSP Surch Allocations'!J102,'RSP Surch Allocations'!N102,'RSP Surch Allocations'!Q102,'RSP Surch Allocations'!AA102,'RSP Surch Allocations'!AH102,'RSP Surch Allocations'!AS102,'RSP Surch Allocations'!BD102,'RSP Surch Allocations'!BO102,'RSP Surch Allocations'!BZ102,)</f>
        <v>115776080.60355</v>
      </c>
      <c r="O101" s="155" t="n">
        <f aca="false">SUM(E101:N101)</f>
        <v>397024012.288879</v>
      </c>
      <c r="P101" s="169" t="n">
        <f aca="false">ROUND(O101-D101,0)</f>
        <v>146029448</v>
      </c>
      <c r="Q101" s="170" t="n">
        <v>3025336778.26561</v>
      </c>
      <c r="R101" s="152" t="n">
        <f aca="false">D101/$Q101*100</f>
        <v>8.29641730156621</v>
      </c>
      <c r="S101" s="152" t="n">
        <f aca="false">E101/$Q101*100</f>
        <v>0.338316759742392</v>
      </c>
      <c r="T101" s="152" t="n">
        <f aca="false">F101/$Q101*100</f>
        <v>0.227547791528833</v>
      </c>
      <c r="U101" s="152" t="n">
        <f aca="false">G101/$Q101*100</f>
        <v>0.25199996694582</v>
      </c>
      <c r="V101" s="152" t="n">
        <f aca="false">H101/$Q101*100</f>
        <v>1.89482048924592</v>
      </c>
      <c r="W101" s="152" t="n">
        <f aca="false">I101/$Q101*100</f>
        <v>0.0349999999999988</v>
      </c>
      <c r="X101" s="152" t="n">
        <f aca="false">J101/$Q101*100</f>
        <v>5.54873229410325</v>
      </c>
      <c r="Y101" s="152" t="n">
        <f aca="false">K101/$Q101*100</f>
        <v>0</v>
      </c>
      <c r="Z101" s="152" t="n">
        <f aca="false">L101/$Q101*100</f>
        <v>0</v>
      </c>
      <c r="AA101" s="154" t="n">
        <f aca="false">M101/$Q101*100</f>
        <v>0.999999999999966</v>
      </c>
      <c r="AB101" s="152" t="n">
        <f aca="false">N101/$Q101*100</f>
        <v>3.82688239654174</v>
      </c>
      <c r="AC101" s="152" t="n">
        <f aca="false">O101/$Q101*100</f>
        <v>13.1232996981079</v>
      </c>
      <c r="AD101" s="152"/>
      <c r="AE101" s="157"/>
      <c r="AF101" s="141" t="n">
        <f aca="false">(AC101-AG101)/AG101</f>
        <v>0.411651313877339</v>
      </c>
      <c r="AG101" s="152" t="n">
        <f aca="false">AA101+R101</f>
        <v>9.29641730156618</v>
      </c>
      <c r="AH101" s="152"/>
      <c r="AI101" s="141"/>
      <c r="AJ101" s="141"/>
      <c r="AK101" s="141"/>
      <c r="AL101" s="141"/>
      <c r="AM101" s="141"/>
      <c r="AN101" s="162"/>
      <c r="AO101" s="162"/>
      <c r="AP101" s="162"/>
      <c r="AQ101" s="158"/>
      <c r="AR101" s="162"/>
      <c r="AS101" s="163"/>
      <c r="AT101" s="163"/>
      <c r="AU101" s="162"/>
      <c r="AV101" s="163"/>
      <c r="AW101" s="162"/>
      <c r="AX101" s="163"/>
      <c r="AY101" s="162"/>
      <c r="AZ101" s="163"/>
      <c r="BA101" s="162"/>
      <c r="BB101" s="163"/>
      <c r="BC101" s="162"/>
      <c r="BD101" s="163"/>
      <c r="BE101" s="162"/>
      <c r="BF101" s="164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  <c r="FW101" s="105"/>
      <c r="FX101" s="105"/>
      <c r="FY101" s="105"/>
      <c r="FZ101" s="105"/>
      <c r="GA101" s="105"/>
      <c r="GB101" s="105"/>
      <c r="GC101" s="105"/>
      <c r="GD101" s="105"/>
      <c r="GE101" s="105"/>
      <c r="GF101" s="105"/>
      <c r="GG101" s="105"/>
      <c r="GH101" s="105"/>
      <c r="GI101" s="105"/>
      <c r="GJ101" s="105"/>
      <c r="GK101" s="105"/>
      <c r="GL101" s="105"/>
      <c r="GM101" s="105"/>
      <c r="GN101" s="105"/>
      <c r="GO101" s="105"/>
      <c r="GP101" s="105"/>
      <c r="GQ101" s="105"/>
      <c r="GR101" s="105"/>
      <c r="GS101" s="105"/>
      <c r="GT101" s="105"/>
      <c r="GU101" s="105"/>
      <c r="GV101" s="105"/>
      <c r="GW101" s="105"/>
      <c r="GX101" s="105"/>
      <c r="GY101" s="105"/>
      <c r="GZ101" s="105"/>
      <c r="HA101" s="105"/>
      <c r="HB101" s="105"/>
      <c r="HC101" s="105"/>
      <c r="HD101" s="105"/>
      <c r="HE101" s="105"/>
      <c r="HF101" s="105"/>
      <c r="HG101" s="105"/>
      <c r="HH101" s="105"/>
      <c r="HI101" s="105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5"/>
      <c r="HV101" s="105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05"/>
      <c r="II101" s="105"/>
      <c r="IJ101" s="105"/>
      <c r="IK101" s="105"/>
      <c r="IL101" s="105"/>
      <c r="IM101" s="105"/>
      <c r="IN101" s="105"/>
      <c r="IO101" s="105"/>
      <c r="IP101" s="105"/>
      <c r="IQ101" s="105"/>
      <c r="IR101" s="105"/>
      <c r="IS101" s="105"/>
      <c r="IT101" s="105"/>
      <c r="IU101" s="105"/>
      <c r="IV101" s="105"/>
      <c r="IW101" s="105"/>
    </row>
    <row r="102" customFormat="false" ht="12.75" hidden="false" customHeight="false" outlineLevel="0" collapsed="false">
      <c r="A102" s="84"/>
      <c r="B102" s="94" t="s">
        <v>343</v>
      </c>
      <c r="C102" s="82" t="s">
        <v>231</v>
      </c>
      <c r="D102" s="174" t="n">
        <v>11798288.7444512</v>
      </c>
      <c r="E102" s="173" t="n">
        <v>547940.410608767</v>
      </c>
      <c r="F102" s="174" t="n">
        <v>396292.187047856</v>
      </c>
      <c r="G102" s="174" t="n">
        <v>408885.990687358</v>
      </c>
      <c r="H102" s="174" t="n">
        <v>3197570.68919347</v>
      </c>
      <c r="I102" s="174" t="n">
        <v>56789.7209287997</v>
      </c>
      <c r="J102" s="175" t="n">
        <f aca="false">D102-SUM(E102:I102,K102)</f>
        <v>7190809.74598498</v>
      </c>
      <c r="K102" s="176"/>
      <c r="L102" s="176" t="n">
        <f aca="false">IF(allocation_method&gt;=6,CHOOSE(gen_choice,'Generation Calculations'!H106-'Generation Calculations'!I106+'Generation Calculations'!J106,'Generation Calculations'!G106+'Generation Calculations'!H106-'Generation Calculations'!I106+'Generation Calculations'!J106),0)</f>
        <v>0</v>
      </c>
      <c r="M102" s="176" t="n">
        <f aca="false">'Test Year 2001 Sales and Revs.'!K106</f>
        <v>1622563.45510856</v>
      </c>
      <c r="N102" s="176" t="n">
        <f aca="false">CHOOSE(allocation_method,'RSP Surch Allocations'!E103,'RSP Surch Allocations'!J103,'RSP Surch Allocations'!N103,'RSP Surch Allocations'!Q103,'RSP Surch Allocations'!AA103,'RSP Surch Allocations'!AH103,'RSP Surch Allocations'!AS103,'RSP Surch Allocations'!BD103,'RSP Surch Allocations'!BO103,'RSP Surch Allocations'!BZ103,)</f>
        <v>6209359.52362711</v>
      </c>
      <c r="O102" s="155" t="n">
        <f aca="false">SUM(E102:N102)</f>
        <v>19630211.7231869</v>
      </c>
      <c r="P102" s="169" t="n">
        <f aca="false">ROUND(O102-D102,0)</f>
        <v>7831923</v>
      </c>
      <c r="Q102" s="177" t="n">
        <v>162256345.510856</v>
      </c>
      <c r="R102" s="178" t="n">
        <f aca="false">D102/$Q102*100</f>
        <v>7.27138818966056</v>
      </c>
      <c r="S102" s="178" t="n">
        <f aca="false">E102/$Q102*100</f>
        <v>0.337700451026185</v>
      </c>
      <c r="T102" s="178" t="n">
        <f aca="false">F102/$Q102*100</f>
        <v>0.244238329046639</v>
      </c>
      <c r="U102" s="178" t="n">
        <f aca="false">G102/$Q102*100</f>
        <v>0.252</v>
      </c>
      <c r="V102" s="178" t="n">
        <f aca="false">H102/$Q102*100</f>
        <v>1.97069068647274</v>
      </c>
      <c r="W102" s="178" t="n">
        <f aca="false">I102/$Q102*100</f>
        <v>0.035</v>
      </c>
      <c r="X102" s="178" t="n">
        <f aca="false">J102/$Q102*100</f>
        <v>4.431758723115</v>
      </c>
      <c r="Y102" s="178" t="n">
        <f aca="false">K102/$Q102*100</f>
        <v>0</v>
      </c>
      <c r="Z102" s="178" t="n">
        <f aca="false">L102/$Q102*100</f>
        <v>0</v>
      </c>
      <c r="AA102" s="150" t="n">
        <f aca="false">M102/$Q102*100</f>
        <v>1</v>
      </c>
      <c r="AB102" s="178" t="n">
        <f aca="false">N102/$Q102*100</f>
        <v>3.82688239654187</v>
      </c>
      <c r="AC102" s="178" t="n">
        <f aca="false">O102/$Q102*100</f>
        <v>12.0982705862024</v>
      </c>
      <c r="AD102" s="178"/>
      <c r="AE102" s="157"/>
      <c r="AF102" s="151" t="n">
        <f aca="false">(AC102-AG102)/AG102</f>
        <v>0.462665070093745</v>
      </c>
      <c r="AG102" s="152" t="n">
        <f aca="false">AA102+R102</f>
        <v>8.27138818966056</v>
      </c>
      <c r="AH102" s="152"/>
      <c r="AI102" s="151"/>
      <c r="AJ102" s="151"/>
      <c r="AK102" s="151"/>
      <c r="AL102" s="151"/>
      <c r="AM102" s="151"/>
      <c r="AN102" s="179"/>
      <c r="AO102" s="179"/>
      <c r="AP102" s="179"/>
      <c r="AQ102" s="180"/>
      <c r="AR102" s="179"/>
      <c r="AS102" s="181"/>
      <c r="AT102" s="181"/>
      <c r="AU102" s="179"/>
      <c r="AV102" s="181"/>
      <c r="AW102" s="179"/>
      <c r="AX102" s="181"/>
      <c r="AY102" s="179"/>
      <c r="AZ102" s="181"/>
      <c r="BA102" s="179"/>
      <c r="BB102" s="181"/>
      <c r="BC102" s="179"/>
      <c r="BD102" s="181"/>
      <c r="BE102" s="179"/>
      <c r="BF102" s="182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  <c r="GR102" s="105"/>
      <c r="GS102" s="105"/>
      <c r="GT102" s="105"/>
      <c r="GU102" s="105"/>
      <c r="GV102" s="105"/>
      <c r="GW102" s="105"/>
      <c r="GX102" s="105"/>
      <c r="GY102" s="105"/>
      <c r="GZ102" s="105"/>
      <c r="HA102" s="105"/>
      <c r="HB102" s="105"/>
      <c r="HC102" s="105"/>
      <c r="HD102" s="105"/>
      <c r="HE102" s="105"/>
      <c r="HF102" s="105"/>
      <c r="HG102" s="105"/>
      <c r="HH102" s="105"/>
      <c r="HI102" s="105"/>
      <c r="HJ102" s="105"/>
      <c r="HK102" s="105"/>
      <c r="HL102" s="105"/>
      <c r="HM102" s="105"/>
      <c r="HN102" s="105"/>
      <c r="HO102" s="105"/>
      <c r="HP102" s="105"/>
      <c r="HQ102" s="105"/>
      <c r="HR102" s="105"/>
      <c r="HS102" s="105"/>
      <c r="HT102" s="105"/>
      <c r="HU102" s="105"/>
      <c r="HV102" s="105"/>
      <c r="HW102" s="105"/>
      <c r="HX102" s="105"/>
      <c r="HY102" s="105"/>
      <c r="HZ102" s="105"/>
      <c r="IA102" s="105"/>
      <c r="IB102" s="105"/>
      <c r="IC102" s="105"/>
      <c r="ID102" s="105"/>
      <c r="IE102" s="105"/>
      <c r="IF102" s="105"/>
      <c r="IG102" s="105"/>
      <c r="IH102" s="105"/>
      <c r="II102" s="105"/>
      <c r="IJ102" s="105"/>
      <c r="IK102" s="105"/>
      <c r="IL102" s="105"/>
      <c r="IM102" s="105"/>
      <c r="IN102" s="105"/>
      <c r="IO102" s="105"/>
      <c r="IP102" s="105"/>
      <c r="IQ102" s="105"/>
      <c r="IR102" s="105"/>
      <c r="IS102" s="105"/>
      <c r="IT102" s="105"/>
      <c r="IU102" s="105"/>
      <c r="IV102" s="105"/>
      <c r="IW102" s="105"/>
    </row>
    <row r="103" customFormat="false" ht="12.75" hidden="false" customHeight="false" outlineLevel="0" collapsed="false">
      <c r="A103" s="84"/>
      <c r="B103" s="97" t="s">
        <v>344</v>
      </c>
      <c r="C103" s="98" t="s">
        <v>231</v>
      </c>
      <c r="D103" s="155" t="n">
        <v>262792842.647125</v>
      </c>
      <c r="E103" s="156" t="n">
        <f aca="false">SUM(E101:E102)</f>
        <v>10783161.7701318</v>
      </c>
      <c r="F103" s="155" t="n">
        <v>7280379.2123028</v>
      </c>
      <c r="G103" s="155" t="n">
        <f aca="false">SUM(G101:G102)</f>
        <v>8032733.67191644</v>
      </c>
      <c r="H103" s="155" t="n">
        <f aca="false">SUM(H101:H102)</f>
        <v>60522271.8324626</v>
      </c>
      <c r="I103" s="155" t="n">
        <f aca="false">SUM(I101:I102)</f>
        <v>1115657.59332173</v>
      </c>
      <c r="J103" s="155" t="n">
        <f aca="false">D103-SUM(E103:I103,K103)</f>
        <v>175058638.566989</v>
      </c>
      <c r="K103" s="155"/>
      <c r="L103" s="155" t="n">
        <f aca="false">SUM(L101:L102)</f>
        <v>0</v>
      </c>
      <c r="M103" s="155" t="n">
        <f aca="false">SUM(M101:M102)</f>
        <v>31875931.2377636</v>
      </c>
      <c r="N103" s="155" t="n">
        <f aca="false">SUM(N101:N102)</f>
        <v>121985440.127177</v>
      </c>
      <c r="O103" s="155" t="n">
        <f aca="false">SUM(O101:O102)</f>
        <v>416654224.012066</v>
      </c>
      <c r="P103" s="169" t="n">
        <f aca="false">ROUND(O103-D103,0)</f>
        <v>153861381</v>
      </c>
      <c r="Q103" s="159" t="n">
        <f aca="false">SUM(Q101:Q102)</f>
        <v>3187593123.77647</v>
      </c>
      <c r="R103" s="152" t="n">
        <f aca="false">D103/$Q103*100</f>
        <v>8.24424047997016</v>
      </c>
      <c r="S103" s="152" t="n">
        <f aca="false">E103/$Q103*100</f>
        <v>0.338285388109904</v>
      </c>
      <c r="T103" s="152" t="n">
        <f aca="false">F103/$Q103*100</f>
        <v>0.228397381020745</v>
      </c>
      <c r="U103" s="152" t="n">
        <f aca="false">G103/$Q103*100</f>
        <v>0.251999968628359</v>
      </c>
      <c r="V103" s="152" t="n">
        <f aca="false">H103/$Q103*100</f>
        <v>1.89868246925942</v>
      </c>
      <c r="W103" s="152" t="n">
        <f aca="false">I103/$Q103*100</f>
        <v>0.0349999999999989</v>
      </c>
      <c r="X103" s="152" t="n">
        <f aca="false">J103/$Q103*100</f>
        <v>5.49187527295173</v>
      </c>
      <c r="Y103" s="152" t="n">
        <f aca="false">K103/$Q103*100</f>
        <v>0</v>
      </c>
      <c r="Z103" s="152" t="n">
        <f aca="false">L103/$Q103*100</f>
        <v>0</v>
      </c>
      <c r="AA103" s="154" t="n">
        <f aca="false">M103/$Q103*100</f>
        <v>0.999999999999968</v>
      </c>
      <c r="AB103" s="152" t="n">
        <f aca="false">N103/$Q103*100</f>
        <v>3.82688239654175</v>
      </c>
      <c r="AC103" s="152" t="n">
        <f aca="false">O103/$Q103*100</f>
        <v>13.0711231902282</v>
      </c>
      <c r="AD103" s="152"/>
      <c r="AE103" s="157"/>
      <c r="AF103" s="141" t="n">
        <f aca="false">(AC103-AG103)/AG103</f>
        <v>0.41397481151101</v>
      </c>
      <c r="AG103" s="152" t="n">
        <f aca="false">AA103+R103</f>
        <v>9.24424047997013</v>
      </c>
      <c r="AH103" s="152"/>
      <c r="AI103" s="141"/>
      <c r="AJ103" s="141"/>
      <c r="AK103" s="141"/>
      <c r="AL103" s="141"/>
      <c r="AM103" s="141"/>
      <c r="AN103" s="162"/>
      <c r="AO103" s="162"/>
      <c r="AP103" s="162"/>
      <c r="AQ103" s="158"/>
      <c r="AR103" s="162"/>
      <c r="AS103" s="163"/>
      <c r="AT103" s="163"/>
      <c r="AU103" s="162"/>
      <c r="AV103" s="163"/>
      <c r="AW103" s="162"/>
      <c r="AX103" s="163"/>
      <c r="AY103" s="162"/>
      <c r="AZ103" s="163"/>
      <c r="BA103" s="162"/>
      <c r="BB103" s="163"/>
      <c r="BC103" s="162"/>
      <c r="BD103" s="163"/>
      <c r="BE103" s="162"/>
      <c r="BF103" s="164"/>
      <c r="BG103" s="171"/>
      <c r="BH103" s="171"/>
      <c r="BI103" s="171"/>
      <c r="BJ103" s="171"/>
      <c r="BK103" s="171"/>
      <c r="BL103" s="171"/>
      <c r="BM103" s="171"/>
      <c r="BN103" s="171"/>
      <c r="BO103" s="171"/>
      <c r="BP103" s="171"/>
      <c r="BQ103" s="171"/>
      <c r="BR103" s="171"/>
      <c r="BS103" s="171"/>
      <c r="BT103" s="171"/>
      <c r="BU103" s="171"/>
      <c r="BV103" s="171"/>
      <c r="BW103" s="171"/>
      <c r="BX103" s="171"/>
      <c r="BY103" s="171"/>
      <c r="BZ103" s="171"/>
      <c r="CA103" s="171"/>
      <c r="CB103" s="171"/>
      <c r="CC103" s="171"/>
      <c r="CD103" s="171"/>
      <c r="CE103" s="171"/>
      <c r="CF103" s="171"/>
      <c r="CG103" s="171"/>
      <c r="CH103" s="171"/>
      <c r="CI103" s="171"/>
      <c r="CJ103" s="171"/>
      <c r="CK103" s="171"/>
      <c r="CL103" s="171"/>
      <c r="CM103" s="171"/>
      <c r="CN103" s="171"/>
      <c r="CO103" s="171"/>
      <c r="CP103" s="171"/>
      <c r="CQ103" s="171"/>
      <c r="CR103" s="171"/>
      <c r="CS103" s="171"/>
      <c r="CT103" s="171"/>
      <c r="CU103" s="171"/>
      <c r="CV103" s="171"/>
      <c r="CW103" s="171"/>
      <c r="CX103" s="171"/>
      <c r="CY103" s="171"/>
      <c r="CZ103" s="171"/>
      <c r="DA103" s="171"/>
      <c r="DB103" s="171"/>
      <c r="DC103" s="171"/>
      <c r="DD103" s="171"/>
      <c r="DE103" s="171"/>
      <c r="DF103" s="171"/>
      <c r="DG103" s="171"/>
      <c r="DH103" s="171"/>
      <c r="DI103" s="171"/>
      <c r="DJ103" s="171"/>
      <c r="DK103" s="171"/>
      <c r="DL103" s="171"/>
      <c r="DM103" s="171"/>
      <c r="DN103" s="171"/>
      <c r="DO103" s="171"/>
      <c r="DP103" s="171"/>
      <c r="DQ103" s="171"/>
      <c r="DR103" s="171"/>
      <c r="DS103" s="171"/>
      <c r="DT103" s="171"/>
      <c r="DU103" s="171"/>
      <c r="DV103" s="171"/>
      <c r="DW103" s="171"/>
      <c r="DX103" s="171"/>
      <c r="DY103" s="171"/>
      <c r="DZ103" s="171"/>
      <c r="EA103" s="171"/>
      <c r="EB103" s="171"/>
      <c r="EC103" s="171"/>
      <c r="ED103" s="171"/>
      <c r="EE103" s="171"/>
      <c r="EF103" s="171"/>
      <c r="EG103" s="171"/>
      <c r="EH103" s="171"/>
      <c r="EI103" s="171"/>
      <c r="EJ103" s="171"/>
      <c r="EK103" s="171"/>
      <c r="EL103" s="171"/>
      <c r="EM103" s="171"/>
      <c r="EN103" s="171"/>
      <c r="EO103" s="171"/>
      <c r="EP103" s="171"/>
      <c r="EQ103" s="171"/>
      <c r="ER103" s="171"/>
      <c r="ES103" s="171"/>
      <c r="ET103" s="171"/>
      <c r="EU103" s="171"/>
      <c r="EV103" s="171"/>
      <c r="EW103" s="171"/>
      <c r="EX103" s="171"/>
      <c r="EY103" s="171"/>
      <c r="EZ103" s="171"/>
      <c r="FA103" s="171"/>
      <c r="FB103" s="171"/>
      <c r="FC103" s="171"/>
      <c r="FD103" s="171"/>
      <c r="FE103" s="171"/>
      <c r="FF103" s="171"/>
      <c r="FG103" s="171"/>
      <c r="FH103" s="171"/>
      <c r="FI103" s="171"/>
      <c r="FJ103" s="171"/>
      <c r="FK103" s="171"/>
      <c r="FL103" s="171"/>
      <c r="FM103" s="171"/>
      <c r="FN103" s="171"/>
      <c r="FO103" s="171"/>
      <c r="FP103" s="171"/>
      <c r="FQ103" s="171"/>
      <c r="FR103" s="171"/>
      <c r="FS103" s="171"/>
      <c r="FT103" s="171"/>
      <c r="FU103" s="171"/>
      <c r="FV103" s="171"/>
      <c r="FW103" s="171"/>
      <c r="FX103" s="171"/>
      <c r="FY103" s="171"/>
      <c r="FZ103" s="171"/>
      <c r="GA103" s="171"/>
      <c r="GB103" s="171"/>
      <c r="GC103" s="171"/>
      <c r="GD103" s="171"/>
      <c r="GE103" s="171"/>
      <c r="GF103" s="171"/>
      <c r="GG103" s="171"/>
      <c r="GH103" s="171"/>
      <c r="GI103" s="171"/>
      <c r="GJ103" s="171"/>
      <c r="GK103" s="171"/>
      <c r="GL103" s="171"/>
      <c r="GM103" s="171"/>
      <c r="GN103" s="171"/>
      <c r="GO103" s="171"/>
      <c r="GP103" s="171"/>
      <c r="GQ103" s="171"/>
      <c r="GR103" s="171"/>
      <c r="GS103" s="171"/>
      <c r="GT103" s="171"/>
      <c r="GU103" s="171"/>
      <c r="GV103" s="171"/>
      <c r="GW103" s="171"/>
      <c r="GX103" s="171"/>
      <c r="GY103" s="171"/>
      <c r="GZ103" s="171"/>
      <c r="HA103" s="171"/>
      <c r="HB103" s="171"/>
      <c r="HC103" s="171"/>
      <c r="HD103" s="171"/>
      <c r="HE103" s="171"/>
      <c r="HF103" s="171"/>
      <c r="HG103" s="171"/>
      <c r="HH103" s="171"/>
      <c r="HI103" s="171"/>
      <c r="HJ103" s="171"/>
      <c r="HK103" s="171"/>
      <c r="HL103" s="171"/>
      <c r="HM103" s="171"/>
      <c r="HN103" s="171"/>
      <c r="HO103" s="171"/>
      <c r="HP103" s="171"/>
      <c r="HQ103" s="171"/>
      <c r="HR103" s="171"/>
      <c r="HS103" s="171"/>
      <c r="HT103" s="171"/>
      <c r="HU103" s="171"/>
      <c r="HV103" s="171"/>
      <c r="HW103" s="171"/>
      <c r="HX103" s="171"/>
      <c r="HY103" s="171"/>
      <c r="HZ103" s="171"/>
      <c r="IA103" s="171"/>
      <c r="IB103" s="171"/>
      <c r="IC103" s="171"/>
      <c r="ID103" s="171"/>
      <c r="IE103" s="171"/>
      <c r="IF103" s="171"/>
      <c r="IG103" s="171"/>
      <c r="IH103" s="171"/>
      <c r="II103" s="171"/>
      <c r="IJ103" s="171"/>
      <c r="IK103" s="171"/>
      <c r="IL103" s="171"/>
      <c r="IM103" s="171"/>
      <c r="IN103" s="171"/>
      <c r="IO103" s="171"/>
      <c r="IP103" s="171"/>
      <c r="IQ103" s="171"/>
      <c r="IR103" s="171"/>
      <c r="IS103" s="171"/>
      <c r="IT103" s="171"/>
      <c r="IU103" s="171"/>
      <c r="IV103" s="171"/>
      <c r="IW103" s="171"/>
    </row>
    <row r="104" customFormat="false" ht="12.75" hidden="false" customHeight="false" outlineLevel="0" collapsed="false">
      <c r="A104" s="84"/>
      <c r="B104" s="94"/>
      <c r="C104" s="79"/>
      <c r="D104" s="167"/>
      <c r="E104" s="156"/>
      <c r="F104" s="167"/>
      <c r="G104" s="167"/>
      <c r="H104" s="167"/>
      <c r="I104" s="167"/>
      <c r="J104" s="155"/>
      <c r="K104" s="155"/>
      <c r="L104" s="155"/>
      <c r="M104" s="155"/>
      <c r="N104" s="155"/>
      <c r="O104" s="155"/>
      <c r="P104" s="169"/>
      <c r="Q104" s="159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4"/>
      <c r="AB104" s="152"/>
      <c r="AC104" s="152"/>
      <c r="AD104" s="152"/>
      <c r="AE104" s="157"/>
      <c r="AF104" s="141"/>
      <c r="AG104" s="152" t="n">
        <f aca="false">AA104+R104</f>
        <v>0</v>
      </c>
      <c r="AH104" s="152"/>
      <c r="AI104" s="141"/>
      <c r="AJ104" s="141"/>
      <c r="AK104" s="141"/>
      <c r="AL104" s="141"/>
      <c r="AM104" s="141"/>
      <c r="AN104" s="158"/>
      <c r="AO104" s="158"/>
      <c r="AP104" s="162"/>
      <c r="AQ104" s="158"/>
      <c r="AR104" s="162"/>
      <c r="AS104" s="163"/>
      <c r="AT104" s="163"/>
      <c r="AU104" s="162"/>
      <c r="AV104" s="163"/>
      <c r="AW104" s="162"/>
      <c r="AX104" s="163"/>
      <c r="AY104" s="162"/>
      <c r="AZ104" s="163"/>
      <c r="BA104" s="162"/>
      <c r="BB104" s="163"/>
      <c r="BC104" s="162"/>
      <c r="BD104" s="163"/>
      <c r="BE104" s="158"/>
      <c r="BF104" s="164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</row>
    <row r="105" customFormat="false" ht="12.75" hidden="false" customHeight="false" outlineLevel="0" collapsed="false">
      <c r="A105" s="84"/>
      <c r="B105" s="100" t="s">
        <v>345</v>
      </c>
      <c r="C105" s="84"/>
      <c r="D105" s="155" t="n">
        <f aca="false">D103+D99+D95</f>
        <v>1018418492.80972</v>
      </c>
      <c r="E105" s="155" t="n">
        <f aca="false">E103+E99+E95</f>
        <v>55799700.5101663</v>
      </c>
      <c r="F105" s="155" t="n">
        <f aca="false">F103+F99+F95</f>
        <v>35372741.4411297</v>
      </c>
      <c r="G105" s="155" t="n">
        <f aca="false">G103+G99+G95</f>
        <v>32432505.1187068</v>
      </c>
      <c r="H105" s="155" t="n">
        <f aca="false">H103+H99+H95</f>
        <v>136689272.683672</v>
      </c>
      <c r="I105" s="155" t="n">
        <f aca="false">I103+I99+I95</f>
        <v>4206727.36102507</v>
      </c>
      <c r="J105" s="155" t="n">
        <f aca="false">J103+J99+J95</f>
        <v>753917545.695016</v>
      </c>
      <c r="K105" s="155"/>
      <c r="L105" s="155" t="n">
        <f aca="false">L103+L99+L95</f>
        <v>0</v>
      </c>
      <c r="M105" s="155" t="n">
        <f aca="false">M103+M99+M95</f>
        <v>164906700.314362</v>
      </c>
      <c r="N105" s="155" t="n">
        <f aca="false">N103+N99+N95</f>
        <v>631078548.504836</v>
      </c>
      <c r="O105" s="155" t="n">
        <f aca="false">O103+O99+O95</f>
        <v>1814403751.62891</v>
      </c>
      <c r="P105" s="169" t="n">
        <f aca="false">ROUND(O105-D105,0)</f>
        <v>795985259</v>
      </c>
      <c r="Q105" s="159" t="n">
        <v>16470670031.4362</v>
      </c>
      <c r="R105" s="152" t="n">
        <f aca="false">D105/$Q105*100</f>
        <v>6.18322442782197</v>
      </c>
      <c r="S105" s="152" t="n">
        <f aca="false">E105/$Q105*100</f>
        <v>0.33878221349627</v>
      </c>
      <c r="T105" s="152" t="n">
        <f aca="false">F105/$Q105*100</f>
        <v>0.214762006485569</v>
      </c>
      <c r="U105" s="152" t="n">
        <f aca="false">G105/$Q105*100</f>
        <v>0.196910660324113</v>
      </c>
      <c r="V105" s="152" t="n">
        <f aca="false">H105/$Q105*100</f>
        <v>0.829895034159416</v>
      </c>
      <c r="W105" s="152" t="n">
        <f aca="false">I105/$Q105*100</f>
        <v>0.0255407178517695</v>
      </c>
      <c r="X105" s="152" t="n">
        <f aca="false">J105/$Q105*100</f>
        <v>4.57733379550484</v>
      </c>
      <c r="Y105" s="152" t="n">
        <f aca="false">K105/$Q105*100</f>
        <v>0</v>
      </c>
      <c r="Z105" s="152" t="n">
        <f aca="false">L105/$Q105*100</f>
        <v>0</v>
      </c>
      <c r="AA105" s="154" t="n">
        <f aca="false">M105/$Q105*100</f>
        <v>1.00121427968393</v>
      </c>
      <c r="AB105" s="152" t="n">
        <f aca="false">N105/$Q105*100</f>
        <v>3.8315293020888</v>
      </c>
      <c r="AC105" s="152" t="n">
        <f aca="false">O105/$Q105*100</f>
        <v>11.0159680703087</v>
      </c>
      <c r="AD105" s="152"/>
      <c r="AE105" s="157"/>
      <c r="AF105" s="141" t="n">
        <f aca="false">(AC105-AG105)/AG105</f>
        <v>0.533309492751301</v>
      </c>
      <c r="AG105" s="152" t="n">
        <f aca="false">AA105+R105</f>
        <v>7.18443870750591</v>
      </c>
      <c r="AH105" s="152"/>
      <c r="AI105" s="141"/>
      <c r="AJ105" s="141"/>
      <c r="AK105" s="141"/>
      <c r="AL105" s="141"/>
      <c r="AM105" s="141"/>
      <c r="AN105" s="162"/>
      <c r="AO105" s="162"/>
      <c r="AP105" s="162"/>
      <c r="AQ105" s="158"/>
      <c r="AR105" s="162"/>
      <c r="AS105" s="163"/>
      <c r="AT105" s="163"/>
      <c r="AU105" s="162"/>
      <c r="AV105" s="163"/>
      <c r="AW105" s="162"/>
      <c r="AX105" s="163"/>
      <c r="AY105" s="162"/>
      <c r="AZ105" s="163"/>
      <c r="BA105" s="162"/>
      <c r="BB105" s="163"/>
      <c r="BC105" s="162"/>
      <c r="BD105" s="163"/>
      <c r="BE105" s="162"/>
      <c r="BF105" s="164"/>
      <c r="BG105" s="171"/>
      <c r="BH105" s="171"/>
      <c r="BI105" s="171"/>
      <c r="BJ105" s="171"/>
      <c r="BK105" s="171"/>
      <c r="BL105" s="171"/>
      <c r="BM105" s="171"/>
      <c r="BN105" s="171"/>
      <c r="BO105" s="171"/>
      <c r="BP105" s="171"/>
      <c r="BQ105" s="171"/>
      <c r="BR105" s="171"/>
      <c r="BS105" s="171"/>
      <c r="BT105" s="171"/>
      <c r="BU105" s="171"/>
      <c r="BV105" s="171"/>
      <c r="BW105" s="171"/>
      <c r="BX105" s="171"/>
      <c r="BY105" s="171"/>
      <c r="BZ105" s="171"/>
      <c r="CA105" s="171"/>
      <c r="CB105" s="171"/>
      <c r="CC105" s="171"/>
      <c r="CD105" s="171"/>
      <c r="CE105" s="171"/>
      <c r="CF105" s="171"/>
      <c r="CG105" s="171"/>
      <c r="CH105" s="171"/>
      <c r="CI105" s="171"/>
      <c r="CJ105" s="171"/>
      <c r="CK105" s="171"/>
      <c r="CL105" s="171"/>
      <c r="CM105" s="171"/>
      <c r="CN105" s="171"/>
      <c r="CO105" s="171"/>
      <c r="CP105" s="171"/>
      <c r="CQ105" s="171"/>
      <c r="CR105" s="171"/>
      <c r="CS105" s="171"/>
      <c r="CT105" s="171"/>
      <c r="CU105" s="171"/>
      <c r="CV105" s="171"/>
      <c r="CW105" s="171"/>
      <c r="CX105" s="171"/>
      <c r="CY105" s="171"/>
      <c r="CZ105" s="171"/>
      <c r="DA105" s="171"/>
      <c r="DB105" s="171"/>
      <c r="DC105" s="171"/>
      <c r="DD105" s="171"/>
      <c r="DE105" s="171"/>
      <c r="DF105" s="171"/>
      <c r="DG105" s="171"/>
      <c r="DH105" s="171"/>
      <c r="DI105" s="171"/>
      <c r="DJ105" s="171"/>
      <c r="DK105" s="171"/>
      <c r="DL105" s="171"/>
      <c r="DM105" s="171"/>
      <c r="DN105" s="171"/>
      <c r="DO105" s="171"/>
      <c r="DP105" s="171"/>
      <c r="DQ105" s="171"/>
      <c r="DR105" s="171"/>
      <c r="DS105" s="171"/>
      <c r="DT105" s="171"/>
      <c r="DU105" s="171"/>
      <c r="DV105" s="171"/>
      <c r="DW105" s="171"/>
      <c r="DX105" s="171"/>
      <c r="DY105" s="171"/>
      <c r="DZ105" s="171"/>
      <c r="EA105" s="171"/>
      <c r="EB105" s="171"/>
      <c r="EC105" s="171"/>
      <c r="ED105" s="171"/>
      <c r="EE105" s="171"/>
      <c r="EF105" s="171"/>
      <c r="EG105" s="171"/>
      <c r="EH105" s="171"/>
      <c r="EI105" s="171"/>
      <c r="EJ105" s="171"/>
      <c r="EK105" s="171"/>
      <c r="EL105" s="171"/>
      <c r="EM105" s="171"/>
      <c r="EN105" s="171"/>
      <c r="EO105" s="171"/>
      <c r="EP105" s="171"/>
      <c r="EQ105" s="171"/>
      <c r="ER105" s="171"/>
      <c r="ES105" s="171"/>
      <c r="ET105" s="171"/>
      <c r="EU105" s="171"/>
      <c r="EV105" s="171"/>
      <c r="EW105" s="171"/>
      <c r="EX105" s="171"/>
      <c r="EY105" s="171"/>
      <c r="EZ105" s="171"/>
      <c r="FA105" s="171"/>
      <c r="FB105" s="171"/>
      <c r="FC105" s="171"/>
      <c r="FD105" s="171"/>
      <c r="FE105" s="171"/>
      <c r="FF105" s="171"/>
      <c r="FG105" s="171"/>
      <c r="FH105" s="171"/>
      <c r="FI105" s="171"/>
      <c r="FJ105" s="171"/>
      <c r="FK105" s="171"/>
      <c r="FL105" s="171"/>
      <c r="FM105" s="171"/>
      <c r="FN105" s="171"/>
      <c r="FO105" s="171"/>
      <c r="FP105" s="171"/>
      <c r="FQ105" s="171"/>
      <c r="FR105" s="171"/>
      <c r="FS105" s="171"/>
      <c r="FT105" s="171"/>
      <c r="FU105" s="171"/>
      <c r="FV105" s="171"/>
      <c r="FW105" s="171"/>
      <c r="FX105" s="171"/>
      <c r="FY105" s="171"/>
      <c r="FZ105" s="171"/>
      <c r="GA105" s="171"/>
      <c r="GB105" s="171"/>
      <c r="GC105" s="171"/>
      <c r="GD105" s="171"/>
      <c r="GE105" s="171"/>
      <c r="GF105" s="171"/>
      <c r="GG105" s="171"/>
      <c r="GH105" s="171"/>
      <c r="GI105" s="171"/>
      <c r="GJ105" s="171"/>
      <c r="GK105" s="171"/>
      <c r="GL105" s="171"/>
      <c r="GM105" s="171"/>
      <c r="GN105" s="171"/>
      <c r="GO105" s="171"/>
      <c r="GP105" s="171"/>
      <c r="GQ105" s="171"/>
      <c r="GR105" s="171"/>
      <c r="GS105" s="171"/>
      <c r="GT105" s="171"/>
      <c r="GU105" s="171"/>
      <c r="GV105" s="171"/>
      <c r="GW105" s="171"/>
      <c r="GX105" s="171"/>
      <c r="GY105" s="171"/>
      <c r="GZ105" s="171"/>
      <c r="HA105" s="171"/>
      <c r="HB105" s="171"/>
      <c r="HC105" s="171"/>
      <c r="HD105" s="171"/>
      <c r="HE105" s="171"/>
      <c r="HF105" s="171"/>
      <c r="HG105" s="171"/>
      <c r="HH105" s="171"/>
      <c r="HI105" s="171"/>
      <c r="HJ105" s="171"/>
      <c r="HK105" s="171"/>
      <c r="HL105" s="171"/>
      <c r="HM105" s="171"/>
      <c r="HN105" s="171"/>
      <c r="HO105" s="171"/>
      <c r="HP105" s="171"/>
      <c r="HQ105" s="171"/>
      <c r="HR105" s="171"/>
      <c r="HS105" s="171"/>
      <c r="HT105" s="171"/>
      <c r="HU105" s="171"/>
      <c r="HV105" s="171"/>
      <c r="HW105" s="171"/>
      <c r="HX105" s="171"/>
      <c r="HY105" s="171"/>
      <c r="HZ105" s="171"/>
      <c r="IA105" s="171"/>
      <c r="IB105" s="171"/>
      <c r="IC105" s="171"/>
      <c r="ID105" s="171"/>
      <c r="IE105" s="171"/>
      <c r="IF105" s="171"/>
      <c r="IG105" s="171"/>
      <c r="IH105" s="171"/>
      <c r="II105" s="171"/>
      <c r="IJ105" s="171"/>
      <c r="IK105" s="171"/>
      <c r="IL105" s="171"/>
      <c r="IM105" s="171"/>
      <c r="IN105" s="171"/>
      <c r="IO105" s="171"/>
      <c r="IP105" s="171"/>
      <c r="IQ105" s="171"/>
      <c r="IR105" s="171"/>
      <c r="IS105" s="171"/>
      <c r="IT105" s="171"/>
      <c r="IU105" s="171"/>
      <c r="IV105" s="171"/>
      <c r="IW105" s="171"/>
    </row>
    <row r="106" customFormat="false" ht="12.75" hidden="false" customHeight="false" outlineLevel="0" collapsed="false">
      <c r="A106" s="84"/>
      <c r="B106" s="92"/>
      <c r="C106" s="79"/>
      <c r="D106" s="167"/>
      <c r="E106" s="156"/>
      <c r="F106" s="167"/>
      <c r="G106" s="167"/>
      <c r="H106" s="167"/>
      <c r="I106" s="167"/>
      <c r="J106" s="155"/>
      <c r="K106" s="155"/>
      <c r="L106" s="155"/>
      <c r="M106" s="155"/>
      <c r="N106" s="155"/>
      <c r="O106" s="155"/>
      <c r="P106" s="169"/>
      <c r="Q106" s="159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4"/>
      <c r="AB106" s="152"/>
      <c r="AC106" s="152"/>
      <c r="AD106" s="152"/>
      <c r="AE106" s="157"/>
      <c r="AF106" s="141"/>
      <c r="AG106" s="152" t="n">
        <f aca="false">AA106+R106</f>
        <v>0</v>
      </c>
      <c r="AH106" s="152"/>
      <c r="AI106" s="141"/>
      <c r="AJ106" s="141"/>
      <c r="AK106" s="141"/>
      <c r="AL106" s="141"/>
      <c r="AM106" s="141"/>
      <c r="AN106" s="158"/>
      <c r="AO106" s="158"/>
      <c r="AP106" s="162"/>
      <c r="AQ106" s="158"/>
      <c r="AR106" s="162"/>
      <c r="AS106" s="163"/>
      <c r="AT106" s="163"/>
      <c r="AU106" s="162"/>
      <c r="AV106" s="163"/>
      <c r="AW106" s="162"/>
      <c r="AX106" s="163"/>
      <c r="AY106" s="162"/>
      <c r="AZ106" s="163"/>
      <c r="BA106" s="162"/>
      <c r="BB106" s="163"/>
      <c r="BC106" s="162"/>
      <c r="BD106" s="163"/>
      <c r="BE106" s="158"/>
      <c r="BF106" s="164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  <c r="FW106" s="105"/>
      <c r="FX106" s="105"/>
      <c r="FY106" s="105"/>
      <c r="FZ106" s="105"/>
      <c r="GA106" s="105"/>
      <c r="GB106" s="105"/>
      <c r="GC106" s="105"/>
      <c r="GD106" s="105"/>
      <c r="GE106" s="105"/>
      <c r="GF106" s="105"/>
      <c r="GG106" s="105"/>
      <c r="GH106" s="105"/>
      <c r="GI106" s="105"/>
      <c r="GJ106" s="105"/>
      <c r="GK106" s="105"/>
      <c r="GL106" s="105"/>
      <c r="GM106" s="105"/>
      <c r="GN106" s="105"/>
      <c r="GO106" s="105"/>
      <c r="GP106" s="105"/>
      <c r="GQ106" s="105"/>
      <c r="GR106" s="105"/>
      <c r="GS106" s="105"/>
      <c r="GT106" s="105"/>
      <c r="GU106" s="105"/>
      <c r="GV106" s="105"/>
      <c r="GW106" s="105"/>
      <c r="GX106" s="105"/>
      <c r="GY106" s="105"/>
      <c r="GZ106" s="105"/>
      <c r="HA106" s="105"/>
      <c r="HB106" s="105"/>
      <c r="HC106" s="105"/>
      <c r="HD106" s="105"/>
      <c r="HE106" s="105"/>
      <c r="HF106" s="105"/>
      <c r="HG106" s="105"/>
      <c r="HH106" s="105"/>
      <c r="HI106" s="105"/>
      <c r="HJ106" s="105"/>
      <c r="HK106" s="105"/>
      <c r="HL106" s="105"/>
      <c r="HM106" s="105"/>
      <c r="HN106" s="105"/>
      <c r="HO106" s="105"/>
      <c r="HP106" s="105"/>
      <c r="HQ106" s="105"/>
      <c r="HR106" s="105"/>
      <c r="HS106" s="105"/>
      <c r="HT106" s="105"/>
      <c r="HU106" s="105"/>
      <c r="HV106" s="105"/>
      <c r="HW106" s="105"/>
      <c r="HX106" s="105"/>
      <c r="HY106" s="105"/>
      <c r="HZ106" s="105"/>
      <c r="IA106" s="105"/>
      <c r="IB106" s="105"/>
      <c r="IC106" s="105"/>
      <c r="ID106" s="105"/>
      <c r="IE106" s="105"/>
      <c r="IF106" s="105"/>
      <c r="IG106" s="105"/>
      <c r="IH106" s="105"/>
      <c r="II106" s="105"/>
      <c r="IJ106" s="105"/>
      <c r="IK106" s="105"/>
      <c r="IL106" s="105"/>
      <c r="IM106" s="105"/>
      <c r="IN106" s="105"/>
      <c r="IO106" s="105"/>
      <c r="IP106" s="105"/>
      <c r="IQ106" s="105"/>
      <c r="IR106" s="105"/>
      <c r="IS106" s="105"/>
      <c r="IT106" s="105"/>
      <c r="IU106" s="105"/>
      <c r="IV106" s="105"/>
      <c r="IW106" s="105"/>
    </row>
    <row r="107" customFormat="false" ht="12.75" hidden="false" customHeight="false" outlineLevel="0" collapsed="false">
      <c r="A107" s="84"/>
      <c r="B107" s="94" t="s">
        <v>346</v>
      </c>
      <c r="C107" s="82" t="s">
        <v>236</v>
      </c>
      <c r="D107" s="167" t="n">
        <v>224444.926740472</v>
      </c>
      <c r="E107" s="166" t="n">
        <v>11773.4232390356</v>
      </c>
      <c r="F107" s="167" t="n">
        <v>7298.10121936542</v>
      </c>
      <c r="G107" s="167" t="n">
        <v>7472</v>
      </c>
      <c r="H107" s="167" t="n">
        <v>18000.8624736604</v>
      </c>
      <c r="I107" s="167" t="n">
        <v>1009.2</v>
      </c>
      <c r="J107" s="155" t="n">
        <f aca="false">D107-SUM(E107:I107,K107)</f>
        <v>178891.339808411</v>
      </c>
      <c r="K107" s="168"/>
      <c r="L107" s="168" t="n">
        <f aca="false">IF(allocation_method&gt;=6,CHOOSE(gen_choice,'Generation Calculations'!H109-'Generation Calculations'!I109+'Generation Calculations'!J109,'Generation Calculations'!G109+'Generation Calculations'!H109-'Generation Calculations'!I109+'Generation Calculations'!J109),0)</f>
        <v>0</v>
      </c>
      <c r="M107" s="168" t="n">
        <f aca="false">'Test Year 2001 Sales and Revs.'!K109</f>
        <v>34800</v>
      </c>
      <c r="N107" s="168" t="n">
        <f aca="false">CHOOSE(allocation_method,'RSP Surch Allocations'!E108,'RSP Surch Allocations'!J108,'RSP Surch Allocations'!N108,'RSP Surch Allocations'!Q108,'RSP Surch Allocations'!AA108,'RSP Surch Allocations'!AH108,'RSP Surch Allocations'!AS108,'RSP Surch Allocations'!BD108,'RSP Surch Allocations'!BO108,'RSP Surch Allocations'!BZ108,)</f>
        <v>133175.507399657</v>
      </c>
      <c r="O107" s="155" t="n">
        <f aca="false">SUM(E107:N107)</f>
        <v>392420.434140129</v>
      </c>
      <c r="P107" s="169" t="n">
        <f aca="false">ROUND(O107-D107,0)</f>
        <v>167976</v>
      </c>
      <c r="Q107" s="170" t="n">
        <v>3480000</v>
      </c>
      <c r="R107" s="152" t="n">
        <f aca="false">D107/$Q107*100</f>
        <v>6.44956686035839</v>
      </c>
      <c r="S107" s="152" t="n">
        <f aca="false">E107/$Q107*100</f>
        <v>0.338316759742403</v>
      </c>
      <c r="T107" s="152" t="n">
        <f aca="false">F107/$Q107*100</f>
        <v>0.209715552280615</v>
      </c>
      <c r="U107" s="152" t="n">
        <f aca="false">G107/$Q107*100</f>
        <v>0.214712643678161</v>
      </c>
      <c r="V107" s="152" t="n">
        <f aca="false">H107/$Q107*100</f>
        <v>0.517266163036218</v>
      </c>
      <c r="W107" s="152" t="n">
        <f aca="false">I107/$Q107*100</f>
        <v>0.029</v>
      </c>
      <c r="X107" s="152" t="n">
        <f aca="false">J107/$Q107*100</f>
        <v>5.14055574162099</v>
      </c>
      <c r="Y107" s="152" t="n">
        <f aca="false">K107/$Q107*100</f>
        <v>0</v>
      </c>
      <c r="Z107" s="152" t="n">
        <f aca="false">L107/$Q107*100</f>
        <v>0</v>
      </c>
      <c r="AA107" s="154" t="n">
        <f aca="false">M107/$Q107*100</f>
        <v>1</v>
      </c>
      <c r="AB107" s="152" t="n">
        <f aca="false">N107/$Q107*100</f>
        <v>3.82688239654187</v>
      </c>
      <c r="AC107" s="152" t="n">
        <f aca="false">O107/$Q107*100</f>
        <v>11.2764492569003</v>
      </c>
      <c r="AD107" s="152"/>
      <c r="AE107" s="157"/>
      <c r="AF107" s="141" t="n">
        <f aca="false">(AC107-AG107)/AG107</f>
        <v>0.513705356066536</v>
      </c>
      <c r="AG107" s="152" t="n">
        <f aca="false">AA107+R107</f>
        <v>7.44956686035839</v>
      </c>
      <c r="AH107" s="152"/>
      <c r="AI107" s="141"/>
      <c r="AJ107" s="141"/>
      <c r="AK107" s="141"/>
      <c r="AL107" s="141"/>
      <c r="AM107" s="141"/>
      <c r="AN107" s="162"/>
      <c r="AO107" s="162"/>
      <c r="AP107" s="162"/>
      <c r="AQ107" s="158"/>
      <c r="AR107" s="162"/>
      <c r="AS107" s="163"/>
      <c r="AT107" s="163"/>
      <c r="AU107" s="162"/>
      <c r="AV107" s="163"/>
      <c r="AW107" s="162"/>
      <c r="AX107" s="163"/>
      <c r="AY107" s="162"/>
      <c r="AZ107" s="163"/>
      <c r="BA107" s="162"/>
      <c r="BB107" s="163"/>
      <c r="BC107" s="162"/>
      <c r="BD107" s="163"/>
      <c r="BE107" s="162"/>
      <c r="BF107" s="164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  <c r="GV107" s="105"/>
      <c r="GW107" s="105"/>
      <c r="GX107" s="105"/>
      <c r="GY107" s="105"/>
      <c r="GZ107" s="105"/>
      <c r="HA107" s="105"/>
      <c r="HB107" s="105"/>
      <c r="HC107" s="105"/>
      <c r="HD107" s="105"/>
      <c r="HE107" s="105"/>
      <c r="HF107" s="105"/>
      <c r="HG107" s="105"/>
      <c r="HH107" s="105"/>
      <c r="HI107" s="105"/>
      <c r="HJ107" s="105"/>
      <c r="HK107" s="105"/>
      <c r="HL107" s="105"/>
      <c r="HM107" s="105"/>
      <c r="HN107" s="105"/>
      <c r="HO107" s="105"/>
      <c r="HP107" s="105"/>
      <c r="HQ107" s="105"/>
      <c r="HR107" s="105"/>
      <c r="HS107" s="105"/>
      <c r="HT107" s="105"/>
      <c r="HU107" s="105"/>
      <c r="HV107" s="105"/>
      <c r="HW107" s="105"/>
      <c r="HX107" s="105"/>
      <c r="HY107" s="105"/>
      <c r="HZ107" s="105"/>
      <c r="IA107" s="105"/>
      <c r="IB107" s="105"/>
      <c r="IC107" s="105"/>
      <c r="ID107" s="105"/>
      <c r="IE107" s="105"/>
      <c r="IF107" s="105"/>
      <c r="IG107" s="105"/>
      <c r="IH107" s="105"/>
      <c r="II107" s="105"/>
      <c r="IJ107" s="105"/>
      <c r="IK107" s="105"/>
      <c r="IL107" s="105"/>
      <c r="IM107" s="105"/>
      <c r="IN107" s="105"/>
      <c r="IO107" s="105"/>
      <c r="IP107" s="105"/>
      <c r="IQ107" s="105"/>
      <c r="IR107" s="105"/>
      <c r="IS107" s="105"/>
      <c r="IT107" s="105"/>
      <c r="IU107" s="105"/>
      <c r="IV107" s="105"/>
      <c r="IW107" s="105"/>
    </row>
    <row r="108" customFormat="false" ht="12.75" hidden="false" customHeight="false" outlineLevel="0" collapsed="false">
      <c r="A108" s="84"/>
      <c r="B108" s="92"/>
      <c r="C108" s="82" t="s">
        <v>231</v>
      </c>
      <c r="D108" s="174" t="n">
        <v>25462163.4391812</v>
      </c>
      <c r="E108" s="173" t="n">
        <v>1193966.51931111</v>
      </c>
      <c r="F108" s="174" t="n">
        <v>1000111.30650373</v>
      </c>
      <c r="G108" s="174" t="n">
        <v>882284.47</v>
      </c>
      <c r="H108" s="174" t="n">
        <v>5047353.04638966</v>
      </c>
      <c r="I108" s="174" t="n">
        <v>119990.69064</v>
      </c>
      <c r="J108" s="175" t="n">
        <f aca="false">D108-SUM(E108:I108,K108)</f>
        <v>17218457.4063367</v>
      </c>
      <c r="K108" s="176"/>
      <c r="L108" s="176" t="n">
        <f aca="false">IF(allocation_method&gt;=6,CHOOSE(gen_choice,'Generation Calculations'!H110-'Generation Calculations'!I110+'Generation Calculations'!J110,'Generation Calculations'!G110+'Generation Calculations'!H110-'Generation Calculations'!I110+'Generation Calculations'!J110),0)</f>
        <v>0</v>
      </c>
      <c r="M108" s="176" t="n">
        <f aca="false">'Test Year 2001 Sales and Revs.'!K110</f>
        <v>3529137.96</v>
      </c>
      <c r="N108" s="176" t="n">
        <f aca="false">CHOOSE(allocation_method,'RSP Surch Allocations'!E109,'RSP Surch Allocations'!J109,'RSP Surch Allocations'!N109,'RSP Surch Allocations'!Q109,'RSP Surch Allocations'!AA109,'RSP Surch Allocations'!AH109,'RSP Surch Allocations'!AS109,'RSP Surch Allocations'!BD109,'RSP Surch Allocations'!BO109,'RSP Surch Allocations'!BZ109,)</f>
        <v>13505595.9340917</v>
      </c>
      <c r="O108" s="155" t="n">
        <f aca="false">SUM(E108:N108)</f>
        <v>42496897.3332729</v>
      </c>
      <c r="P108" s="169" t="n">
        <f aca="false">ROUND(O108-D108,0)</f>
        <v>17034734</v>
      </c>
      <c r="Q108" s="177" t="n">
        <v>352913796</v>
      </c>
      <c r="R108" s="178" t="n">
        <f aca="false">D108/$Q108*100</f>
        <v>7.21483935390874</v>
      </c>
      <c r="S108" s="178" t="n">
        <f aca="false">E108/$Q108*100</f>
        <v>0.338316759742403</v>
      </c>
      <c r="T108" s="178" t="n">
        <f aca="false">F108/$Q108*100</f>
        <v>0.283386854761475</v>
      </c>
      <c r="U108" s="178" t="n">
        <f aca="false">G108/$Q108*100</f>
        <v>0.249999994332894</v>
      </c>
      <c r="V108" s="178" t="n">
        <f aca="false">H108/$Q108*100</f>
        <v>1.43019431475829</v>
      </c>
      <c r="W108" s="178" t="n">
        <f aca="false">I108/$Q108*100</f>
        <v>0.034</v>
      </c>
      <c r="X108" s="178" t="n">
        <f aca="false">J108/$Q108*100</f>
        <v>4.87894143031368</v>
      </c>
      <c r="Y108" s="178" t="n">
        <f aca="false">K108/$Q108*100</f>
        <v>0</v>
      </c>
      <c r="Z108" s="178" t="n">
        <f aca="false">L108/$Q108*100</f>
        <v>0</v>
      </c>
      <c r="AA108" s="150" t="n">
        <f aca="false">M108/$Q108*100</f>
        <v>1</v>
      </c>
      <c r="AB108" s="178" t="n">
        <f aca="false">N108/$Q108*100</f>
        <v>3.82688239654187</v>
      </c>
      <c r="AC108" s="178" t="n">
        <f aca="false">O108/$Q108*100</f>
        <v>12.0417217504506</v>
      </c>
      <c r="AD108" s="178"/>
      <c r="AE108" s="157"/>
      <c r="AF108" s="151" t="n">
        <f aca="false">(AC108-AG108)/AG108</f>
        <v>0.465849937128836</v>
      </c>
      <c r="AG108" s="152" t="n">
        <f aca="false">AA108+R108</f>
        <v>8.21483935390874</v>
      </c>
      <c r="AH108" s="152"/>
      <c r="AI108" s="151"/>
      <c r="AJ108" s="151"/>
      <c r="AK108" s="151"/>
      <c r="AL108" s="151"/>
      <c r="AM108" s="151"/>
      <c r="AN108" s="179"/>
      <c r="AO108" s="179"/>
      <c r="AP108" s="179"/>
      <c r="AQ108" s="180"/>
      <c r="AR108" s="179"/>
      <c r="AS108" s="181"/>
      <c r="AT108" s="181"/>
      <c r="AU108" s="179"/>
      <c r="AV108" s="181"/>
      <c r="AW108" s="179"/>
      <c r="AX108" s="181"/>
      <c r="AY108" s="179"/>
      <c r="AZ108" s="181"/>
      <c r="BA108" s="179"/>
      <c r="BB108" s="181"/>
      <c r="BC108" s="179"/>
      <c r="BD108" s="181"/>
      <c r="BE108" s="179"/>
      <c r="BF108" s="182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  <c r="FW108" s="105"/>
      <c r="FX108" s="105"/>
      <c r="FY108" s="105"/>
      <c r="FZ108" s="105"/>
      <c r="GA108" s="105"/>
      <c r="GB108" s="105"/>
      <c r="GC108" s="105"/>
      <c r="GD108" s="105"/>
      <c r="GE108" s="105"/>
      <c r="GF108" s="105"/>
      <c r="GG108" s="105"/>
      <c r="GH108" s="105"/>
      <c r="GI108" s="105"/>
      <c r="GJ108" s="105"/>
      <c r="GK108" s="105"/>
      <c r="GL108" s="105"/>
      <c r="GM108" s="105"/>
      <c r="GN108" s="105"/>
      <c r="GO108" s="105"/>
      <c r="GP108" s="105"/>
      <c r="GQ108" s="105"/>
      <c r="GR108" s="105"/>
      <c r="GS108" s="105"/>
      <c r="GT108" s="105"/>
      <c r="GU108" s="105"/>
      <c r="GV108" s="105"/>
      <c r="GW108" s="105"/>
      <c r="GX108" s="105"/>
      <c r="GY108" s="105"/>
      <c r="GZ108" s="105"/>
      <c r="HA108" s="105"/>
      <c r="HB108" s="105"/>
      <c r="HC108" s="105"/>
      <c r="HD108" s="105"/>
      <c r="HE108" s="105"/>
      <c r="HF108" s="105"/>
      <c r="HG108" s="105"/>
      <c r="HH108" s="105"/>
      <c r="HI108" s="105"/>
      <c r="HJ108" s="105"/>
      <c r="HK108" s="105"/>
      <c r="HL108" s="105"/>
      <c r="HM108" s="105"/>
      <c r="HN108" s="105"/>
      <c r="HO108" s="105"/>
      <c r="HP108" s="105"/>
      <c r="HQ108" s="105"/>
      <c r="HR108" s="105"/>
      <c r="HS108" s="105"/>
      <c r="HT108" s="105"/>
      <c r="HU108" s="105"/>
      <c r="HV108" s="105"/>
      <c r="HW108" s="105"/>
      <c r="HX108" s="105"/>
      <c r="HY108" s="105"/>
      <c r="HZ108" s="105"/>
      <c r="IA108" s="105"/>
      <c r="IB108" s="105"/>
      <c r="IC108" s="105"/>
      <c r="ID108" s="105"/>
      <c r="IE108" s="105"/>
      <c r="IF108" s="105"/>
      <c r="IG108" s="105"/>
      <c r="IH108" s="105"/>
      <c r="II108" s="105"/>
      <c r="IJ108" s="105"/>
      <c r="IK108" s="105"/>
      <c r="IL108" s="105"/>
      <c r="IM108" s="105"/>
      <c r="IN108" s="105"/>
      <c r="IO108" s="105"/>
      <c r="IP108" s="105"/>
      <c r="IQ108" s="105"/>
      <c r="IR108" s="105"/>
      <c r="IS108" s="105"/>
      <c r="IT108" s="105"/>
      <c r="IU108" s="105"/>
      <c r="IV108" s="105"/>
      <c r="IW108" s="105"/>
    </row>
    <row r="109" customFormat="false" ht="12.75" hidden="false" customHeight="false" outlineLevel="0" collapsed="false">
      <c r="A109" s="84"/>
      <c r="B109" s="97" t="s">
        <v>347</v>
      </c>
      <c r="C109" s="84"/>
      <c r="D109" s="155" t="n">
        <f aca="false">SUM(D106:D108)</f>
        <v>25686608.3659217</v>
      </c>
      <c r="E109" s="155" t="n">
        <f aca="false">SUM(E106:E108)</f>
        <v>1205739.94255015</v>
      </c>
      <c r="F109" s="155" t="n">
        <f aca="false">SUM(F106:F108)</f>
        <v>1007409.40772309</v>
      </c>
      <c r="G109" s="155" t="n">
        <f aca="false">SUM(G106:G108)</f>
        <v>889756.47</v>
      </c>
      <c r="H109" s="155" t="n">
        <f aca="false">SUM(H106:H108)</f>
        <v>5065353.90886332</v>
      </c>
      <c r="I109" s="155" t="n">
        <f aca="false">SUM(I107:I108)</f>
        <v>120999.89064</v>
      </c>
      <c r="J109" s="155" t="n">
        <f aca="false">SUM(J107:J108)</f>
        <v>17397348.7461451</v>
      </c>
      <c r="K109" s="155" t="n">
        <f aca="false">SUM(K107:K108)</f>
        <v>0</v>
      </c>
      <c r="L109" s="155" t="n">
        <f aca="false">SUM(L107:L108)</f>
        <v>0</v>
      </c>
      <c r="M109" s="155" t="n">
        <f aca="false">SUM(M107:M108)</f>
        <v>3563937.96</v>
      </c>
      <c r="N109" s="155" t="n">
        <f aca="false">SUM(N107:N108)</f>
        <v>13638771.4414914</v>
      </c>
      <c r="O109" s="155" t="n">
        <f aca="false">SUM(O107:O108)</f>
        <v>42889317.767413</v>
      </c>
      <c r="P109" s="187" t="n">
        <f aca="false">SUM(P107:P108)</f>
        <v>17202710</v>
      </c>
      <c r="Q109" s="159" t="n">
        <f aca="false">SUM(Q107:Q108)</f>
        <v>356393796</v>
      </c>
      <c r="R109" s="152" t="n">
        <f aca="false">D109/$Q109*100</f>
        <v>7.20736686615097</v>
      </c>
      <c r="S109" s="152" t="n">
        <f aca="false">E109/$Q109*100</f>
        <v>0.338316759742403</v>
      </c>
      <c r="T109" s="152" t="n">
        <f aca="false">F109/$Q109*100</f>
        <v>0.282667492821085</v>
      </c>
      <c r="U109" s="152" t="n">
        <f aca="false">G109/$Q109*100</f>
        <v>0.249655431712397</v>
      </c>
      <c r="V109" s="152" t="n">
        <f aca="false">H109/$Q109*100</f>
        <v>1.42128004631801</v>
      </c>
      <c r="W109" s="152" t="n">
        <f aca="false">I109/$Q109*100</f>
        <v>0.0339511776013071</v>
      </c>
      <c r="X109" s="152" t="n">
        <f aca="false">J109/$Q109*100</f>
        <v>4.88149595795576</v>
      </c>
      <c r="Y109" s="152" t="n">
        <f aca="false">K109/$Q109*100</f>
        <v>0</v>
      </c>
      <c r="Z109" s="152" t="n">
        <f aca="false">L109/$Q109*100</f>
        <v>0</v>
      </c>
      <c r="AA109" s="154" t="n">
        <f aca="false">M109/$Q109*100</f>
        <v>1</v>
      </c>
      <c r="AB109" s="152" t="n">
        <f aca="false">N109/$Q109*100</f>
        <v>3.82688239654187</v>
      </c>
      <c r="AC109" s="152" t="n">
        <f aca="false">O109/$Q109*100</f>
        <v>12.0342492626928</v>
      </c>
      <c r="AD109" s="152"/>
      <c r="AE109" s="157"/>
      <c r="AF109" s="141" t="n">
        <f aca="false">(AC109-AG109)/AG109</f>
        <v>0.466274075346236</v>
      </c>
      <c r="AG109" s="152" t="n">
        <f aca="false">AA109+R109</f>
        <v>8.20736686615097</v>
      </c>
      <c r="AH109" s="152"/>
      <c r="AI109" s="141"/>
      <c r="AJ109" s="141"/>
      <c r="AK109" s="141"/>
      <c r="AL109" s="141"/>
      <c r="AM109" s="141"/>
      <c r="AN109" s="162"/>
      <c r="AO109" s="162"/>
      <c r="AP109" s="162"/>
      <c r="AQ109" s="158"/>
      <c r="AR109" s="162"/>
      <c r="AS109" s="163"/>
      <c r="AT109" s="163"/>
      <c r="AU109" s="162"/>
      <c r="AV109" s="163"/>
      <c r="AW109" s="162"/>
      <c r="AX109" s="163"/>
      <c r="AY109" s="162"/>
      <c r="AZ109" s="163"/>
      <c r="BA109" s="162"/>
      <c r="BB109" s="163"/>
      <c r="BC109" s="162"/>
      <c r="BD109" s="163"/>
      <c r="BE109" s="162"/>
      <c r="BF109" s="164"/>
      <c r="BG109" s="171"/>
      <c r="BH109" s="171"/>
      <c r="BI109" s="171"/>
      <c r="BJ109" s="171"/>
      <c r="BK109" s="171"/>
      <c r="BL109" s="171"/>
      <c r="BM109" s="171"/>
      <c r="BN109" s="171"/>
      <c r="BO109" s="171"/>
      <c r="BP109" s="171"/>
      <c r="BQ109" s="171"/>
      <c r="BR109" s="171"/>
      <c r="BS109" s="171"/>
      <c r="BT109" s="171"/>
      <c r="BU109" s="171"/>
      <c r="BV109" s="171"/>
      <c r="BW109" s="171"/>
      <c r="BX109" s="171"/>
      <c r="BY109" s="171"/>
      <c r="BZ109" s="171"/>
      <c r="CA109" s="171"/>
      <c r="CB109" s="171"/>
      <c r="CC109" s="171"/>
      <c r="CD109" s="171"/>
      <c r="CE109" s="171"/>
      <c r="CF109" s="171"/>
      <c r="CG109" s="171"/>
      <c r="CH109" s="171"/>
      <c r="CI109" s="171"/>
      <c r="CJ109" s="171"/>
      <c r="CK109" s="171"/>
      <c r="CL109" s="171"/>
      <c r="CM109" s="171"/>
      <c r="CN109" s="171"/>
      <c r="CO109" s="171"/>
      <c r="CP109" s="171"/>
      <c r="CQ109" s="171"/>
      <c r="CR109" s="171"/>
      <c r="CS109" s="171"/>
      <c r="CT109" s="171"/>
      <c r="CU109" s="171"/>
      <c r="CV109" s="171"/>
      <c r="CW109" s="171"/>
      <c r="CX109" s="171"/>
      <c r="CY109" s="171"/>
      <c r="CZ109" s="171"/>
      <c r="DA109" s="171"/>
      <c r="DB109" s="171"/>
      <c r="DC109" s="171"/>
      <c r="DD109" s="171"/>
      <c r="DE109" s="171"/>
      <c r="DF109" s="171"/>
      <c r="DG109" s="171"/>
      <c r="DH109" s="171"/>
      <c r="DI109" s="171"/>
      <c r="DJ109" s="171"/>
      <c r="DK109" s="171"/>
      <c r="DL109" s="171"/>
      <c r="DM109" s="171"/>
      <c r="DN109" s="171"/>
      <c r="DO109" s="171"/>
      <c r="DP109" s="171"/>
      <c r="DQ109" s="171"/>
      <c r="DR109" s="171"/>
      <c r="DS109" s="171"/>
      <c r="DT109" s="171"/>
      <c r="DU109" s="171"/>
      <c r="DV109" s="171"/>
      <c r="DW109" s="171"/>
      <c r="DX109" s="171"/>
      <c r="DY109" s="171"/>
      <c r="DZ109" s="171"/>
      <c r="EA109" s="171"/>
      <c r="EB109" s="171"/>
      <c r="EC109" s="171"/>
      <c r="ED109" s="171"/>
      <c r="EE109" s="171"/>
      <c r="EF109" s="171"/>
      <c r="EG109" s="171"/>
      <c r="EH109" s="171"/>
      <c r="EI109" s="171"/>
      <c r="EJ109" s="171"/>
      <c r="EK109" s="171"/>
      <c r="EL109" s="171"/>
      <c r="EM109" s="171"/>
      <c r="EN109" s="171"/>
      <c r="EO109" s="171"/>
      <c r="EP109" s="171"/>
      <c r="EQ109" s="171"/>
      <c r="ER109" s="171"/>
      <c r="ES109" s="171"/>
      <c r="ET109" s="171"/>
      <c r="EU109" s="171"/>
      <c r="EV109" s="171"/>
      <c r="EW109" s="171"/>
      <c r="EX109" s="171"/>
      <c r="EY109" s="171"/>
      <c r="EZ109" s="171"/>
      <c r="FA109" s="171"/>
      <c r="FB109" s="171"/>
      <c r="FC109" s="171"/>
      <c r="FD109" s="171"/>
      <c r="FE109" s="171"/>
      <c r="FF109" s="171"/>
      <c r="FG109" s="171"/>
      <c r="FH109" s="171"/>
      <c r="FI109" s="171"/>
      <c r="FJ109" s="171"/>
      <c r="FK109" s="171"/>
      <c r="FL109" s="171"/>
      <c r="FM109" s="171"/>
      <c r="FN109" s="171"/>
      <c r="FO109" s="171"/>
      <c r="FP109" s="171"/>
      <c r="FQ109" s="171"/>
      <c r="FR109" s="171"/>
      <c r="FS109" s="171"/>
      <c r="FT109" s="171"/>
      <c r="FU109" s="171"/>
      <c r="FV109" s="171"/>
      <c r="FW109" s="171"/>
      <c r="FX109" s="171"/>
      <c r="FY109" s="171"/>
      <c r="FZ109" s="171"/>
      <c r="GA109" s="171"/>
      <c r="GB109" s="171"/>
      <c r="GC109" s="171"/>
      <c r="GD109" s="171"/>
      <c r="GE109" s="171"/>
      <c r="GF109" s="171"/>
      <c r="GG109" s="171"/>
      <c r="GH109" s="171"/>
      <c r="GI109" s="171"/>
      <c r="GJ109" s="171"/>
      <c r="GK109" s="171"/>
      <c r="GL109" s="171"/>
      <c r="GM109" s="171"/>
      <c r="GN109" s="171"/>
      <c r="GO109" s="171"/>
      <c r="GP109" s="171"/>
      <c r="GQ109" s="171"/>
      <c r="GR109" s="171"/>
      <c r="GS109" s="171"/>
      <c r="GT109" s="171"/>
      <c r="GU109" s="171"/>
      <c r="GV109" s="171"/>
      <c r="GW109" s="171"/>
      <c r="GX109" s="171"/>
      <c r="GY109" s="171"/>
      <c r="GZ109" s="171"/>
      <c r="HA109" s="171"/>
      <c r="HB109" s="171"/>
      <c r="HC109" s="171"/>
      <c r="HD109" s="171"/>
      <c r="HE109" s="171"/>
      <c r="HF109" s="171"/>
      <c r="HG109" s="171"/>
      <c r="HH109" s="171"/>
      <c r="HI109" s="171"/>
      <c r="HJ109" s="171"/>
      <c r="HK109" s="171"/>
      <c r="HL109" s="171"/>
      <c r="HM109" s="171"/>
      <c r="HN109" s="171"/>
      <c r="HO109" s="171"/>
      <c r="HP109" s="171"/>
      <c r="HQ109" s="171"/>
      <c r="HR109" s="171"/>
      <c r="HS109" s="171"/>
      <c r="HT109" s="171"/>
      <c r="HU109" s="171"/>
      <c r="HV109" s="171"/>
      <c r="HW109" s="171"/>
      <c r="HX109" s="171"/>
      <c r="HY109" s="171"/>
      <c r="HZ109" s="171"/>
      <c r="IA109" s="171"/>
      <c r="IB109" s="171"/>
      <c r="IC109" s="171"/>
      <c r="ID109" s="171"/>
      <c r="IE109" s="171"/>
      <c r="IF109" s="171"/>
      <c r="IG109" s="171"/>
      <c r="IH109" s="171"/>
      <c r="II109" s="171"/>
      <c r="IJ109" s="171"/>
      <c r="IK109" s="171"/>
      <c r="IL109" s="171"/>
      <c r="IM109" s="171"/>
      <c r="IN109" s="171"/>
      <c r="IO109" s="171"/>
      <c r="IP109" s="171"/>
      <c r="IQ109" s="171"/>
      <c r="IR109" s="171"/>
      <c r="IS109" s="171"/>
      <c r="IT109" s="171"/>
      <c r="IU109" s="171"/>
      <c r="IV109" s="171"/>
      <c r="IW109" s="171"/>
    </row>
    <row r="110" customFormat="false" ht="14.25" hidden="false" customHeight="true" outlineLevel="0" collapsed="false">
      <c r="A110" s="84"/>
      <c r="B110" s="94"/>
      <c r="C110" s="79"/>
      <c r="D110" s="167"/>
      <c r="E110" s="156"/>
      <c r="F110" s="167"/>
      <c r="G110" s="167"/>
      <c r="H110" s="167"/>
      <c r="I110" s="167"/>
      <c r="J110" s="155"/>
      <c r="K110" s="155"/>
      <c r="L110" s="155"/>
      <c r="M110" s="155"/>
      <c r="N110" s="155"/>
      <c r="O110" s="155"/>
      <c r="P110" s="169"/>
      <c r="Q110" s="159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4"/>
      <c r="AB110" s="152"/>
      <c r="AC110" s="152"/>
      <c r="AD110" s="152"/>
      <c r="AE110" s="157"/>
      <c r="AF110" s="141"/>
      <c r="AG110" s="152" t="n">
        <f aca="false">AA110+R110</f>
        <v>0</v>
      </c>
      <c r="AH110" s="152"/>
      <c r="AI110" s="141"/>
      <c r="AJ110" s="141"/>
      <c r="AK110" s="141"/>
      <c r="AL110" s="141"/>
      <c r="AM110" s="141"/>
      <c r="AN110" s="158"/>
      <c r="AO110" s="158"/>
      <c r="AP110" s="162"/>
      <c r="AQ110" s="158"/>
      <c r="AR110" s="162"/>
      <c r="AS110" s="163"/>
      <c r="AT110" s="163"/>
      <c r="AU110" s="162"/>
      <c r="AV110" s="163"/>
      <c r="AW110" s="162"/>
      <c r="AX110" s="163"/>
      <c r="AY110" s="162"/>
      <c r="AZ110" s="163"/>
      <c r="BA110" s="162"/>
      <c r="BB110" s="163"/>
      <c r="BC110" s="162"/>
      <c r="BD110" s="163"/>
      <c r="BE110" s="158"/>
      <c r="BF110" s="164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  <c r="FW110" s="105"/>
      <c r="FX110" s="105"/>
      <c r="FY110" s="105"/>
      <c r="FZ110" s="105"/>
      <c r="GA110" s="105"/>
      <c r="GB110" s="105"/>
      <c r="GC110" s="105"/>
      <c r="GD110" s="105"/>
      <c r="GE110" s="105"/>
      <c r="GF110" s="105"/>
      <c r="GG110" s="105"/>
      <c r="GH110" s="105"/>
      <c r="GI110" s="105"/>
      <c r="GJ110" s="105"/>
      <c r="GK110" s="105"/>
      <c r="GL110" s="105"/>
      <c r="GM110" s="105"/>
      <c r="GN110" s="105"/>
      <c r="GO110" s="105"/>
      <c r="GP110" s="105"/>
      <c r="GQ110" s="105"/>
      <c r="GR110" s="105"/>
      <c r="GS110" s="105"/>
      <c r="GT110" s="105"/>
      <c r="GU110" s="105"/>
      <c r="GV110" s="105"/>
      <c r="GW110" s="105"/>
      <c r="GX110" s="105"/>
      <c r="GY110" s="105"/>
      <c r="GZ110" s="105"/>
      <c r="HA110" s="105"/>
      <c r="HB110" s="105"/>
      <c r="HC110" s="105"/>
      <c r="HD110" s="105"/>
      <c r="HE110" s="105"/>
      <c r="HF110" s="105"/>
      <c r="HG110" s="105"/>
      <c r="HH110" s="105"/>
      <c r="HI110" s="105"/>
      <c r="HJ110" s="105"/>
      <c r="HK110" s="105"/>
      <c r="HL110" s="105"/>
      <c r="HM110" s="105"/>
      <c r="HN110" s="105"/>
      <c r="HO110" s="105"/>
      <c r="HP110" s="105"/>
      <c r="HQ110" s="105"/>
      <c r="HR110" s="105"/>
      <c r="HS110" s="105"/>
      <c r="HT110" s="105"/>
      <c r="HU110" s="105"/>
      <c r="HV110" s="105"/>
      <c r="HW110" s="105"/>
      <c r="HX110" s="105"/>
      <c r="HY110" s="105"/>
      <c r="HZ110" s="105"/>
      <c r="IA110" s="105"/>
      <c r="IB110" s="105"/>
      <c r="IC110" s="105"/>
      <c r="ID110" s="105"/>
      <c r="IE110" s="105"/>
      <c r="IF110" s="105"/>
      <c r="IG110" s="105"/>
      <c r="IH110" s="105"/>
      <c r="II110" s="105"/>
      <c r="IJ110" s="105"/>
      <c r="IK110" s="105"/>
      <c r="IL110" s="105"/>
      <c r="IM110" s="105"/>
      <c r="IN110" s="105"/>
      <c r="IO110" s="105"/>
      <c r="IP110" s="105"/>
      <c r="IQ110" s="105"/>
      <c r="IR110" s="105"/>
      <c r="IS110" s="105"/>
      <c r="IT110" s="105"/>
      <c r="IU110" s="105"/>
      <c r="IV110" s="105"/>
      <c r="IW110" s="105"/>
    </row>
    <row r="111" customFormat="false" ht="12.75" hidden="false" customHeight="false" outlineLevel="0" collapsed="false">
      <c r="A111" s="84"/>
      <c r="B111" s="100" t="s">
        <v>348</v>
      </c>
      <c r="C111" s="84" t="s">
        <v>236</v>
      </c>
      <c r="D111" s="155" t="n">
        <f aca="false">+D95+D107</f>
        <v>330891264.674591</v>
      </c>
      <c r="E111" s="155" t="n">
        <f aca="false">+E95+E107</f>
        <v>23836481.9461505</v>
      </c>
      <c r="F111" s="155" t="n">
        <f aca="false">+F95+F107</f>
        <v>14373990.5698322</v>
      </c>
      <c r="G111" s="155" t="n">
        <f aca="false">+G95+G107</f>
        <v>11134038.5629045</v>
      </c>
      <c r="H111" s="155" t="n">
        <f aca="false">+H95+H107</f>
        <v>11387486.5356135</v>
      </c>
      <c r="I111" s="155" t="n">
        <f aca="false">+I95+I107</f>
        <v>1339014.03984294</v>
      </c>
      <c r="J111" s="155" t="n">
        <f aca="false">+J95+J107</f>
        <v>268820253.020248</v>
      </c>
      <c r="K111" s="155"/>
      <c r="L111" s="155" t="n">
        <f aca="false">+L95+L107</f>
        <v>0</v>
      </c>
      <c r="M111" s="155" t="n">
        <f aca="false">+M95+M107</f>
        <v>70456107.3601549</v>
      </c>
      <c r="N111" s="155" t="n">
        <f aca="false">+N95+N107</f>
        <v>269627236.985441</v>
      </c>
      <c r="O111" s="155" t="n">
        <f aca="false">+O95+O107</f>
        <v>670974609.020187</v>
      </c>
      <c r="P111" s="169" t="n">
        <f aca="false">ROUND(O111-D111,0)</f>
        <v>340083344</v>
      </c>
      <c r="Q111" s="159" t="n">
        <v>7045610736.01547</v>
      </c>
      <c r="R111" s="152" t="n">
        <f aca="false">D111/$Q111*100</f>
        <v>4.69641706123721</v>
      </c>
      <c r="S111" s="152" t="n">
        <f aca="false">E111/$Q111*100</f>
        <v>0.338316759742404</v>
      </c>
      <c r="T111" s="152" t="n">
        <f aca="false">F111/$Q111*100</f>
        <v>0.204013407898847</v>
      </c>
      <c r="U111" s="152" t="n">
        <f aca="false">G111/$Q111*100</f>
        <v>0.158028011766105</v>
      </c>
      <c r="V111" s="152" t="n">
        <f aca="false">H111/$Q111*100</f>
        <v>0.16162525808307</v>
      </c>
      <c r="W111" s="152" t="n">
        <f aca="false">I111/$Q111*100</f>
        <v>0.0190049392453407</v>
      </c>
      <c r="X111" s="152" t="n">
        <f aca="false">J111/$Q111*100</f>
        <v>3.81542868450145</v>
      </c>
      <c r="Y111" s="152" t="n">
        <f aca="false">K111/$Q111*100</f>
        <v>0</v>
      </c>
      <c r="Z111" s="152" t="n">
        <f aca="false">L111/$Q111*100</f>
        <v>0</v>
      </c>
      <c r="AA111" s="154" t="n">
        <f aca="false">M111/$Q111*100</f>
        <v>1</v>
      </c>
      <c r="AB111" s="152" t="n">
        <f aca="false">N111/$Q111*100</f>
        <v>3.82688239654188</v>
      </c>
      <c r="AC111" s="152" t="n">
        <f aca="false">O111/$Q111*100</f>
        <v>9.5232994577791</v>
      </c>
      <c r="AD111" s="152"/>
      <c r="AE111" s="157"/>
      <c r="AF111" s="141" t="n">
        <f aca="false">(AC111-AG111)/AG111</f>
        <v>0.671805163737557</v>
      </c>
      <c r="AG111" s="152" t="n">
        <f aca="false">AA111+R111</f>
        <v>5.69641706123722</v>
      </c>
      <c r="AH111" s="152"/>
      <c r="AI111" s="141"/>
      <c r="AJ111" s="141"/>
      <c r="AK111" s="141"/>
      <c r="AL111" s="141"/>
      <c r="AM111" s="141"/>
      <c r="AN111" s="162"/>
      <c r="AO111" s="162"/>
      <c r="AP111" s="162"/>
      <c r="AQ111" s="158"/>
      <c r="AR111" s="162"/>
      <c r="AS111" s="163"/>
      <c r="AT111" s="163"/>
      <c r="AU111" s="162"/>
      <c r="AV111" s="163"/>
      <c r="AW111" s="162"/>
      <c r="AX111" s="163"/>
      <c r="AY111" s="162"/>
      <c r="AZ111" s="163"/>
      <c r="BA111" s="162"/>
      <c r="BB111" s="163"/>
      <c r="BC111" s="162"/>
      <c r="BD111" s="163"/>
      <c r="BE111" s="162"/>
      <c r="BF111" s="164"/>
      <c r="BG111" s="171"/>
      <c r="BH111" s="171"/>
      <c r="BI111" s="171"/>
      <c r="BJ111" s="171"/>
      <c r="BK111" s="171"/>
      <c r="BL111" s="171"/>
      <c r="BM111" s="171"/>
      <c r="BN111" s="171"/>
      <c r="BO111" s="171"/>
      <c r="BP111" s="171"/>
      <c r="BQ111" s="171"/>
      <c r="BR111" s="171"/>
      <c r="BS111" s="171"/>
      <c r="BT111" s="171"/>
      <c r="BU111" s="171"/>
      <c r="BV111" s="171"/>
      <c r="BW111" s="171"/>
      <c r="BX111" s="171"/>
      <c r="BY111" s="171"/>
      <c r="BZ111" s="171"/>
      <c r="CA111" s="171"/>
      <c r="CB111" s="171"/>
      <c r="CC111" s="171"/>
      <c r="CD111" s="171"/>
      <c r="CE111" s="171"/>
      <c r="CF111" s="171"/>
      <c r="CG111" s="171"/>
      <c r="CH111" s="171"/>
      <c r="CI111" s="171"/>
      <c r="CJ111" s="171"/>
      <c r="CK111" s="171"/>
      <c r="CL111" s="171"/>
      <c r="CM111" s="171"/>
      <c r="CN111" s="171"/>
      <c r="CO111" s="171"/>
      <c r="CP111" s="171"/>
      <c r="CQ111" s="171"/>
      <c r="CR111" s="171"/>
      <c r="CS111" s="171"/>
      <c r="CT111" s="171"/>
      <c r="CU111" s="171"/>
      <c r="CV111" s="171"/>
      <c r="CW111" s="171"/>
      <c r="CX111" s="171"/>
      <c r="CY111" s="171"/>
      <c r="CZ111" s="171"/>
      <c r="DA111" s="171"/>
      <c r="DB111" s="171"/>
      <c r="DC111" s="171"/>
      <c r="DD111" s="171"/>
      <c r="DE111" s="171"/>
      <c r="DF111" s="171"/>
      <c r="DG111" s="171"/>
      <c r="DH111" s="171"/>
      <c r="DI111" s="171"/>
      <c r="DJ111" s="171"/>
      <c r="DK111" s="171"/>
      <c r="DL111" s="171"/>
      <c r="DM111" s="171"/>
      <c r="DN111" s="171"/>
      <c r="DO111" s="171"/>
      <c r="DP111" s="171"/>
      <c r="DQ111" s="171"/>
      <c r="DR111" s="171"/>
      <c r="DS111" s="171"/>
      <c r="DT111" s="171"/>
      <c r="DU111" s="171"/>
      <c r="DV111" s="171"/>
      <c r="DW111" s="171"/>
      <c r="DX111" s="171"/>
      <c r="DY111" s="171"/>
      <c r="DZ111" s="171"/>
      <c r="EA111" s="171"/>
      <c r="EB111" s="171"/>
      <c r="EC111" s="171"/>
      <c r="ED111" s="171"/>
      <c r="EE111" s="171"/>
      <c r="EF111" s="171"/>
      <c r="EG111" s="171"/>
      <c r="EH111" s="171"/>
      <c r="EI111" s="171"/>
      <c r="EJ111" s="171"/>
      <c r="EK111" s="171"/>
      <c r="EL111" s="171"/>
      <c r="EM111" s="171"/>
      <c r="EN111" s="171"/>
      <c r="EO111" s="171"/>
      <c r="EP111" s="171"/>
      <c r="EQ111" s="171"/>
      <c r="ER111" s="171"/>
      <c r="ES111" s="171"/>
      <c r="ET111" s="171"/>
      <c r="EU111" s="171"/>
      <c r="EV111" s="171"/>
      <c r="EW111" s="171"/>
      <c r="EX111" s="171"/>
      <c r="EY111" s="171"/>
      <c r="EZ111" s="171"/>
      <c r="FA111" s="171"/>
      <c r="FB111" s="171"/>
      <c r="FC111" s="171"/>
      <c r="FD111" s="171"/>
      <c r="FE111" s="171"/>
      <c r="FF111" s="171"/>
      <c r="FG111" s="171"/>
      <c r="FH111" s="171"/>
      <c r="FI111" s="171"/>
      <c r="FJ111" s="171"/>
      <c r="FK111" s="171"/>
      <c r="FL111" s="171"/>
      <c r="FM111" s="171"/>
      <c r="FN111" s="171"/>
      <c r="FO111" s="171"/>
      <c r="FP111" s="171"/>
      <c r="FQ111" s="171"/>
      <c r="FR111" s="171"/>
      <c r="FS111" s="171"/>
      <c r="FT111" s="171"/>
      <c r="FU111" s="171"/>
      <c r="FV111" s="171"/>
      <c r="FW111" s="171"/>
      <c r="FX111" s="171"/>
      <c r="FY111" s="171"/>
      <c r="FZ111" s="171"/>
      <c r="GA111" s="171"/>
      <c r="GB111" s="171"/>
      <c r="GC111" s="171"/>
      <c r="GD111" s="171"/>
      <c r="GE111" s="171"/>
      <c r="GF111" s="171"/>
      <c r="GG111" s="171"/>
      <c r="GH111" s="171"/>
      <c r="GI111" s="171"/>
      <c r="GJ111" s="171"/>
      <c r="GK111" s="171"/>
      <c r="GL111" s="171"/>
      <c r="GM111" s="171"/>
      <c r="GN111" s="171"/>
      <c r="GO111" s="171"/>
      <c r="GP111" s="171"/>
      <c r="GQ111" s="171"/>
      <c r="GR111" s="171"/>
      <c r="GS111" s="171"/>
      <c r="GT111" s="171"/>
      <c r="GU111" s="171"/>
      <c r="GV111" s="171"/>
      <c r="GW111" s="171"/>
      <c r="GX111" s="171"/>
      <c r="GY111" s="171"/>
      <c r="GZ111" s="171"/>
      <c r="HA111" s="171"/>
      <c r="HB111" s="171"/>
      <c r="HC111" s="171"/>
      <c r="HD111" s="171"/>
      <c r="HE111" s="171"/>
      <c r="HF111" s="171"/>
      <c r="HG111" s="171"/>
      <c r="HH111" s="171"/>
      <c r="HI111" s="171"/>
      <c r="HJ111" s="171"/>
      <c r="HK111" s="171"/>
      <c r="HL111" s="171"/>
      <c r="HM111" s="171"/>
      <c r="HN111" s="171"/>
      <c r="HO111" s="171"/>
      <c r="HP111" s="171"/>
      <c r="HQ111" s="171"/>
      <c r="HR111" s="171"/>
      <c r="HS111" s="171"/>
      <c r="HT111" s="171"/>
      <c r="HU111" s="171"/>
      <c r="HV111" s="171"/>
      <c r="HW111" s="171"/>
      <c r="HX111" s="171"/>
      <c r="HY111" s="171"/>
      <c r="HZ111" s="171"/>
      <c r="IA111" s="171"/>
      <c r="IB111" s="171"/>
      <c r="IC111" s="171"/>
      <c r="ID111" s="171"/>
      <c r="IE111" s="171"/>
      <c r="IF111" s="171"/>
      <c r="IG111" s="171"/>
      <c r="IH111" s="171"/>
      <c r="II111" s="171"/>
      <c r="IJ111" s="171"/>
      <c r="IK111" s="171"/>
      <c r="IL111" s="171"/>
      <c r="IM111" s="171"/>
      <c r="IN111" s="171"/>
      <c r="IO111" s="171"/>
      <c r="IP111" s="171"/>
      <c r="IQ111" s="171"/>
      <c r="IR111" s="171"/>
      <c r="IS111" s="171"/>
      <c r="IT111" s="171"/>
      <c r="IU111" s="171"/>
      <c r="IV111" s="171"/>
      <c r="IW111" s="171"/>
    </row>
    <row r="112" customFormat="false" ht="12.75" hidden="false" customHeight="false" outlineLevel="0" collapsed="false">
      <c r="A112" s="84"/>
      <c r="B112" s="100"/>
      <c r="C112" s="84" t="s">
        <v>234</v>
      </c>
      <c r="D112" s="155" t="n">
        <f aca="false">+D99</f>
        <v>424958830.41474</v>
      </c>
      <c r="E112" s="155" t="n">
        <f aca="false">+E99</f>
        <v>21191830.217123</v>
      </c>
      <c r="F112" s="155" t="n">
        <f aca="false">+F99</f>
        <v>13725669.7602141</v>
      </c>
      <c r="G112" s="155" t="n">
        <f aca="false">+G99</f>
        <v>13273204.8838859</v>
      </c>
      <c r="H112" s="155" t="n">
        <f aca="false">+H99</f>
        <v>64797515.1780697</v>
      </c>
      <c r="I112" s="155" t="n">
        <f aca="false">+I99</f>
        <v>1753064.9278604</v>
      </c>
      <c r="J112" s="155" t="n">
        <f aca="false">+J99</f>
        <v>310217545.447587</v>
      </c>
      <c r="K112" s="155"/>
      <c r="L112" s="155" t="n">
        <f aca="false">+L99</f>
        <v>0</v>
      </c>
      <c r="M112" s="155" t="n">
        <f aca="false">+M99</f>
        <v>62609461.716443</v>
      </c>
      <c r="N112" s="155" t="n">
        <f aca="false">+N99</f>
        <v>239599046.899618</v>
      </c>
      <c r="O112" s="155" t="n">
        <f aca="false">+O99</f>
        <v>727167339.030802</v>
      </c>
      <c r="P112" s="169" t="n">
        <f aca="false">ROUND(O112-D112,0)</f>
        <v>302208509</v>
      </c>
      <c r="Q112" s="159" t="n">
        <v>6260946171.6443</v>
      </c>
      <c r="R112" s="152" t="n">
        <f aca="false">D112/$Q112*100</f>
        <v>6.78745382510027</v>
      </c>
      <c r="S112" s="152" t="n">
        <f aca="false">E112/$Q112*100</f>
        <v>0.338476480010328</v>
      </c>
      <c r="T112" s="152" t="n">
        <f aca="false">F112/$Q112*100</f>
        <v>0.219226765155359</v>
      </c>
      <c r="U112" s="152" t="n">
        <f aca="false">G112/$Q112*100</f>
        <v>0.211999984027973</v>
      </c>
      <c r="V112" s="152" t="n">
        <f aca="false">H112/$Q112*100</f>
        <v>1.03494764851256</v>
      </c>
      <c r="W112" s="152" t="n">
        <f aca="false">I112/$Q112*100</f>
        <v>0.0279999999968056</v>
      </c>
      <c r="X112" s="152" t="n">
        <f aca="false">J112/$Q112*100</f>
        <v>4.95480294739725</v>
      </c>
      <c r="Y112" s="152" t="n">
        <f aca="false">K112/$Q112*100</f>
        <v>0</v>
      </c>
      <c r="Z112" s="152" t="n">
        <f aca="false">L112/$Q112*100</f>
        <v>0</v>
      </c>
      <c r="AA112" s="154" t="n">
        <f aca="false">M112/$Q112*100</f>
        <v>1</v>
      </c>
      <c r="AB112" s="152" t="n">
        <f aca="false">N112/$Q112*100</f>
        <v>3.82688239654187</v>
      </c>
      <c r="AC112" s="152" t="n">
        <f aca="false">O112/$Q112*100</f>
        <v>11.6143362216421</v>
      </c>
      <c r="AD112" s="152"/>
      <c r="AE112" s="157"/>
      <c r="AF112" s="141" t="n">
        <f aca="false">(AC112-AG112)/AG112</f>
        <v>0.491416383646114</v>
      </c>
      <c r="AG112" s="152" t="n">
        <f aca="false">AA112+R112</f>
        <v>7.78745382510027</v>
      </c>
      <c r="AH112" s="152"/>
      <c r="AI112" s="141"/>
      <c r="AJ112" s="141"/>
      <c r="AK112" s="141"/>
      <c r="AL112" s="141"/>
      <c r="AM112" s="141"/>
      <c r="AN112" s="162"/>
      <c r="AO112" s="162"/>
      <c r="AP112" s="162"/>
      <c r="AQ112" s="158"/>
      <c r="AR112" s="162"/>
      <c r="AS112" s="163"/>
      <c r="AT112" s="163"/>
      <c r="AU112" s="162"/>
      <c r="AV112" s="163"/>
      <c r="AW112" s="162"/>
      <c r="AX112" s="163"/>
      <c r="AY112" s="162"/>
      <c r="AZ112" s="163"/>
      <c r="BA112" s="162"/>
      <c r="BB112" s="163"/>
      <c r="BC112" s="162"/>
      <c r="BD112" s="163"/>
      <c r="BE112" s="162"/>
      <c r="BF112" s="164"/>
      <c r="BG112" s="171"/>
      <c r="BH112" s="171"/>
      <c r="BI112" s="171"/>
      <c r="BJ112" s="171"/>
      <c r="BK112" s="171"/>
      <c r="BL112" s="171"/>
      <c r="BM112" s="171"/>
      <c r="BN112" s="171"/>
      <c r="BO112" s="171"/>
      <c r="BP112" s="171"/>
      <c r="BQ112" s="171"/>
      <c r="BR112" s="171"/>
      <c r="BS112" s="171"/>
      <c r="BT112" s="171"/>
      <c r="BU112" s="171"/>
      <c r="BV112" s="171"/>
      <c r="BW112" s="171"/>
      <c r="BX112" s="171"/>
      <c r="BY112" s="171"/>
      <c r="BZ112" s="171"/>
      <c r="CA112" s="171"/>
      <c r="CB112" s="171"/>
      <c r="CC112" s="171"/>
      <c r="CD112" s="171"/>
      <c r="CE112" s="171"/>
      <c r="CF112" s="171"/>
      <c r="CG112" s="171"/>
      <c r="CH112" s="171"/>
      <c r="CI112" s="171"/>
      <c r="CJ112" s="171"/>
      <c r="CK112" s="171"/>
      <c r="CL112" s="171"/>
      <c r="CM112" s="171"/>
      <c r="CN112" s="171"/>
      <c r="CO112" s="171"/>
      <c r="CP112" s="171"/>
      <c r="CQ112" s="171"/>
      <c r="CR112" s="171"/>
      <c r="CS112" s="171"/>
      <c r="CT112" s="171"/>
      <c r="CU112" s="171"/>
      <c r="CV112" s="171"/>
      <c r="CW112" s="171"/>
      <c r="CX112" s="171"/>
      <c r="CY112" s="171"/>
      <c r="CZ112" s="171"/>
      <c r="DA112" s="171"/>
      <c r="DB112" s="171"/>
      <c r="DC112" s="171"/>
      <c r="DD112" s="171"/>
      <c r="DE112" s="171"/>
      <c r="DF112" s="171"/>
      <c r="DG112" s="171"/>
      <c r="DH112" s="171"/>
      <c r="DI112" s="171"/>
      <c r="DJ112" s="171"/>
      <c r="DK112" s="171"/>
      <c r="DL112" s="171"/>
      <c r="DM112" s="171"/>
      <c r="DN112" s="171"/>
      <c r="DO112" s="171"/>
      <c r="DP112" s="171"/>
      <c r="DQ112" s="171"/>
      <c r="DR112" s="171"/>
      <c r="DS112" s="171"/>
      <c r="DT112" s="171"/>
      <c r="DU112" s="171"/>
      <c r="DV112" s="171"/>
      <c r="DW112" s="171"/>
      <c r="DX112" s="171"/>
      <c r="DY112" s="171"/>
      <c r="DZ112" s="171"/>
      <c r="EA112" s="171"/>
      <c r="EB112" s="171"/>
      <c r="EC112" s="171"/>
      <c r="ED112" s="171"/>
      <c r="EE112" s="171"/>
      <c r="EF112" s="171"/>
      <c r="EG112" s="171"/>
      <c r="EH112" s="171"/>
      <c r="EI112" s="171"/>
      <c r="EJ112" s="171"/>
      <c r="EK112" s="171"/>
      <c r="EL112" s="171"/>
      <c r="EM112" s="171"/>
      <c r="EN112" s="171"/>
      <c r="EO112" s="171"/>
      <c r="EP112" s="171"/>
      <c r="EQ112" s="171"/>
      <c r="ER112" s="171"/>
      <c r="ES112" s="171"/>
      <c r="ET112" s="171"/>
      <c r="EU112" s="171"/>
      <c r="EV112" s="171"/>
      <c r="EW112" s="171"/>
      <c r="EX112" s="171"/>
      <c r="EY112" s="171"/>
      <c r="EZ112" s="171"/>
      <c r="FA112" s="171"/>
      <c r="FB112" s="171"/>
      <c r="FC112" s="171"/>
      <c r="FD112" s="171"/>
      <c r="FE112" s="171"/>
      <c r="FF112" s="171"/>
      <c r="FG112" s="171"/>
      <c r="FH112" s="171"/>
      <c r="FI112" s="171"/>
      <c r="FJ112" s="171"/>
      <c r="FK112" s="171"/>
      <c r="FL112" s="171"/>
      <c r="FM112" s="171"/>
      <c r="FN112" s="171"/>
      <c r="FO112" s="171"/>
      <c r="FP112" s="171"/>
      <c r="FQ112" s="171"/>
      <c r="FR112" s="171"/>
      <c r="FS112" s="171"/>
      <c r="FT112" s="171"/>
      <c r="FU112" s="171"/>
      <c r="FV112" s="171"/>
      <c r="FW112" s="171"/>
      <c r="FX112" s="171"/>
      <c r="FY112" s="171"/>
      <c r="FZ112" s="171"/>
      <c r="GA112" s="171"/>
      <c r="GB112" s="171"/>
      <c r="GC112" s="171"/>
      <c r="GD112" s="171"/>
      <c r="GE112" s="171"/>
      <c r="GF112" s="171"/>
      <c r="GG112" s="171"/>
      <c r="GH112" s="171"/>
      <c r="GI112" s="171"/>
      <c r="GJ112" s="171"/>
      <c r="GK112" s="171"/>
      <c r="GL112" s="171"/>
      <c r="GM112" s="171"/>
      <c r="GN112" s="171"/>
      <c r="GO112" s="171"/>
      <c r="GP112" s="171"/>
      <c r="GQ112" s="171"/>
      <c r="GR112" s="171"/>
      <c r="GS112" s="171"/>
      <c r="GT112" s="171"/>
      <c r="GU112" s="171"/>
      <c r="GV112" s="171"/>
      <c r="GW112" s="171"/>
      <c r="GX112" s="171"/>
      <c r="GY112" s="171"/>
      <c r="GZ112" s="171"/>
      <c r="HA112" s="171"/>
      <c r="HB112" s="171"/>
      <c r="HC112" s="171"/>
      <c r="HD112" s="171"/>
      <c r="HE112" s="171"/>
      <c r="HF112" s="171"/>
      <c r="HG112" s="171"/>
      <c r="HH112" s="171"/>
      <c r="HI112" s="171"/>
      <c r="HJ112" s="171"/>
      <c r="HK112" s="171"/>
      <c r="HL112" s="171"/>
      <c r="HM112" s="171"/>
      <c r="HN112" s="171"/>
      <c r="HO112" s="171"/>
      <c r="HP112" s="171"/>
      <c r="HQ112" s="171"/>
      <c r="HR112" s="171"/>
      <c r="HS112" s="171"/>
      <c r="HT112" s="171"/>
      <c r="HU112" s="171"/>
      <c r="HV112" s="171"/>
      <c r="HW112" s="171"/>
      <c r="HX112" s="171"/>
      <c r="HY112" s="171"/>
      <c r="HZ112" s="171"/>
      <c r="IA112" s="171"/>
      <c r="IB112" s="171"/>
      <c r="IC112" s="171"/>
      <c r="ID112" s="171"/>
      <c r="IE112" s="171"/>
      <c r="IF112" s="171"/>
      <c r="IG112" s="171"/>
      <c r="IH112" s="171"/>
      <c r="II112" s="171"/>
      <c r="IJ112" s="171"/>
      <c r="IK112" s="171"/>
      <c r="IL112" s="171"/>
      <c r="IM112" s="171"/>
      <c r="IN112" s="171"/>
      <c r="IO112" s="171"/>
      <c r="IP112" s="171"/>
      <c r="IQ112" s="171"/>
      <c r="IR112" s="171"/>
      <c r="IS112" s="171"/>
      <c r="IT112" s="171"/>
      <c r="IU112" s="171"/>
      <c r="IV112" s="171"/>
      <c r="IW112" s="171"/>
    </row>
    <row r="113" customFormat="false" ht="12.75" hidden="false" customHeight="false" outlineLevel="0" collapsed="false">
      <c r="A113" s="84"/>
      <c r="B113" s="100"/>
      <c r="C113" s="84" t="s">
        <v>231</v>
      </c>
      <c r="D113" s="175" t="n">
        <f aca="false">+D108+D103</f>
        <v>288255006.086306</v>
      </c>
      <c r="E113" s="175" t="n">
        <f aca="false">+E108+E103</f>
        <v>11977128.289443</v>
      </c>
      <c r="F113" s="175" t="n">
        <f aca="false">+F108+F103</f>
        <v>8280490.51880653</v>
      </c>
      <c r="G113" s="175" t="n">
        <f aca="false">+G108+G103</f>
        <v>8915018.14191644</v>
      </c>
      <c r="H113" s="175" t="n">
        <f aca="false">+H108+H103</f>
        <v>65569624.8788522</v>
      </c>
      <c r="I113" s="175" t="n">
        <f aca="false">+I108+I103</f>
        <v>1235648.28396173</v>
      </c>
      <c r="J113" s="175" t="n">
        <f aca="false">+J108+J103</f>
        <v>192277095.973326</v>
      </c>
      <c r="K113" s="175"/>
      <c r="L113" s="175" t="n">
        <f aca="false">+L108+L103</f>
        <v>0</v>
      </c>
      <c r="M113" s="175" t="n">
        <f aca="false">+M108+M103</f>
        <v>35405069.1977636</v>
      </c>
      <c r="N113" s="175" t="n">
        <f aca="false">+N108+N103</f>
        <v>135491036.061269</v>
      </c>
      <c r="O113" s="175" t="n">
        <f aca="false">+O108+O103</f>
        <v>459151121.345339</v>
      </c>
      <c r="P113" s="169" t="n">
        <f aca="false">ROUND(O113-D113,0)</f>
        <v>170896115</v>
      </c>
      <c r="Q113" s="185" t="n">
        <v>3540506919.77636</v>
      </c>
      <c r="R113" s="178" t="n">
        <f aca="false">D113/$Q113*100</f>
        <v>8.14163091946488</v>
      </c>
      <c r="S113" s="178" t="n">
        <f aca="false">E113/$Q113*100</f>
        <v>0.338288515199385</v>
      </c>
      <c r="T113" s="178" t="n">
        <f aca="false">F113/$Q113*100</f>
        <v>0.233878670665882</v>
      </c>
      <c r="U113" s="178" t="n">
        <f aca="false">G113/$Q113*100</f>
        <v>0.251800613412713</v>
      </c>
      <c r="V113" s="178" t="n">
        <f aca="false">H113/$Q113*100</f>
        <v>1.85198409054356</v>
      </c>
      <c r="W113" s="178" t="n">
        <f aca="false">I113/$Q113*100</f>
        <v>0.0349003211110735</v>
      </c>
      <c r="X113" s="178" t="n">
        <f aca="false">J113/$Q113*100</f>
        <v>5.43077870853226</v>
      </c>
      <c r="Y113" s="178" t="n">
        <f aca="false">K113/$Q113*100</f>
        <v>0</v>
      </c>
      <c r="Z113" s="178" t="n">
        <f aca="false">L113/$Q113*100</f>
        <v>0</v>
      </c>
      <c r="AA113" s="150" t="n">
        <f aca="false">M113/$Q113*100</f>
        <v>1</v>
      </c>
      <c r="AB113" s="178" t="n">
        <f aca="false">N113/$Q113*100</f>
        <v>3.82688239654187</v>
      </c>
      <c r="AC113" s="178" t="n">
        <f aca="false">O113/$Q113*100</f>
        <v>12.9685135984522</v>
      </c>
      <c r="AD113" s="178"/>
      <c r="AE113" s="157"/>
      <c r="AF113" s="151" t="n">
        <f aca="false">(AC113-AG113)/AG113</f>
        <v>0.418621437761056</v>
      </c>
      <c r="AG113" s="152" t="n">
        <f aca="false">AA113+R113</f>
        <v>9.14163091946488</v>
      </c>
      <c r="AH113" s="152"/>
      <c r="AI113" s="151"/>
      <c r="AJ113" s="151"/>
      <c r="AK113" s="151"/>
      <c r="AL113" s="151"/>
      <c r="AM113" s="151"/>
      <c r="AN113" s="179"/>
      <c r="AO113" s="179"/>
      <c r="AP113" s="179"/>
      <c r="AQ113" s="180"/>
      <c r="AR113" s="179"/>
      <c r="AS113" s="181"/>
      <c r="AT113" s="181"/>
      <c r="AU113" s="179"/>
      <c r="AV113" s="181"/>
      <c r="AW113" s="179"/>
      <c r="AX113" s="181"/>
      <c r="AY113" s="179"/>
      <c r="AZ113" s="181"/>
      <c r="BA113" s="179"/>
      <c r="BB113" s="181"/>
      <c r="BC113" s="179"/>
      <c r="BD113" s="181"/>
      <c r="BE113" s="179"/>
      <c r="BF113" s="182"/>
      <c r="BG113" s="171"/>
      <c r="BH113" s="171"/>
      <c r="BI113" s="171"/>
      <c r="BJ113" s="171"/>
      <c r="BK113" s="171"/>
      <c r="BL113" s="171"/>
      <c r="BM113" s="171"/>
      <c r="BN113" s="171"/>
      <c r="BO113" s="171"/>
      <c r="BP113" s="171"/>
      <c r="BQ113" s="171"/>
      <c r="BR113" s="171"/>
      <c r="BS113" s="171"/>
      <c r="BT113" s="171"/>
      <c r="BU113" s="171"/>
      <c r="BV113" s="171"/>
      <c r="BW113" s="171"/>
      <c r="BX113" s="171"/>
      <c r="BY113" s="171"/>
      <c r="BZ113" s="171"/>
      <c r="CA113" s="171"/>
      <c r="CB113" s="171"/>
      <c r="CC113" s="171"/>
      <c r="CD113" s="171"/>
      <c r="CE113" s="171"/>
      <c r="CF113" s="171"/>
      <c r="CG113" s="171"/>
      <c r="CH113" s="171"/>
      <c r="CI113" s="171"/>
      <c r="CJ113" s="171"/>
      <c r="CK113" s="171"/>
      <c r="CL113" s="171"/>
      <c r="CM113" s="171"/>
      <c r="CN113" s="171"/>
      <c r="CO113" s="171"/>
      <c r="CP113" s="171"/>
      <c r="CQ113" s="171"/>
      <c r="CR113" s="171"/>
      <c r="CS113" s="171"/>
      <c r="CT113" s="171"/>
      <c r="CU113" s="171"/>
      <c r="CV113" s="171"/>
      <c r="CW113" s="171"/>
      <c r="CX113" s="171"/>
      <c r="CY113" s="171"/>
      <c r="CZ113" s="171"/>
      <c r="DA113" s="171"/>
      <c r="DB113" s="171"/>
      <c r="DC113" s="171"/>
      <c r="DD113" s="171"/>
      <c r="DE113" s="171"/>
      <c r="DF113" s="171"/>
      <c r="DG113" s="171"/>
      <c r="DH113" s="171"/>
      <c r="DI113" s="171"/>
      <c r="DJ113" s="171"/>
      <c r="DK113" s="171"/>
      <c r="DL113" s="171"/>
      <c r="DM113" s="171"/>
      <c r="DN113" s="171"/>
      <c r="DO113" s="171"/>
      <c r="DP113" s="171"/>
      <c r="DQ113" s="171"/>
      <c r="DR113" s="171"/>
      <c r="DS113" s="171"/>
      <c r="DT113" s="171"/>
      <c r="DU113" s="171"/>
      <c r="DV113" s="171"/>
      <c r="DW113" s="171"/>
      <c r="DX113" s="171"/>
      <c r="DY113" s="171"/>
      <c r="DZ113" s="171"/>
      <c r="EA113" s="171"/>
      <c r="EB113" s="171"/>
      <c r="EC113" s="171"/>
      <c r="ED113" s="171"/>
      <c r="EE113" s="171"/>
      <c r="EF113" s="171"/>
      <c r="EG113" s="171"/>
      <c r="EH113" s="171"/>
      <c r="EI113" s="171"/>
      <c r="EJ113" s="171"/>
      <c r="EK113" s="171"/>
      <c r="EL113" s="171"/>
      <c r="EM113" s="171"/>
      <c r="EN113" s="171"/>
      <c r="EO113" s="171"/>
      <c r="EP113" s="171"/>
      <c r="EQ113" s="171"/>
      <c r="ER113" s="171"/>
      <c r="ES113" s="171"/>
      <c r="ET113" s="171"/>
      <c r="EU113" s="171"/>
      <c r="EV113" s="171"/>
      <c r="EW113" s="171"/>
      <c r="EX113" s="171"/>
      <c r="EY113" s="171"/>
      <c r="EZ113" s="171"/>
      <c r="FA113" s="171"/>
      <c r="FB113" s="171"/>
      <c r="FC113" s="171"/>
      <c r="FD113" s="171"/>
      <c r="FE113" s="171"/>
      <c r="FF113" s="171"/>
      <c r="FG113" s="171"/>
      <c r="FH113" s="171"/>
      <c r="FI113" s="171"/>
      <c r="FJ113" s="171"/>
      <c r="FK113" s="171"/>
      <c r="FL113" s="171"/>
      <c r="FM113" s="171"/>
      <c r="FN113" s="171"/>
      <c r="FO113" s="171"/>
      <c r="FP113" s="171"/>
      <c r="FQ113" s="171"/>
      <c r="FR113" s="171"/>
      <c r="FS113" s="171"/>
      <c r="FT113" s="171"/>
      <c r="FU113" s="171"/>
      <c r="FV113" s="171"/>
      <c r="FW113" s="171"/>
      <c r="FX113" s="171"/>
      <c r="FY113" s="171"/>
      <c r="FZ113" s="171"/>
      <c r="GA113" s="171"/>
      <c r="GB113" s="171"/>
      <c r="GC113" s="171"/>
      <c r="GD113" s="171"/>
      <c r="GE113" s="171"/>
      <c r="GF113" s="171"/>
      <c r="GG113" s="171"/>
      <c r="GH113" s="171"/>
      <c r="GI113" s="171"/>
      <c r="GJ113" s="171"/>
      <c r="GK113" s="171"/>
      <c r="GL113" s="171"/>
      <c r="GM113" s="171"/>
      <c r="GN113" s="171"/>
      <c r="GO113" s="171"/>
      <c r="GP113" s="171"/>
      <c r="GQ113" s="171"/>
      <c r="GR113" s="171"/>
      <c r="GS113" s="171"/>
      <c r="GT113" s="171"/>
      <c r="GU113" s="171"/>
      <c r="GV113" s="171"/>
      <c r="GW113" s="171"/>
      <c r="GX113" s="171"/>
      <c r="GY113" s="171"/>
      <c r="GZ113" s="171"/>
      <c r="HA113" s="171"/>
      <c r="HB113" s="171"/>
      <c r="HC113" s="171"/>
      <c r="HD113" s="171"/>
      <c r="HE113" s="171"/>
      <c r="HF113" s="171"/>
      <c r="HG113" s="171"/>
      <c r="HH113" s="171"/>
      <c r="HI113" s="171"/>
      <c r="HJ113" s="171"/>
      <c r="HK113" s="171"/>
      <c r="HL113" s="171"/>
      <c r="HM113" s="171"/>
      <c r="HN113" s="171"/>
      <c r="HO113" s="171"/>
      <c r="HP113" s="171"/>
      <c r="HQ113" s="171"/>
      <c r="HR113" s="171"/>
      <c r="HS113" s="171"/>
      <c r="HT113" s="171"/>
      <c r="HU113" s="171"/>
      <c r="HV113" s="171"/>
      <c r="HW113" s="171"/>
      <c r="HX113" s="171"/>
      <c r="HY113" s="171"/>
      <c r="HZ113" s="171"/>
      <c r="IA113" s="171"/>
      <c r="IB113" s="171"/>
      <c r="IC113" s="171"/>
      <c r="ID113" s="171"/>
      <c r="IE113" s="171"/>
      <c r="IF113" s="171"/>
      <c r="IG113" s="171"/>
      <c r="IH113" s="171"/>
      <c r="II113" s="171"/>
      <c r="IJ113" s="171"/>
      <c r="IK113" s="171"/>
      <c r="IL113" s="171"/>
      <c r="IM113" s="171"/>
      <c r="IN113" s="171"/>
      <c r="IO113" s="171"/>
      <c r="IP113" s="171"/>
      <c r="IQ113" s="171"/>
      <c r="IR113" s="171"/>
      <c r="IS113" s="171"/>
      <c r="IT113" s="171"/>
      <c r="IU113" s="171"/>
      <c r="IV113" s="171"/>
      <c r="IW113" s="171"/>
    </row>
    <row r="114" customFormat="false" ht="12.75" hidden="false" customHeight="false" outlineLevel="0" collapsed="false">
      <c r="A114" s="84"/>
      <c r="B114" s="100" t="s">
        <v>348</v>
      </c>
      <c r="C114" s="84"/>
      <c r="D114" s="155" t="n">
        <f aca="false">SUM(D111:D113)</f>
        <v>1044105101.17564</v>
      </c>
      <c r="E114" s="155" t="n">
        <f aca="false">SUM(E111:E113)</f>
        <v>57005440.4527165</v>
      </c>
      <c r="F114" s="155" t="n">
        <f aca="false">SUM(F111:F113)</f>
        <v>36380150.8488528</v>
      </c>
      <c r="G114" s="155" t="n">
        <f aca="false">SUM(G111:G113)</f>
        <v>33322261.5887068</v>
      </c>
      <c r="H114" s="155" t="n">
        <f aca="false">SUM(H111:H113)</f>
        <v>141754626.592535</v>
      </c>
      <c r="I114" s="155" t="n">
        <f aca="false">SUM(I111:I113)</f>
        <v>4327727.25166507</v>
      </c>
      <c r="J114" s="155" t="n">
        <f aca="false">SUM(J111:J113)</f>
        <v>771314894.441161</v>
      </c>
      <c r="K114" s="155"/>
      <c r="L114" s="155" t="n">
        <f aca="false">SUM(L111:L113)</f>
        <v>0</v>
      </c>
      <c r="M114" s="155" t="n">
        <f aca="false">SUM(M111:M113)</f>
        <v>168470638.274362</v>
      </c>
      <c r="N114" s="155" t="n">
        <f aca="false">SUM(N111:N113)</f>
        <v>644717319.946328</v>
      </c>
      <c r="O114" s="155" t="n">
        <f aca="false">SUM(O111:O113)</f>
        <v>1857293069.39633</v>
      </c>
      <c r="P114" s="169" t="n">
        <f aca="false">ROUND(O114-D114,0)</f>
        <v>813187968</v>
      </c>
      <c r="Q114" s="159" t="n">
        <v>16847063827.4362</v>
      </c>
      <c r="R114" s="152" t="n">
        <f aca="false">D114/$Q114*100</f>
        <v>6.19754938825167</v>
      </c>
      <c r="S114" s="152" t="n">
        <f aca="false">E114/$Q114*100</f>
        <v>0.338370181514245</v>
      </c>
      <c r="T114" s="152" t="n">
        <f aca="false">F114/$Q114*100</f>
        <v>0.215943568692404</v>
      </c>
      <c r="U114" s="152" t="n">
        <f aca="false">G114/$Q114*100</f>
        <v>0.197792695095273</v>
      </c>
      <c r="V114" s="152" t="n">
        <f aca="false">H114/$Q114*100</f>
        <v>0.841420368822263</v>
      </c>
      <c r="W114" s="152" t="n">
        <f aca="false">I114/$Q114*100</f>
        <v>0.0256883175370725</v>
      </c>
      <c r="X114" s="152" t="n">
        <f aca="false">J114/$Q114*100</f>
        <v>4.57833425659041</v>
      </c>
      <c r="Y114" s="152" t="n">
        <f aca="false">K114/$Q114*100</f>
        <v>0</v>
      </c>
      <c r="Z114" s="152" t="n">
        <f aca="false">L114/$Q114*100</f>
        <v>0</v>
      </c>
      <c r="AA114" s="154" t="n">
        <f aca="false">M114/$Q114*100</f>
        <v>1</v>
      </c>
      <c r="AB114" s="152" t="n">
        <f aca="false">N114/$Q114*100</f>
        <v>3.82688239654187</v>
      </c>
      <c r="AC114" s="152" t="n">
        <f aca="false">O114/$Q114*100</f>
        <v>11.0244318441511</v>
      </c>
      <c r="AD114" s="152"/>
      <c r="AE114" s="157"/>
      <c r="AF114" s="141" t="n">
        <f aca="false">(AC114-AG114)/AG114</f>
        <v>0.531692420498829</v>
      </c>
      <c r="AG114" s="152" t="n">
        <f aca="false">AA114+R114</f>
        <v>7.19754938825167</v>
      </c>
      <c r="AH114" s="152"/>
      <c r="AI114" s="141"/>
      <c r="AJ114" s="141"/>
      <c r="AK114" s="141"/>
      <c r="AL114" s="141"/>
      <c r="AM114" s="141"/>
      <c r="AN114" s="162"/>
      <c r="AO114" s="162"/>
      <c r="AP114" s="162"/>
      <c r="AQ114" s="158"/>
      <c r="AR114" s="162"/>
      <c r="AS114" s="163"/>
      <c r="AT114" s="163"/>
      <c r="AU114" s="162"/>
      <c r="AV114" s="163"/>
      <c r="AW114" s="162"/>
      <c r="AX114" s="163"/>
      <c r="AY114" s="162"/>
      <c r="AZ114" s="163"/>
      <c r="BA114" s="162"/>
      <c r="BB114" s="163"/>
      <c r="BC114" s="162"/>
      <c r="BD114" s="163"/>
      <c r="BE114" s="162"/>
      <c r="BF114" s="164"/>
      <c r="BG114" s="171"/>
      <c r="BH114" s="171"/>
      <c r="BI114" s="171"/>
      <c r="BJ114" s="171"/>
      <c r="BK114" s="171"/>
      <c r="BL114" s="171"/>
      <c r="BM114" s="171"/>
      <c r="BN114" s="171"/>
      <c r="BO114" s="171"/>
      <c r="BP114" s="171"/>
      <c r="BQ114" s="171"/>
      <c r="BR114" s="171"/>
      <c r="BS114" s="171"/>
      <c r="BT114" s="171"/>
      <c r="BU114" s="171"/>
      <c r="BV114" s="171"/>
      <c r="BW114" s="171"/>
      <c r="BX114" s="171"/>
      <c r="BY114" s="171"/>
      <c r="BZ114" s="171"/>
      <c r="CA114" s="171"/>
      <c r="CB114" s="171"/>
      <c r="CC114" s="171"/>
      <c r="CD114" s="171"/>
      <c r="CE114" s="171"/>
      <c r="CF114" s="171"/>
      <c r="CG114" s="171"/>
      <c r="CH114" s="171"/>
      <c r="CI114" s="171"/>
      <c r="CJ114" s="171"/>
      <c r="CK114" s="171"/>
      <c r="CL114" s="171"/>
      <c r="CM114" s="171"/>
      <c r="CN114" s="171"/>
      <c r="CO114" s="171"/>
      <c r="CP114" s="171"/>
      <c r="CQ114" s="171"/>
      <c r="CR114" s="171"/>
      <c r="CS114" s="171"/>
      <c r="CT114" s="171"/>
      <c r="CU114" s="171"/>
      <c r="CV114" s="171"/>
      <c r="CW114" s="171"/>
      <c r="CX114" s="171"/>
      <c r="CY114" s="171"/>
      <c r="CZ114" s="171"/>
      <c r="DA114" s="171"/>
      <c r="DB114" s="171"/>
      <c r="DC114" s="171"/>
      <c r="DD114" s="171"/>
      <c r="DE114" s="171"/>
      <c r="DF114" s="171"/>
      <c r="DG114" s="171"/>
      <c r="DH114" s="171"/>
      <c r="DI114" s="171"/>
      <c r="DJ114" s="171"/>
      <c r="DK114" s="171"/>
      <c r="DL114" s="171"/>
      <c r="DM114" s="171"/>
      <c r="DN114" s="171"/>
      <c r="DO114" s="171"/>
      <c r="DP114" s="171"/>
      <c r="DQ114" s="171"/>
      <c r="DR114" s="171"/>
      <c r="DS114" s="171"/>
      <c r="DT114" s="171"/>
      <c r="DU114" s="171"/>
      <c r="DV114" s="171"/>
      <c r="DW114" s="171"/>
      <c r="DX114" s="171"/>
      <c r="DY114" s="171"/>
      <c r="DZ114" s="171"/>
      <c r="EA114" s="171"/>
      <c r="EB114" s="171"/>
      <c r="EC114" s="171"/>
      <c r="ED114" s="171"/>
      <c r="EE114" s="171"/>
      <c r="EF114" s="171"/>
      <c r="EG114" s="171"/>
      <c r="EH114" s="171"/>
      <c r="EI114" s="171"/>
      <c r="EJ114" s="171"/>
      <c r="EK114" s="171"/>
      <c r="EL114" s="171"/>
      <c r="EM114" s="171"/>
      <c r="EN114" s="171"/>
      <c r="EO114" s="171"/>
      <c r="EP114" s="171"/>
      <c r="EQ114" s="171"/>
      <c r="ER114" s="171"/>
      <c r="ES114" s="171"/>
      <c r="ET114" s="171"/>
      <c r="EU114" s="171"/>
      <c r="EV114" s="171"/>
      <c r="EW114" s="171"/>
      <c r="EX114" s="171"/>
      <c r="EY114" s="171"/>
      <c r="EZ114" s="171"/>
      <c r="FA114" s="171"/>
      <c r="FB114" s="171"/>
      <c r="FC114" s="171"/>
      <c r="FD114" s="171"/>
      <c r="FE114" s="171"/>
      <c r="FF114" s="171"/>
      <c r="FG114" s="171"/>
      <c r="FH114" s="171"/>
      <c r="FI114" s="171"/>
      <c r="FJ114" s="171"/>
      <c r="FK114" s="171"/>
      <c r="FL114" s="171"/>
      <c r="FM114" s="171"/>
      <c r="FN114" s="171"/>
      <c r="FO114" s="171"/>
      <c r="FP114" s="171"/>
      <c r="FQ114" s="171"/>
      <c r="FR114" s="171"/>
      <c r="FS114" s="171"/>
      <c r="FT114" s="171"/>
      <c r="FU114" s="171"/>
      <c r="FV114" s="171"/>
      <c r="FW114" s="171"/>
      <c r="FX114" s="171"/>
      <c r="FY114" s="171"/>
      <c r="FZ114" s="171"/>
      <c r="GA114" s="171"/>
      <c r="GB114" s="171"/>
      <c r="GC114" s="171"/>
      <c r="GD114" s="171"/>
      <c r="GE114" s="171"/>
      <c r="GF114" s="171"/>
      <c r="GG114" s="171"/>
      <c r="GH114" s="171"/>
      <c r="GI114" s="171"/>
      <c r="GJ114" s="171"/>
      <c r="GK114" s="171"/>
      <c r="GL114" s="171"/>
      <c r="GM114" s="171"/>
      <c r="GN114" s="171"/>
      <c r="GO114" s="171"/>
      <c r="GP114" s="171"/>
      <c r="GQ114" s="171"/>
      <c r="GR114" s="171"/>
      <c r="GS114" s="171"/>
      <c r="GT114" s="171"/>
      <c r="GU114" s="171"/>
      <c r="GV114" s="171"/>
      <c r="GW114" s="171"/>
      <c r="GX114" s="171"/>
      <c r="GY114" s="171"/>
      <c r="GZ114" s="171"/>
      <c r="HA114" s="171"/>
      <c r="HB114" s="171"/>
      <c r="HC114" s="171"/>
      <c r="HD114" s="171"/>
      <c r="HE114" s="171"/>
      <c r="HF114" s="171"/>
      <c r="HG114" s="171"/>
      <c r="HH114" s="171"/>
      <c r="HI114" s="171"/>
      <c r="HJ114" s="171"/>
      <c r="HK114" s="171"/>
      <c r="HL114" s="171"/>
      <c r="HM114" s="171"/>
      <c r="HN114" s="171"/>
      <c r="HO114" s="171"/>
      <c r="HP114" s="171"/>
      <c r="HQ114" s="171"/>
      <c r="HR114" s="171"/>
      <c r="HS114" s="171"/>
      <c r="HT114" s="171"/>
      <c r="HU114" s="171"/>
      <c r="HV114" s="171"/>
      <c r="HW114" s="171"/>
      <c r="HX114" s="171"/>
      <c r="HY114" s="171"/>
      <c r="HZ114" s="171"/>
      <c r="IA114" s="171"/>
      <c r="IB114" s="171"/>
      <c r="IC114" s="171"/>
      <c r="ID114" s="171"/>
      <c r="IE114" s="171"/>
      <c r="IF114" s="171"/>
      <c r="IG114" s="171"/>
      <c r="IH114" s="171"/>
      <c r="II114" s="171"/>
      <c r="IJ114" s="171"/>
      <c r="IK114" s="171"/>
      <c r="IL114" s="171"/>
      <c r="IM114" s="171"/>
      <c r="IN114" s="171"/>
      <c r="IO114" s="171"/>
      <c r="IP114" s="171"/>
      <c r="IQ114" s="171"/>
      <c r="IR114" s="171"/>
      <c r="IS114" s="171"/>
      <c r="IT114" s="171"/>
      <c r="IU114" s="171"/>
      <c r="IV114" s="171"/>
      <c r="IW114" s="171"/>
    </row>
    <row r="115" customFormat="false" ht="12.75" hidden="false" customHeight="false" outlineLevel="0" collapsed="false">
      <c r="A115" s="84"/>
      <c r="B115" s="92"/>
      <c r="C115" s="79"/>
      <c r="D115" s="167"/>
      <c r="E115" s="156"/>
      <c r="F115" s="167"/>
      <c r="G115" s="167"/>
      <c r="H115" s="167"/>
      <c r="I115" s="167"/>
      <c r="J115" s="155"/>
      <c r="K115" s="155"/>
      <c r="L115" s="155"/>
      <c r="M115" s="155"/>
      <c r="N115" s="155"/>
      <c r="O115" s="155"/>
      <c r="P115" s="169"/>
      <c r="Q115" s="159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4"/>
      <c r="AB115" s="152"/>
      <c r="AC115" s="152"/>
      <c r="AD115" s="152"/>
      <c r="AE115" s="157"/>
      <c r="AF115" s="141"/>
      <c r="AG115" s="152" t="n">
        <f aca="false">AA115+R115</f>
        <v>0</v>
      </c>
      <c r="AH115" s="152"/>
      <c r="AI115" s="141"/>
      <c r="AJ115" s="141"/>
      <c r="AK115" s="141"/>
      <c r="AL115" s="141"/>
      <c r="AM115" s="141"/>
      <c r="AN115" s="158"/>
      <c r="AO115" s="158"/>
      <c r="AP115" s="162"/>
      <c r="AQ115" s="158"/>
      <c r="AR115" s="162"/>
      <c r="AS115" s="163"/>
      <c r="AT115" s="163"/>
      <c r="AU115" s="162"/>
      <c r="AV115" s="163"/>
      <c r="AW115" s="162"/>
      <c r="AX115" s="163"/>
      <c r="AY115" s="162"/>
      <c r="AZ115" s="163"/>
      <c r="BA115" s="162"/>
      <c r="BB115" s="163"/>
      <c r="BC115" s="162"/>
      <c r="BD115" s="163"/>
      <c r="BE115" s="158"/>
      <c r="BF115" s="164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105"/>
      <c r="CY115" s="105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/>
      <c r="DJ115" s="105"/>
      <c r="DK115" s="105"/>
      <c r="DL115" s="105"/>
      <c r="DM115" s="105"/>
      <c r="DN115" s="105"/>
      <c r="DO115" s="105"/>
      <c r="DP115" s="105"/>
      <c r="DQ115" s="105"/>
      <c r="DR115" s="105"/>
      <c r="DS115" s="105"/>
      <c r="DT115" s="105"/>
      <c r="DU115" s="105"/>
      <c r="DV115" s="105"/>
      <c r="DW115" s="105"/>
      <c r="DX115" s="105"/>
      <c r="DY115" s="105"/>
      <c r="DZ115" s="105"/>
      <c r="EA115" s="105"/>
      <c r="EB115" s="105"/>
      <c r="EC115" s="105"/>
      <c r="ED115" s="105"/>
      <c r="EE115" s="105"/>
      <c r="EF115" s="105"/>
      <c r="EG115" s="105"/>
      <c r="EH115" s="105"/>
      <c r="EI115" s="105"/>
      <c r="EJ115" s="105"/>
      <c r="EK115" s="105"/>
      <c r="EL115" s="105"/>
      <c r="EM115" s="105"/>
      <c r="EN115" s="105"/>
      <c r="EO115" s="105"/>
      <c r="EP115" s="105"/>
      <c r="EQ115" s="105"/>
      <c r="ER115" s="105"/>
      <c r="ES115" s="105"/>
      <c r="ET115" s="105"/>
      <c r="EU115" s="105"/>
      <c r="EV115" s="105"/>
      <c r="EW115" s="105"/>
      <c r="EX115" s="105"/>
      <c r="EY115" s="105"/>
      <c r="EZ115" s="105"/>
      <c r="FA115" s="105"/>
      <c r="FB115" s="105"/>
      <c r="FC115" s="105"/>
      <c r="FD115" s="105"/>
      <c r="FE115" s="105"/>
      <c r="FF115" s="105"/>
      <c r="FG115" s="105"/>
      <c r="FH115" s="105"/>
      <c r="FI115" s="105"/>
      <c r="FJ115" s="105"/>
      <c r="FK115" s="105"/>
      <c r="FL115" s="105"/>
      <c r="FM115" s="105"/>
      <c r="FN115" s="105"/>
      <c r="FO115" s="105"/>
      <c r="FP115" s="105"/>
      <c r="FQ115" s="105"/>
      <c r="FR115" s="105"/>
      <c r="FS115" s="105"/>
      <c r="FT115" s="105"/>
      <c r="FU115" s="105"/>
      <c r="FV115" s="105"/>
      <c r="FW115" s="105"/>
      <c r="FX115" s="105"/>
      <c r="FY115" s="105"/>
      <c r="FZ115" s="105"/>
      <c r="GA115" s="105"/>
      <c r="GB115" s="105"/>
      <c r="GC115" s="105"/>
      <c r="GD115" s="105"/>
      <c r="GE115" s="105"/>
      <c r="GF115" s="105"/>
      <c r="GG115" s="105"/>
      <c r="GH115" s="105"/>
      <c r="GI115" s="105"/>
      <c r="GJ115" s="105"/>
      <c r="GK115" s="105"/>
      <c r="GL115" s="105"/>
      <c r="GM115" s="105"/>
      <c r="GN115" s="105"/>
      <c r="GO115" s="105"/>
      <c r="GP115" s="105"/>
      <c r="GQ115" s="105"/>
      <c r="GR115" s="105"/>
      <c r="GS115" s="105"/>
      <c r="GT115" s="105"/>
      <c r="GU115" s="105"/>
      <c r="GV115" s="105"/>
      <c r="GW115" s="105"/>
      <c r="GX115" s="105"/>
      <c r="GY115" s="105"/>
      <c r="GZ115" s="105"/>
      <c r="HA115" s="105"/>
      <c r="HB115" s="105"/>
      <c r="HC115" s="105"/>
      <c r="HD115" s="105"/>
      <c r="HE115" s="105"/>
      <c r="HF115" s="105"/>
      <c r="HG115" s="105"/>
      <c r="HH115" s="105"/>
      <c r="HI115" s="105"/>
      <c r="HJ115" s="105"/>
      <c r="HK115" s="105"/>
      <c r="HL115" s="105"/>
      <c r="HM115" s="105"/>
      <c r="HN115" s="105"/>
      <c r="HO115" s="105"/>
      <c r="HP115" s="105"/>
      <c r="HQ115" s="105"/>
      <c r="HR115" s="105"/>
      <c r="HS115" s="105"/>
      <c r="HT115" s="105"/>
      <c r="HU115" s="105"/>
      <c r="HV115" s="105"/>
      <c r="HW115" s="105"/>
      <c r="HX115" s="105"/>
      <c r="HY115" s="105"/>
      <c r="HZ115" s="105"/>
      <c r="IA115" s="105"/>
      <c r="IB115" s="105"/>
      <c r="IC115" s="105"/>
      <c r="ID115" s="105"/>
      <c r="IE115" s="105"/>
      <c r="IF115" s="105"/>
      <c r="IG115" s="105"/>
      <c r="IH115" s="105"/>
      <c r="II115" s="105"/>
      <c r="IJ115" s="105"/>
      <c r="IK115" s="105"/>
      <c r="IL115" s="105"/>
      <c r="IM115" s="105"/>
      <c r="IN115" s="105"/>
      <c r="IO115" s="105"/>
      <c r="IP115" s="105"/>
      <c r="IQ115" s="105"/>
      <c r="IR115" s="105"/>
      <c r="IS115" s="105"/>
      <c r="IT115" s="105"/>
      <c r="IU115" s="105"/>
      <c r="IV115" s="105"/>
      <c r="IW115" s="105"/>
    </row>
    <row r="116" customFormat="false" ht="12.75" hidden="false" customHeight="false" outlineLevel="0" collapsed="false">
      <c r="A116" s="84"/>
      <c r="B116" s="94" t="s">
        <v>349</v>
      </c>
      <c r="C116" s="82" t="s">
        <v>236</v>
      </c>
      <c r="D116" s="167" t="n">
        <v>17626446.15</v>
      </c>
      <c r="E116" s="166" t="n">
        <v>1214042.92600042</v>
      </c>
      <c r="F116" s="167" t="n">
        <v>724357.120320902</v>
      </c>
      <c r="G116" s="167" t="n">
        <v>760757.76</v>
      </c>
      <c r="H116" s="167" t="n">
        <v>352064.792405332</v>
      </c>
      <c r="I116" s="167" t="n">
        <v>100477.44</v>
      </c>
      <c r="J116" s="155" t="n">
        <f aca="false">D116-SUM(E116:I116,K116)</f>
        <v>14474746.1112733</v>
      </c>
      <c r="K116" s="168"/>
      <c r="L116" s="168" t="n">
        <f aca="false">IF(allocation_method&gt;=6,CHOOSE(gen_choice,'Generation Calculations'!H118-'Generation Calculations'!I118+'Generation Calculations'!J118,'Generation Calculations'!G118+'Generation Calculations'!H118-'Generation Calculations'!I118+'Generation Calculations'!J118),0)</f>
        <v>0</v>
      </c>
      <c r="M116" s="168" t="n">
        <f aca="false">'Test Year 2001 Sales and Revs.'!K118</f>
        <v>3588480</v>
      </c>
      <c r="N116" s="168" t="n">
        <f aca="false">CHOOSE(allocation_method,'RSP Surch Allocations'!E117,'RSP Surch Allocations'!J117,'RSP Surch Allocations'!N117,'RSP Surch Allocations'!Q117,'RSP Surch Allocations'!AA117,'RSP Surch Allocations'!AH117,'RSP Surch Allocations'!AS117,'RSP Surch Allocations'!BD117,'RSP Surch Allocations'!BO117,'RSP Surch Allocations'!BZ117,)</f>
        <v>13732690.9423426</v>
      </c>
      <c r="O116" s="155" t="n">
        <f aca="false">SUM(E116:N116)</f>
        <v>34947617.0923426</v>
      </c>
      <c r="P116" s="169" t="n">
        <f aca="false">ROUND(O116-D116,0)</f>
        <v>17321171</v>
      </c>
      <c r="Q116" s="170" t="n">
        <v>358847000</v>
      </c>
      <c r="R116" s="152" t="n">
        <f aca="false">D116/$Q116*100</f>
        <v>4.91196698035653</v>
      </c>
      <c r="S116" s="152" t="n">
        <f aca="false">E116/$Q116*100</f>
        <v>0.338317702530722</v>
      </c>
      <c r="T116" s="152" t="n">
        <f aca="false">F116/$Q116*100</f>
        <v>0.201856813717518</v>
      </c>
      <c r="U116" s="152" t="n">
        <f aca="false">G116/$Q116*100</f>
        <v>0.212000590781029</v>
      </c>
      <c r="V116" s="152" t="n">
        <f aca="false">H116/$Q116*100</f>
        <v>0.098110000196555</v>
      </c>
      <c r="W116" s="152" t="n">
        <f aca="false">I116/$Q116*100</f>
        <v>0.0280000780276831</v>
      </c>
      <c r="X116" s="152" t="n">
        <f aca="false">J116/$Q116*100</f>
        <v>4.03368179510302</v>
      </c>
      <c r="Y116" s="152" t="n">
        <f aca="false">K116/$Q116*100</f>
        <v>0</v>
      </c>
      <c r="Z116" s="152" t="n">
        <f aca="false">L116/$Q116*100</f>
        <v>0</v>
      </c>
      <c r="AA116" s="154" t="n">
        <f aca="false">M116/$Q116*100</f>
        <v>1.00000278670297</v>
      </c>
      <c r="AB116" s="152" t="n">
        <f aca="false">N116/$Q116*100</f>
        <v>3.82689306092641</v>
      </c>
      <c r="AC116" s="152" t="n">
        <f aca="false">O116/$Q116*100</f>
        <v>9.7388628279859</v>
      </c>
      <c r="AD116" s="152"/>
      <c r="AE116" s="157"/>
      <c r="AF116" s="141" t="n">
        <f aca="false">(AC116-AG116)/AG116</f>
        <v>0.647312691321463</v>
      </c>
      <c r="AG116" s="152" t="n">
        <f aca="false">AA116+R116</f>
        <v>5.9119697670595</v>
      </c>
      <c r="AH116" s="152"/>
      <c r="AI116" s="141"/>
      <c r="AJ116" s="141"/>
      <c r="AK116" s="141"/>
      <c r="AL116" s="141"/>
      <c r="AM116" s="141"/>
      <c r="AN116" s="162"/>
      <c r="AO116" s="162"/>
      <c r="AP116" s="162"/>
      <c r="AQ116" s="158"/>
      <c r="AR116" s="162"/>
      <c r="AS116" s="163"/>
      <c r="AT116" s="163"/>
      <c r="AU116" s="162"/>
      <c r="AV116" s="163"/>
      <c r="AW116" s="162"/>
      <c r="AX116" s="163"/>
      <c r="AY116" s="162"/>
      <c r="AZ116" s="163"/>
      <c r="BA116" s="162"/>
      <c r="BB116" s="163"/>
      <c r="BC116" s="162"/>
      <c r="BD116" s="163"/>
      <c r="BE116" s="162"/>
      <c r="BF116" s="164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/>
      <c r="DJ116" s="105"/>
      <c r="DK116" s="105"/>
      <c r="DL116" s="105"/>
      <c r="DM116" s="105"/>
      <c r="DN116" s="105"/>
      <c r="DO116" s="105"/>
      <c r="DP116" s="105"/>
      <c r="DQ116" s="105"/>
      <c r="DR116" s="105"/>
      <c r="DS116" s="105"/>
      <c r="DT116" s="105"/>
      <c r="DU116" s="105"/>
      <c r="DV116" s="105"/>
      <c r="DW116" s="105"/>
      <c r="DX116" s="105"/>
      <c r="DY116" s="105"/>
      <c r="DZ116" s="105"/>
      <c r="EA116" s="105"/>
      <c r="EB116" s="105"/>
      <c r="EC116" s="105"/>
      <c r="ED116" s="105"/>
      <c r="EE116" s="105"/>
      <c r="EF116" s="105"/>
      <c r="EG116" s="105"/>
      <c r="EH116" s="105"/>
      <c r="EI116" s="105"/>
      <c r="EJ116" s="105"/>
      <c r="EK116" s="105"/>
      <c r="EL116" s="105"/>
      <c r="EM116" s="105"/>
      <c r="EN116" s="105"/>
      <c r="EO116" s="105"/>
      <c r="EP116" s="105"/>
      <c r="EQ116" s="105"/>
      <c r="ER116" s="105"/>
      <c r="ES116" s="105"/>
      <c r="ET116" s="105"/>
      <c r="EU116" s="105"/>
      <c r="EV116" s="105"/>
      <c r="EW116" s="105"/>
      <c r="EX116" s="105"/>
      <c r="EY116" s="105"/>
      <c r="EZ116" s="105"/>
      <c r="FA116" s="105"/>
      <c r="FB116" s="105"/>
      <c r="FC116" s="105"/>
      <c r="FD116" s="105"/>
      <c r="FE116" s="105"/>
      <c r="FF116" s="105"/>
      <c r="FG116" s="105"/>
      <c r="FH116" s="105"/>
      <c r="FI116" s="105"/>
      <c r="FJ116" s="105"/>
      <c r="FK116" s="105"/>
      <c r="FL116" s="105"/>
      <c r="FM116" s="105"/>
      <c r="FN116" s="105"/>
      <c r="FO116" s="105"/>
      <c r="FP116" s="105"/>
      <c r="FQ116" s="105"/>
      <c r="FR116" s="105"/>
      <c r="FS116" s="105"/>
      <c r="FT116" s="105"/>
      <c r="FU116" s="105"/>
      <c r="FV116" s="105"/>
      <c r="FW116" s="105"/>
      <c r="FX116" s="105"/>
      <c r="FY116" s="105"/>
      <c r="FZ116" s="105"/>
      <c r="GA116" s="105"/>
      <c r="GB116" s="105"/>
      <c r="GC116" s="105"/>
      <c r="GD116" s="105"/>
      <c r="GE116" s="105"/>
      <c r="GF116" s="105"/>
      <c r="GG116" s="105"/>
      <c r="GH116" s="105"/>
      <c r="GI116" s="105"/>
      <c r="GJ116" s="105"/>
      <c r="GK116" s="105"/>
      <c r="GL116" s="105"/>
      <c r="GM116" s="105"/>
      <c r="GN116" s="105"/>
      <c r="GO116" s="105"/>
      <c r="GP116" s="105"/>
      <c r="GQ116" s="105"/>
      <c r="GR116" s="105"/>
      <c r="GS116" s="105"/>
      <c r="GT116" s="105"/>
      <c r="GU116" s="105"/>
      <c r="GV116" s="105"/>
      <c r="GW116" s="105"/>
      <c r="GX116" s="105"/>
      <c r="GY116" s="105"/>
      <c r="GZ116" s="105"/>
      <c r="HA116" s="105"/>
      <c r="HB116" s="105"/>
      <c r="HC116" s="105"/>
      <c r="HD116" s="105"/>
      <c r="HE116" s="105"/>
      <c r="HF116" s="105"/>
      <c r="HG116" s="105"/>
      <c r="HH116" s="105"/>
      <c r="HI116" s="105"/>
      <c r="HJ116" s="105"/>
      <c r="HK116" s="105"/>
      <c r="HL116" s="105"/>
      <c r="HM116" s="105"/>
      <c r="HN116" s="105"/>
      <c r="HO116" s="105"/>
      <c r="HP116" s="105"/>
      <c r="HQ116" s="105"/>
      <c r="HR116" s="105"/>
      <c r="HS116" s="105"/>
      <c r="HT116" s="105"/>
      <c r="HU116" s="105"/>
      <c r="HV116" s="105"/>
      <c r="HW116" s="105"/>
      <c r="HX116" s="105"/>
      <c r="HY116" s="105"/>
      <c r="HZ116" s="105"/>
      <c r="IA116" s="105"/>
      <c r="IB116" s="105"/>
      <c r="IC116" s="105"/>
      <c r="ID116" s="105"/>
      <c r="IE116" s="105"/>
      <c r="IF116" s="105"/>
      <c r="IG116" s="105"/>
      <c r="IH116" s="105"/>
      <c r="II116" s="105"/>
      <c r="IJ116" s="105"/>
      <c r="IK116" s="105"/>
      <c r="IL116" s="105"/>
      <c r="IM116" s="105"/>
      <c r="IN116" s="105"/>
      <c r="IO116" s="105"/>
      <c r="IP116" s="105"/>
      <c r="IQ116" s="105"/>
      <c r="IR116" s="105"/>
      <c r="IS116" s="105"/>
      <c r="IT116" s="105"/>
      <c r="IU116" s="105"/>
      <c r="IV116" s="105"/>
      <c r="IW116" s="105"/>
    </row>
    <row r="117" customFormat="false" ht="12.75" hidden="false" customHeight="false" outlineLevel="0" collapsed="false">
      <c r="A117" s="84"/>
      <c r="B117" s="92"/>
      <c r="C117" s="82" t="s">
        <v>234</v>
      </c>
      <c r="D117" s="167" t="n">
        <v>0</v>
      </c>
      <c r="E117" s="166" t="n">
        <v>0</v>
      </c>
      <c r="F117" s="167" t="n">
        <v>0</v>
      </c>
      <c r="G117" s="167" t="n">
        <v>0</v>
      </c>
      <c r="H117" s="167" t="n">
        <v>0</v>
      </c>
      <c r="I117" s="167" t="n">
        <v>0</v>
      </c>
      <c r="J117" s="155" t="n">
        <f aca="false">D117-SUM(E117:I117,K117)</f>
        <v>0</v>
      </c>
      <c r="K117" s="168"/>
      <c r="L117" s="168" t="n">
        <f aca="false">IF(allocation_method&gt;=6,CHOOSE(gen_choice,'Generation Calculations'!H119-'Generation Calculations'!I119+'Generation Calculations'!J119,'Generation Calculations'!G119+'Generation Calculations'!H119-'Generation Calculations'!I119+'Generation Calculations'!J119),0)</f>
        <v>0</v>
      </c>
      <c r="M117" s="168" t="n">
        <f aca="false">'Test Year 2001 Sales and Revs.'!K119</f>
        <v>0</v>
      </c>
      <c r="N117" s="168" t="n">
        <f aca="false">CHOOSE(allocation_method,'RSP Surch Allocations'!E118,'RSP Surch Allocations'!J118,'RSP Surch Allocations'!N118,'RSP Surch Allocations'!Q118,'RSP Surch Allocations'!AA118,'RSP Surch Allocations'!AH118,'RSP Surch Allocations'!AS118,'RSP Surch Allocations'!BD118,'RSP Surch Allocations'!BO118,'RSP Surch Allocations'!BZ118,)</f>
        <v>0</v>
      </c>
      <c r="O117" s="155" t="n">
        <f aca="false">SUM(E117:N117)</f>
        <v>0</v>
      </c>
      <c r="P117" s="169" t="n">
        <f aca="false">ROUND(O117-D117,0)</f>
        <v>0</v>
      </c>
      <c r="Q117" s="170" t="n">
        <v>0</v>
      </c>
      <c r="R117" s="152"/>
      <c r="S117" s="152"/>
      <c r="T117" s="152"/>
      <c r="U117" s="152"/>
      <c r="V117" s="152"/>
      <c r="W117" s="152"/>
      <c r="X117" s="152"/>
      <c r="Y117" s="152"/>
      <c r="Z117" s="152"/>
      <c r="AA117" s="154"/>
      <c r="AB117" s="152"/>
      <c r="AC117" s="152"/>
      <c r="AD117" s="152"/>
      <c r="AE117" s="157"/>
      <c r="AF117" s="141"/>
      <c r="AG117" s="152" t="n">
        <f aca="false">AA117+R117</f>
        <v>0</v>
      </c>
      <c r="AH117" s="152"/>
      <c r="AI117" s="141"/>
      <c r="AJ117" s="141"/>
      <c r="AK117" s="141"/>
      <c r="AL117" s="141"/>
      <c r="AM117" s="141"/>
      <c r="AN117" s="158"/>
      <c r="AO117" s="158"/>
      <c r="AP117" s="162"/>
      <c r="AQ117" s="158"/>
      <c r="AR117" s="162"/>
      <c r="AS117" s="163"/>
      <c r="AT117" s="163"/>
      <c r="AU117" s="162"/>
      <c r="AV117" s="163"/>
      <c r="AW117" s="162"/>
      <c r="AX117" s="163"/>
      <c r="AY117" s="162"/>
      <c r="AZ117" s="163"/>
      <c r="BA117" s="162"/>
      <c r="BB117" s="163"/>
      <c r="BC117" s="162"/>
      <c r="BD117" s="163"/>
      <c r="BE117" s="158"/>
      <c r="BF117" s="164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5"/>
      <c r="BZ117" s="105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5"/>
      <c r="CM117" s="105"/>
      <c r="CN117" s="105"/>
      <c r="CO117" s="105"/>
      <c r="CP117" s="105"/>
      <c r="CQ117" s="105"/>
      <c r="CR117" s="105"/>
      <c r="CS117" s="105"/>
      <c r="CT117" s="105"/>
      <c r="CU117" s="105"/>
      <c r="CV117" s="105"/>
      <c r="CW117" s="105"/>
      <c r="CX117" s="105"/>
      <c r="CY117" s="105"/>
      <c r="CZ117" s="105"/>
      <c r="DA117" s="105"/>
      <c r="DB117" s="105"/>
      <c r="DC117" s="105"/>
      <c r="DD117" s="105"/>
      <c r="DE117" s="105"/>
      <c r="DF117" s="105"/>
      <c r="DG117" s="105"/>
      <c r="DH117" s="105"/>
      <c r="DI117" s="105"/>
      <c r="DJ117" s="105"/>
      <c r="DK117" s="105"/>
      <c r="DL117" s="105"/>
      <c r="DM117" s="105"/>
      <c r="DN117" s="105"/>
      <c r="DO117" s="105"/>
      <c r="DP117" s="105"/>
      <c r="DQ117" s="105"/>
      <c r="DR117" s="105"/>
      <c r="DS117" s="105"/>
      <c r="DT117" s="105"/>
      <c r="DU117" s="105"/>
      <c r="DV117" s="105"/>
      <c r="DW117" s="105"/>
      <c r="DX117" s="105"/>
      <c r="DY117" s="105"/>
      <c r="DZ117" s="105"/>
      <c r="EA117" s="105"/>
      <c r="EB117" s="105"/>
      <c r="EC117" s="105"/>
      <c r="ED117" s="105"/>
      <c r="EE117" s="105"/>
      <c r="EF117" s="105"/>
      <c r="EG117" s="105"/>
      <c r="EH117" s="105"/>
      <c r="EI117" s="105"/>
      <c r="EJ117" s="105"/>
      <c r="EK117" s="105"/>
      <c r="EL117" s="105"/>
      <c r="EM117" s="105"/>
      <c r="EN117" s="105"/>
      <c r="EO117" s="105"/>
      <c r="EP117" s="105"/>
      <c r="EQ117" s="105"/>
      <c r="ER117" s="105"/>
      <c r="ES117" s="105"/>
      <c r="ET117" s="105"/>
      <c r="EU117" s="105"/>
      <c r="EV117" s="105"/>
      <c r="EW117" s="105"/>
      <c r="EX117" s="105"/>
      <c r="EY117" s="105"/>
      <c r="EZ117" s="105"/>
      <c r="FA117" s="105"/>
      <c r="FB117" s="105"/>
      <c r="FC117" s="105"/>
      <c r="FD117" s="105"/>
      <c r="FE117" s="105"/>
      <c r="FF117" s="105"/>
      <c r="FG117" s="105"/>
      <c r="FH117" s="105"/>
      <c r="FI117" s="105"/>
      <c r="FJ117" s="105"/>
      <c r="FK117" s="105"/>
      <c r="FL117" s="105"/>
      <c r="FM117" s="105"/>
      <c r="FN117" s="105"/>
      <c r="FO117" s="105"/>
      <c r="FP117" s="105"/>
      <c r="FQ117" s="105"/>
      <c r="FR117" s="105"/>
      <c r="FS117" s="105"/>
      <c r="FT117" s="105"/>
      <c r="FU117" s="105"/>
      <c r="FV117" s="105"/>
      <c r="FW117" s="105"/>
      <c r="FX117" s="105"/>
      <c r="FY117" s="105"/>
      <c r="FZ117" s="105"/>
      <c r="GA117" s="105"/>
      <c r="GB117" s="105"/>
      <c r="GC117" s="105"/>
      <c r="GD117" s="105"/>
      <c r="GE117" s="105"/>
      <c r="GF117" s="105"/>
      <c r="GG117" s="105"/>
      <c r="GH117" s="105"/>
      <c r="GI117" s="105"/>
      <c r="GJ117" s="105"/>
      <c r="GK117" s="105"/>
      <c r="GL117" s="105"/>
      <c r="GM117" s="105"/>
      <c r="GN117" s="105"/>
      <c r="GO117" s="105"/>
      <c r="GP117" s="105"/>
      <c r="GQ117" s="105"/>
      <c r="GR117" s="105"/>
      <c r="GS117" s="105"/>
      <c r="GT117" s="105"/>
      <c r="GU117" s="105"/>
      <c r="GV117" s="105"/>
      <c r="GW117" s="105"/>
      <c r="GX117" s="105"/>
      <c r="GY117" s="105"/>
      <c r="GZ117" s="105"/>
      <c r="HA117" s="105"/>
      <c r="HB117" s="105"/>
      <c r="HC117" s="105"/>
      <c r="HD117" s="105"/>
      <c r="HE117" s="105"/>
      <c r="HF117" s="105"/>
      <c r="HG117" s="105"/>
      <c r="HH117" s="105"/>
      <c r="HI117" s="105"/>
      <c r="HJ117" s="105"/>
      <c r="HK117" s="105"/>
      <c r="HL117" s="105"/>
      <c r="HM117" s="105"/>
      <c r="HN117" s="105"/>
      <c r="HO117" s="105"/>
      <c r="HP117" s="105"/>
      <c r="HQ117" s="105"/>
      <c r="HR117" s="105"/>
      <c r="HS117" s="105"/>
      <c r="HT117" s="105"/>
      <c r="HU117" s="105"/>
      <c r="HV117" s="105"/>
      <c r="HW117" s="105"/>
      <c r="HX117" s="105"/>
      <c r="HY117" s="105"/>
      <c r="HZ117" s="105"/>
      <c r="IA117" s="105"/>
      <c r="IB117" s="105"/>
      <c r="IC117" s="105"/>
      <c r="ID117" s="105"/>
      <c r="IE117" s="105"/>
      <c r="IF117" s="105"/>
      <c r="IG117" s="105"/>
      <c r="IH117" s="105"/>
      <c r="II117" s="105"/>
      <c r="IJ117" s="105"/>
      <c r="IK117" s="105"/>
      <c r="IL117" s="105"/>
      <c r="IM117" s="105"/>
      <c r="IN117" s="105"/>
      <c r="IO117" s="105"/>
      <c r="IP117" s="105"/>
      <c r="IQ117" s="105"/>
      <c r="IR117" s="105"/>
      <c r="IS117" s="105"/>
      <c r="IT117" s="105"/>
      <c r="IU117" s="105"/>
      <c r="IV117" s="105"/>
      <c r="IW117" s="105"/>
    </row>
    <row r="118" customFormat="false" ht="12.75" hidden="false" customHeight="false" outlineLevel="0" collapsed="false">
      <c r="A118" s="84"/>
      <c r="B118" s="92"/>
      <c r="C118" s="82" t="s">
        <v>231</v>
      </c>
      <c r="D118" s="174" t="n">
        <v>1782797.25</v>
      </c>
      <c r="E118" s="173" t="n">
        <v>96537.584479858</v>
      </c>
      <c r="F118" s="174" t="n">
        <v>65035.336707172</v>
      </c>
      <c r="G118" s="174" t="n">
        <v>71907.37847</v>
      </c>
      <c r="H118" s="174" t="n">
        <v>543893.506547213</v>
      </c>
      <c r="I118" s="174" t="n">
        <v>9987.1359</v>
      </c>
      <c r="J118" s="175" t="n">
        <f aca="false">D118-SUM(E118:I118,K118)</f>
        <v>995436.307895757</v>
      </c>
      <c r="K118" s="176"/>
      <c r="L118" s="176" t="n">
        <f aca="false">IF(allocation_method&gt;=6,CHOOSE(gen_choice,'Generation Calculations'!H120-'Generation Calculations'!I120+'Generation Calculations'!J120,'Generation Calculations'!G120+'Generation Calculations'!H120-'Generation Calculations'!I120+'Generation Calculations'!J120),0)</f>
        <v>0</v>
      </c>
      <c r="M118" s="176" t="n">
        <f aca="false">'Test Year 2001 Sales and Revs.'!K120</f>
        <v>285346.74</v>
      </c>
      <c r="N118" s="176" t="n">
        <f aca="false">CHOOSE(allocation_method,'RSP Surch Allocations'!E119,'RSP Surch Allocations'!J119,'RSP Surch Allocations'!N119,'RSP Surch Allocations'!Q119,'RSP Surch Allocations'!AA119,'RSP Surch Allocations'!AH119,'RSP Surch Allocations'!AS119,'RSP Surch Allocations'!BD119,'RSP Surch Allocations'!BO119,'RSP Surch Allocations'!BZ119,)</f>
        <v>1091988.41621661</v>
      </c>
      <c r="O118" s="155" t="n">
        <f aca="false">SUM(E118:N118)</f>
        <v>3160132.40621661</v>
      </c>
      <c r="P118" s="169" t="n">
        <f aca="false">ROUND(O118-D118,0)</f>
        <v>1377335</v>
      </c>
      <c r="Q118" s="177" t="n">
        <v>28534674</v>
      </c>
      <c r="R118" s="178" t="n">
        <f aca="false">D118/$Q118*100</f>
        <v>6.24782764295818</v>
      </c>
      <c r="S118" s="178" t="n">
        <f aca="false">E118/$Q118*100</f>
        <v>0.338316759742403</v>
      </c>
      <c r="T118" s="178" t="n">
        <f aca="false">F118/$Q118*100</f>
        <v>0.227916873019723</v>
      </c>
      <c r="U118" s="178" t="n">
        <f aca="false">G118/$Q118*100</f>
        <v>0.251999999964955</v>
      </c>
      <c r="V118" s="178" t="n">
        <f aca="false">H118/$Q118*100</f>
        <v>1.90607927235199</v>
      </c>
      <c r="W118" s="178" t="n">
        <f aca="false">I118/$Q118*100</f>
        <v>0.035</v>
      </c>
      <c r="X118" s="178" t="n">
        <f aca="false">J118/$Q118*100</f>
        <v>3.48851473787911</v>
      </c>
      <c r="Y118" s="178" t="n">
        <f aca="false">K118/$Q118*100</f>
        <v>0</v>
      </c>
      <c r="Z118" s="178" t="n">
        <f aca="false">L118/$Q118*100</f>
        <v>0</v>
      </c>
      <c r="AA118" s="150" t="n">
        <f aca="false">M118/$Q118*100</f>
        <v>1</v>
      </c>
      <c r="AB118" s="178" t="n">
        <f aca="false">N118/$Q118*100</f>
        <v>3.82688239654187</v>
      </c>
      <c r="AC118" s="178" t="n">
        <f aca="false">O118/$Q118*100</f>
        <v>11.0747100395</v>
      </c>
      <c r="AD118" s="178"/>
      <c r="AE118" s="157"/>
      <c r="AF118" s="151" t="n">
        <f aca="false">(AC118-AG118)/AG118</f>
        <v>0.528004056534096</v>
      </c>
      <c r="AG118" s="152" t="n">
        <f aca="false">AA118+R118</f>
        <v>7.24782764295818</v>
      </c>
      <c r="AH118" s="152"/>
      <c r="AI118" s="151"/>
      <c r="AJ118" s="151"/>
      <c r="AK118" s="151"/>
      <c r="AL118" s="151"/>
      <c r="AM118" s="151"/>
      <c r="AN118" s="179"/>
      <c r="AO118" s="179"/>
      <c r="AP118" s="179"/>
      <c r="AQ118" s="180"/>
      <c r="AR118" s="179"/>
      <c r="AS118" s="181"/>
      <c r="AT118" s="181"/>
      <c r="AU118" s="179"/>
      <c r="AV118" s="181"/>
      <c r="AW118" s="179"/>
      <c r="AX118" s="181"/>
      <c r="AY118" s="179"/>
      <c r="AZ118" s="181"/>
      <c r="BA118" s="179"/>
      <c r="BB118" s="181"/>
      <c r="BC118" s="179"/>
      <c r="BD118" s="181"/>
      <c r="BE118" s="179"/>
      <c r="BF118" s="182"/>
      <c r="BG118" s="105"/>
      <c r="BH118" s="105"/>
      <c r="BI118" s="105"/>
      <c r="BJ118" s="105"/>
      <c r="BK118" s="105"/>
      <c r="BL118" s="105"/>
      <c r="BM118" s="105"/>
      <c r="BN118" s="105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5"/>
      <c r="BZ118" s="105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5"/>
      <c r="CM118" s="105"/>
      <c r="CN118" s="105"/>
      <c r="CO118" s="105"/>
      <c r="CP118" s="105"/>
      <c r="CQ118" s="105"/>
      <c r="CR118" s="105"/>
      <c r="CS118" s="105"/>
      <c r="CT118" s="105"/>
      <c r="CU118" s="105"/>
      <c r="CV118" s="105"/>
      <c r="CW118" s="105"/>
      <c r="CX118" s="105"/>
      <c r="CY118" s="105"/>
      <c r="CZ118" s="105"/>
      <c r="DA118" s="105"/>
      <c r="DB118" s="105"/>
      <c r="DC118" s="105"/>
      <c r="DD118" s="105"/>
      <c r="DE118" s="105"/>
      <c r="DF118" s="105"/>
      <c r="DG118" s="105"/>
      <c r="DH118" s="105"/>
      <c r="DI118" s="105"/>
      <c r="DJ118" s="105"/>
      <c r="DK118" s="105"/>
      <c r="DL118" s="105"/>
      <c r="DM118" s="105"/>
      <c r="DN118" s="105"/>
      <c r="DO118" s="105"/>
      <c r="DP118" s="105"/>
      <c r="DQ118" s="105"/>
      <c r="DR118" s="105"/>
      <c r="DS118" s="105"/>
      <c r="DT118" s="105"/>
      <c r="DU118" s="105"/>
      <c r="DV118" s="105"/>
      <c r="DW118" s="105"/>
      <c r="DX118" s="105"/>
      <c r="DY118" s="105"/>
      <c r="DZ118" s="105"/>
      <c r="EA118" s="105"/>
      <c r="EB118" s="105"/>
      <c r="EC118" s="105"/>
      <c r="ED118" s="105"/>
      <c r="EE118" s="105"/>
      <c r="EF118" s="105"/>
      <c r="EG118" s="105"/>
      <c r="EH118" s="105"/>
      <c r="EI118" s="105"/>
      <c r="EJ118" s="105"/>
      <c r="EK118" s="105"/>
      <c r="EL118" s="105"/>
      <c r="EM118" s="105"/>
      <c r="EN118" s="105"/>
      <c r="EO118" s="105"/>
      <c r="EP118" s="105"/>
      <c r="EQ118" s="105"/>
      <c r="ER118" s="105"/>
      <c r="ES118" s="105"/>
      <c r="ET118" s="105"/>
      <c r="EU118" s="105"/>
      <c r="EV118" s="105"/>
      <c r="EW118" s="105"/>
      <c r="EX118" s="105"/>
      <c r="EY118" s="105"/>
      <c r="EZ118" s="105"/>
      <c r="FA118" s="105"/>
      <c r="FB118" s="105"/>
      <c r="FC118" s="105"/>
      <c r="FD118" s="105"/>
      <c r="FE118" s="105"/>
      <c r="FF118" s="105"/>
      <c r="FG118" s="105"/>
      <c r="FH118" s="105"/>
      <c r="FI118" s="105"/>
      <c r="FJ118" s="105"/>
      <c r="FK118" s="105"/>
      <c r="FL118" s="105"/>
      <c r="FM118" s="105"/>
      <c r="FN118" s="105"/>
      <c r="FO118" s="105"/>
      <c r="FP118" s="105"/>
      <c r="FQ118" s="105"/>
      <c r="FR118" s="105"/>
      <c r="FS118" s="105"/>
      <c r="FT118" s="105"/>
      <c r="FU118" s="105"/>
      <c r="FV118" s="105"/>
      <c r="FW118" s="105"/>
      <c r="FX118" s="105"/>
      <c r="FY118" s="105"/>
      <c r="FZ118" s="105"/>
      <c r="GA118" s="105"/>
      <c r="GB118" s="105"/>
      <c r="GC118" s="105"/>
      <c r="GD118" s="105"/>
      <c r="GE118" s="105"/>
      <c r="GF118" s="105"/>
      <c r="GG118" s="105"/>
      <c r="GH118" s="105"/>
      <c r="GI118" s="105"/>
      <c r="GJ118" s="105"/>
      <c r="GK118" s="105"/>
      <c r="GL118" s="105"/>
      <c r="GM118" s="105"/>
      <c r="GN118" s="105"/>
      <c r="GO118" s="105"/>
      <c r="GP118" s="105"/>
      <c r="GQ118" s="105"/>
      <c r="GR118" s="105"/>
      <c r="GS118" s="105"/>
      <c r="GT118" s="105"/>
      <c r="GU118" s="105"/>
      <c r="GV118" s="105"/>
      <c r="GW118" s="105"/>
      <c r="GX118" s="105"/>
      <c r="GY118" s="105"/>
      <c r="GZ118" s="105"/>
      <c r="HA118" s="105"/>
      <c r="HB118" s="105"/>
      <c r="HC118" s="105"/>
      <c r="HD118" s="105"/>
      <c r="HE118" s="105"/>
      <c r="HF118" s="105"/>
      <c r="HG118" s="105"/>
      <c r="HH118" s="105"/>
      <c r="HI118" s="105"/>
      <c r="HJ118" s="105"/>
      <c r="HK118" s="105"/>
      <c r="HL118" s="105"/>
      <c r="HM118" s="105"/>
      <c r="HN118" s="105"/>
      <c r="HO118" s="105"/>
      <c r="HP118" s="105"/>
      <c r="HQ118" s="105"/>
      <c r="HR118" s="105"/>
      <c r="HS118" s="105"/>
      <c r="HT118" s="105"/>
      <c r="HU118" s="105"/>
      <c r="HV118" s="105"/>
      <c r="HW118" s="105"/>
      <c r="HX118" s="105"/>
      <c r="HY118" s="105"/>
      <c r="HZ118" s="105"/>
      <c r="IA118" s="105"/>
      <c r="IB118" s="105"/>
      <c r="IC118" s="105"/>
      <c r="ID118" s="105"/>
      <c r="IE118" s="105"/>
      <c r="IF118" s="105"/>
      <c r="IG118" s="105"/>
      <c r="IH118" s="105"/>
      <c r="II118" s="105"/>
      <c r="IJ118" s="105"/>
      <c r="IK118" s="105"/>
      <c r="IL118" s="105"/>
      <c r="IM118" s="105"/>
      <c r="IN118" s="105"/>
      <c r="IO118" s="105"/>
      <c r="IP118" s="105"/>
      <c r="IQ118" s="105"/>
      <c r="IR118" s="105"/>
      <c r="IS118" s="105"/>
      <c r="IT118" s="105"/>
      <c r="IU118" s="105"/>
      <c r="IV118" s="105"/>
      <c r="IW118" s="105"/>
    </row>
    <row r="119" customFormat="false" ht="12.75" hidden="false" customHeight="false" outlineLevel="0" collapsed="false">
      <c r="A119" s="84"/>
      <c r="B119" s="97" t="s">
        <v>350</v>
      </c>
      <c r="C119" s="84"/>
      <c r="D119" s="155" t="n">
        <f aca="false">SUM(D116:D118)</f>
        <v>19409243.4</v>
      </c>
      <c r="E119" s="155" t="n">
        <f aca="false">SUM(E116:E118)</f>
        <v>1310580.51048028</v>
      </c>
      <c r="F119" s="155" t="n">
        <f aca="false">SUM(F116:F118)</f>
        <v>789392.457028074</v>
      </c>
      <c r="G119" s="155" t="n">
        <f aca="false">SUM(G116:G118)</f>
        <v>832665.13847</v>
      </c>
      <c r="H119" s="155" t="n">
        <f aca="false">SUM(H116:H118)</f>
        <v>895958.298952544</v>
      </c>
      <c r="I119" s="155" t="n">
        <f aca="false">SUM(I116:I118)</f>
        <v>110464.5759</v>
      </c>
      <c r="J119" s="155" t="n">
        <f aca="false">D119-SUM(E119:I119,K119)</f>
        <v>15470182.4191691</v>
      </c>
      <c r="K119" s="155"/>
      <c r="L119" s="155" t="n">
        <f aca="false">SUM(L116:L118)</f>
        <v>0</v>
      </c>
      <c r="M119" s="155" t="n">
        <f aca="false">SUM(M116:M118)</f>
        <v>3873826.74</v>
      </c>
      <c r="N119" s="155" t="n">
        <f aca="false">SUM(N116:N118)</f>
        <v>14824679.3585592</v>
      </c>
      <c r="O119" s="155" t="n">
        <f aca="false">SUM(O116:O118)</f>
        <v>38107749.4985592</v>
      </c>
      <c r="P119" s="169" t="n">
        <f aca="false">ROUND(O119-D119,0)</f>
        <v>18698506</v>
      </c>
      <c r="Q119" s="159" t="n">
        <v>387382674</v>
      </c>
      <c r="R119" s="152" t="n">
        <f aca="false">D119/$Q119*100</f>
        <v>5.01035402528096</v>
      </c>
      <c r="S119" s="152" t="n">
        <f aca="false">E119/$Q119*100</f>
        <v>0.338316759742403</v>
      </c>
      <c r="T119" s="152" t="n">
        <f aca="false">F119/$Q119*100</f>
        <v>0.203775881062784</v>
      </c>
      <c r="U119" s="152" t="n">
        <f aca="false">G119/$Q119*100</f>
        <v>0.214946406836461</v>
      </c>
      <c r="V119" s="152" t="n">
        <f aca="false">H119/$Q119*100</f>
        <v>0.231285072639192</v>
      </c>
      <c r="W119" s="152" t="n">
        <f aca="false">I119/$Q119*100</f>
        <v>0.0285156211968324</v>
      </c>
      <c r="X119" s="152" t="n">
        <f aca="false">J119/$Q119*100</f>
        <v>3.99351428380328</v>
      </c>
      <c r="Y119" s="152" t="n">
        <f aca="false">K119/$Q119*100</f>
        <v>0</v>
      </c>
      <c r="Z119" s="152" t="n">
        <f aca="false">L119/$Q119*100</f>
        <v>0</v>
      </c>
      <c r="AA119" s="154" t="n">
        <f aca="false">M119/$Q119*100</f>
        <v>1</v>
      </c>
      <c r="AB119" s="152" t="n">
        <f aca="false">N119/$Q119*100</f>
        <v>3.82688239654187</v>
      </c>
      <c r="AC119" s="152" t="n">
        <f aca="false">O119/$Q119*100</f>
        <v>9.83723642182283</v>
      </c>
      <c r="AD119" s="152"/>
      <c r="AE119" s="157"/>
      <c r="AF119" s="141" t="n">
        <f aca="false">(AC119-AG119)/AG119</f>
        <v>0.63671497227037</v>
      </c>
      <c r="AG119" s="152" t="n">
        <f aca="false">AA119+R119</f>
        <v>6.01035402528096</v>
      </c>
      <c r="AH119" s="152"/>
      <c r="AI119" s="141"/>
      <c r="AJ119" s="141"/>
      <c r="AK119" s="141"/>
      <c r="AL119" s="141"/>
      <c r="AM119" s="141"/>
      <c r="AN119" s="162"/>
      <c r="AO119" s="162"/>
      <c r="AP119" s="162"/>
      <c r="AQ119" s="158"/>
      <c r="AR119" s="162"/>
      <c r="AS119" s="163"/>
      <c r="AT119" s="163"/>
      <c r="AU119" s="162"/>
      <c r="AV119" s="163"/>
      <c r="AW119" s="162"/>
      <c r="AX119" s="163"/>
      <c r="AY119" s="162"/>
      <c r="AZ119" s="163"/>
      <c r="BA119" s="162"/>
      <c r="BB119" s="163"/>
      <c r="BC119" s="162"/>
      <c r="BD119" s="163"/>
      <c r="BE119" s="162"/>
      <c r="BF119" s="164"/>
      <c r="BG119" s="171"/>
      <c r="BH119" s="171"/>
      <c r="BI119" s="171"/>
      <c r="BJ119" s="171"/>
      <c r="BK119" s="171"/>
      <c r="BL119" s="171"/>
      <c r="BM119" s="171"/>
      <c r="BN119" s="171"/>
      <c r="BO119" s="171"/>
      <c r="BP119" s="171"/>
      <c r="BQ119" s="171"/>
      <c r="BR119" s="171"/>
      <c r="BS119" s="171"/>
      <c r="BT119" s="171"/>
      <c r="BU119" s="171"/>
      <c r="BV119" s="171"/>
      <c r="BW119" s="171"/>
      <c r="BX119" s="171"/>
      <c r="BY119" s="171"/>
      <c r="BZ119" s="171"/>
      <c r="CA119" s="171"/>
      <c r="CB119" s="171"/>
      <c r="CC119" s="171"/>
      <c r="CD119" s="171"/>
      <c r="CE119" s="171"/>
      <c r="CF119" s="171"/>
      <c r="CG119" s="171"/>
      <c r="CH119" s="171"/>
      <c r="CI119" s="171"/>
      <c r="CJ119" s="171"/>
      <c r="CK119" s="171"/>
      <c r="CL119" s="171"/>
      <c r="CM119" s="171"/>
      <c r="CN119" s="171"/>
      <c r="CO119" s="171"/>
      <c r="CP119" s="171"/>
      <c r="CQ119" s="171"/>
      <c r="CR119" s="171"/>
      <c r="CS119" s="171"/>
      <c r="CT119" s="171"/>
      <c r="CU119" s="171"/>
      <c r="CV119" s="171"/>
      <c r="CW119" s="171"/>
      <c r="CX119" s="171"/>
      <c r="CY119" s="171"/>
      <c r="CZ119" s="171"/>
      <c r="DA119" s="171"/>
      <c r="DB119" s="171"/>
      <c r="DC119" s="171"/>
      <c r="DD119" s="171"/>
      <c r="DE119" s="171"/>
      <c r="DF119" s="171"/>
      <c r="DG119" s="171"/>
      <c r="DH119" s="171"/>
      <c r="DI119" s="171"/>
      <c r="DJ119" s="171"/>
      <c r="DK119" s="171"/>
      <c r="DL119" s="171"/>
      <c r="DM119" s="171"/>
      <c r="DN119" s="171"/>
      <c r="DO119" s="171"/>
      <c r="DP119" s="171"/>
      <c r="DQ119" s="171"/>
      <c r="DR119" s="171"/>
      <c r="DS119" s="171"/>
      <c r="DT119" s="171"/>
      <c r="DU119" s="171"/>
      <c r="DV119" s="171"/>
      <c r="DW119" s="171"/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71"/>
      <c r="EH119" s="171"/>
      <c r="EI119" s="171"/>
      <c r="EJ119" s="171"/>
      <c r="EK119" s="171"/>
      <c r="EL119" s="171"/>
      <c r="EM119" s="171"/>
      <c r="EN119" s="171"/>
      <c r="EO119" s="171"/>
      <c r="EP119" s="171"/>
      <c r="EQ119" s="171"/>
      <c r="ER119" s="171"/>
      <c r="ES119" s="171"/>
      <c r="ET119" s="171"/>
      <c r="EU119" s="171"/>
      <c r="EV119" s="171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  <c r="FQ119" s="171"/>
      <c r="FR119" s="171"/>
      <c r="FS119" s="171"/>
      <c r="FT119" s="171"/>
      <c r="FU119" s="171"/>
      <c r="FV119" s="171"/>
      <c r="FW119" s="171"/>
      <c r="FX119" s="171"/>
      <c r="FY119" s="171"/>
      <c r="FZ119" s="171"/>
      <c r="GA119" s="171"/>
      <c r="GB119" s="171"/>
      <c r="GC119" s="171"/>
      <c r="GD119" s="171"/>
      <c r="GE119" s="171"/>
      <c r="GF119" s="171"/>
      <c r="GG119" s="171"/>
      <c r="GH119" s="171"/>
      <c r="GI119" s="171"/>
      <c r="GJ119" s="171"/>
      <c r="GK119" s="171"/>
      <c r="GL119" s="171"/>
      <c r="GM119" s="171"/>
      <c r="GN119" s="171"/>
      <c r="GO119" s="171"/>
      <c r="GP119" s="171"/>
      <c r="GQ119" s="171"/>
      <c r="GR119" s="171"/>
      <c r="GS119" s="171"/>
      <c r="GT119" s="171"/>
      <c r="GU119" s="171"/>
      <c r="GV119" s="171"/>
      <c r="GW119" s="171"/>
      <c r="GX119" s="171"/>
      <c r="GY119" s="171"/>
      <c r="GZ119" s="171"/>
      <c r="HA119" s="171"/>
      <c r="HB119" s="171"/>
      <c r="HC119" s="171"/>
      <c r="HD119" s="171"/>
      <c r="HE119" s="171"/>
      <c r="HF119" s="171"/>
      <c r="HG119" s="171"/>
      <c r="HH119" s="171"/>
      <c r="HI119" s="171"/>
      <c r="HJ119" s="171"/>
      <c r="HK119" s="171"/>
      <c r="HL119" s="171"/>
      <c r="HM119" s="171"/>
      <c r="HN119" s="171"/>
      <c r="HO119" s="171"/>
      <c r="HP119" s="171"/>
      <c r="HQ119" s="171"/>
      <c r="HR119" s="171"/>
      <c r="HS119" s="171"/>
      <c r="HT119" s="171"/>
      <c r="HU119" s="171"/>
      <c r="HV119" s="171"/>
      <c r="HW119" s="171"/>
      <c r="HX119" s="171"/>
      <c r="HY119" s="171"/>
      <c r="HZ119" s="171"/>
      <c r="IA119" s="171"/>
      <c r="IB119" s="171"/>
      <c r="IC119" s="171"/>
      <c r="ID119" s="171"/>
      <c r="IE119" s="171"/>
      <c r="IF119" s="171"/>
      <c r="IG119" s="171"/>
      <c r="IH119" s="171"/>
      <c r="II119" s="171"/>
      <c r="IJ119" s="171"/>
      <c r="IK119" s="171"/>
      <c r="IL119" s="171"/>
      <c r="IM119" s="171"/>
      <c r="IN119" s="171"/>
      <c r="IO119" s="171"/>
      <c r="IP119" s="171"/>
      <c r="IQ119" s="171"/>
      <c r="IR119" s="171"/>
      <c r="IS119" s="171"/>
      <c r="IT119" s="171"/>
      <c r="IU119" s="171"/>
      <c r="IV119" s="171"/>
      <c r="IW119" s="171"/>
    </row>
    <row r="120" customFormat="false" ht="12.75" hidden="false" customHeight="false" outlineLevel="0" collapsed="false">
      <c r="A120" s="84"/>
      <c r="B120" s="92"/>
      <c r="C120" s="79"/>
      <c r="D120" s="167"/>
      <c r="E120" s="156"/>
      <c r="F120" s="167"/>
      <c r="G120" s="167"/>
      <c r="H120" s="167"/>
      <c r="I120" s="167"/>
      <c r="J120" s="155"/>
      <c r="K120" s="155"/>
      <c r="L120" s="155"/>
      <c r="M120" s="155"/>
      <c r="N120" s="155"/>
      <c r="O120" s="155"/>
      <c r="P120" s="169"/>
      <c r="Q120" s="159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4"/>
      <c r="AB120" s="152"/>
      <c r="AC120" s="152"/>
      <c r="AD120" s="152"/>
      <c r="AE120" s="157"/>
      <c r="AF120" s="141"/>
      <c r="AG120" s="152" t="n">
        <f aca="false">AA120+R120</f>
        <v>0</v>
      </c>
      <c r="AH120" s="152"/>
      <c r="AI120" s="141"/>
      <c r="AJ120" s="141"/>
      <c r="AK120" s="141"/>
      <c r="AL120" s="141"/>
      <c r="AM120" s="141"/>
      <c r="AN120" s="158"/>
      <c r="AO120" s="158"/>
      <c r="AP120" s="162"/>
      <c r="AQ120" s="158"/>
      <c r="AR120" s="162"/>
      <c r="AS120" s="163"/>
      <c r="AT120" s="163"/>
      <c r="AU120" s="162"/>
      <c r="AV120" s="163"/>
      <c r="AW120" s="162"/>
      <c r="AX120" s="163"/>
      <c r="AY120" s="162"/>
      <c r="AZ120" s="163"/>
      <c r="BA120" s="162"/>
      <c r="BB120" s="163"/>
      <c r="BC120" s="162"/>
      <c r="BD120" s="163"/>
      <c r="BE120" s="158"/>
      <c r="BF120" s="164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5"/>
      <c r="BZ120" s="105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5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5"/>
      <c r="CX120" s="105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5"/>
      <c r="DJ120" s="105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5"/>
      <c r="DV120" s="105"/>
      <c r="DW120" s="105"/>
      <c r="DX120" s="105"/>
      <c r="DY120" s="105"/>
      <c r="DZ120" s="105"/>
      <c r="EA120" s="105"/>
      <c r="EB120" s="105"/>
      <c r="EC120" s="105"/>
      <c r="ED120" s="105"/>
      <c r="EE120" s="105"/>
      <c r="EF120" s="105"/>
      <c r="EG120" s="105"/>
      <c r="EH120" s="105"/>
      <c r="EI120" s="105"/>
      <c r="EJ120" s="105"/>
      <c r="EK120" s="105"/>
      <c r="EL120" s="105"/>
      <c r="EM120" s="105"/>
      <c r="EN120" s="105"/>
      <c r="EO120" s="105"/>
      <c r="EP120" s="105"/>
      <c r="EQ120" s="105"/>
      <c r="ER120" s="105"/>
      <c r="ES120" s="105"/>
      <c r="ET120" s="105"/>
      <c r="EU120" s="105"/>
      <c r="EV120" s="105"/>
      <c r="EW120" s="105"/>
      <c r="EX120" s="105"/>
      <c r="EY120" s="105"/>
      <c r="EZ120" s="105"/>
      <c r="FA120" s="105"/>
      <c r="FB120" s="105"/>
      <c r="FC120" s="105"/>
      <c r="FD120" s="105"/>
      <c r="FE120" s="105"/>
      <c r="FF120" s="105"/>
      <c r="FG120" s="105"/>
      <c r="FH120" s="105"/>
      <c r="FI120" s="105"/>
      <c r="FJ120" s="105"/>
      <c r="FK120" s="105"/>
      <c r="FL120" s="105"/>
      <c r="FM120" s="105"/>
      <c r="FN120" s="105"/>
      <c r="FO120" s="105"/>
      <c r="FP120" s="105"/>
      <c r="FQ120" s="105"/>
      <c r="FR120" s="105"/>
      <c r="FS120" s="105"/>
      <c r="FT120" s="105"/>
      <c r="FU120" s="105"/>
      <c r="FV120" s="105"/>
      <c r="FW120" s="105"/>
      <c r="FX120" s="105"/>
      <c r="FY120" s="105"/>
      <c r="FZ120" s="105"/>
      <c r="GA120" s="105"/>
      <c r="GB120" s="105"/>
      <c r="GC120" s="105"/>
      <c r="GD120" s="105"/>
      <c r="GE120" s="105"/>
      <c r="GF120" s="105"/>
      <c r="GG120" s="105"/>
      <c r="GH120" s="105"/>
      <c r="GI120" s="105"/>
      <c r="GJ120" s="105"/>
      <c r="GK120" s="105"/>
      <c r="GL120" s="105"/>
      <c r="GM120" s="105"/>
      <c r="GN120" s="105"/>
      <c r="GO120" s="105"/>
      <c r="GP120" s="105"/>
      <c r="GQ120" s="105"/>
      <c r="GR120" s="105"/>
      <c r="GS120" s="105"/>
      <c r="GT120" s="105"/>
      <c r="GU120" s="105"/>
      <c r="GV120" s="105"/>
      <c r="GW120" s="105"/>
      <c r="GX120" s="105"/>
      <c r="GY120" s="105"/>
      <c r="GZ120" s="105"/>
      <c r="HA120" s="105"/>
      <c r="HB120" s="105"/>
      <c r="HC120" s="105"/>
      <c r="HD120" s="105"/>
      <c r="HE120" s="105"/>
      <c r="HF120" s="105"/>
      <c r="HG120" s="105"/>
      <c r="HH120" s="105"/>
      <c r="HI120" s="105"/>
      <c r="HJ120" s="105"/>
      <c r="HK120" s="105"/>
      <c r="HL120" s="105"/>
      <c r="HM120" s="105"/>
      <c r="HN120" s="105"/>
      <c r="HO120" s="105"/>
      <c r="HP120" s="105"/>
      <c r="HQ120" s="105"/>
      <c r="HR120" s="105"/>
      <c r="HS120" s="105"/>
      <c r="HT120" s="105"/>
      <c r="HU120" s="105"/>
      <c r="HV120" s="105"/>
      <c r="HW120" s="105"/>
      <c r="HX120" s="105"/>
      <c r="HY120" s="105"/>
      <c r="HZ120" s="105"/>
      <c r="IA120" s="105"/>
      <c r="IB120" s="105"/>
      <c r="IC120" s="105"/>
      <c r="ID120" s="105"/>
      <c r="IE120" s="105"/>
      <c r="IF120" s="105"/>
      <c r="IG120" s="105"/>
      <c r="IH120" s="105"/>
      <c r="II120" s="105"/>
      <c r="IJ120" s="105"/>
      <c r="IK120" s="105"/>
      <c r="IL120" s="105"/>
      <c r="IM120" s="105"/>
      <c r="IN120" s="105"/>
      <c r="IO120" s="105"/>
      <c r="IP120" s="105"/>
      <c r="IQ120" s="105"/>
      <c r="IR120" s="105"/>
      <c r="IS120" s="105"/>
      <c r="IT120" s="105"/>
      <c r="IU120" s="105"/>
      <c r="IV120" s="105"/>
      <c r="IW120" s="105"/>
    </row>
    <row r="121" customFormat="false" ht="12.75" hidden="false" customHeight="false" outlineLevel="0" collapsed="false">
      <c r="A121" s="84"/>
      <c r="B121" s="100" t="s">
        <v>351</v>
      </c>
      <c r="C121" s="84" t="s">
        <v>236</v>
      </c>
      <c r="D121" s="155" t="n">
        <f aca="false">D111+D116</f>
        <v>348517710.824591</v>
      </c>
      <c r="E121" s="155" t="n">
        <f aca="false">E111+E116</f>
        <v>25050524.8721509</v>
      </c>
      <c r="F121" s="155" t="n">
        <f aca="false">F111+F116</f>
        <v>15098347.6901531</v>
      </c>
      <c r="G121" s="155" t="n">
        <f aca="false">G111+G116</f>
        <v>11894796.3229045</v>
      </c>
      <c r="H121" s="155" t="n">
        <f aca="false">H111+H116</f>
        <v>11739551.3280188</v>
      </c>
      <c r="I121" s="155" t="n">
        <f aca="false">I111+I116</f>
        <v>1439491.47984294</v>
      </c>
      <c r="J121" s="155" t="n">
        <f aca="false">J111+J116</f>
        <v>283294999.131521</v>
      </c>
      <c r="K121" s="155"/>
      <c r="L121" s="155" t="n">
        <f aca="false">L111+L116</f>
        <v>0</v>
      </c>
      <c r="M121" s="155" t="n">
        <f aca="false">M111+M116</f>
        <v>74044587.3601549</v>
      </c>
      <c r="N121" s="155" t="n">
        <f aca="false">N111+N116</f>
        <v>283359927.927784</v>
      </c>
      <c r="O121" s="155" t="n">
        <f aca="false">O111+O116</f>
        <v>705922226.11253</v>
      </c>
      <c r="P121" s="169" t="n">
        <f aca="false">ROUND(O121-D121,0)</f>
        <v>357404515</v>
      </c>
      <c r="Q121" s="159" t="n">
        <v>7404458736.01547</v>
      </c>
      <c r="R121" s="152" t="n">
        <f aca="false">D121/$Q121*100</f>
        <v>4.70686275999342</v>
      </c>
      <c r="S121" s="152" t="n">
        <f aca="false">E121/$Q121*100</f>
        <v>0.338316759742404</v>
      </c>
      <c r="T121" s="152" t="n">
        <f aca="false">F121/$Q121*100</f>
        <v>0.203908863948615</v>
      </c>
      <c r="U121" s="152" t="n">
        <f aca="false">G121/$Q121*100</f>
        <v>0.160643697898509</v>
      </c>
      <c r="V121" s="152" t="n">
        <f aca="false">H121/$Q121*100</f>
        <v>0.158547055855918</v>
      </c>
      <c r="W121" s="152" t="n">
        <f aca="false">I121/$Q121*100</f>
        <v>0.0194408738189224</v>
      </c>
      <c r="X121" s="152" t="n">
        <f aca="false">J121/$Q121*100</f>
        <v>3.82600550872905</v>
      </c>
      <c r="Y121" s="152" t="n">
        <f aca="false">K121/$Q121*100</f>
        <v>0</v>
      </c>
      <c r="Z121" s="152" t="n">
        <f aca="false">L121/$Q121*100</f>
        <v>0</v>
      </c>
      <c r="AA121" s="154" t="n">
        <f aca="false">M121/$Q121*100</f>
        <v>1</v>
      </c>
      <c r="AB121" s="152" t="n">
        <f aca="false">N121/$Q121*100</f>
        <v>3.82688239654188</v>
      </c>
      <c r="AC121" s="152" t="n">
        <f aca="false">O121/$Q121*100</f>
        <v>9.5337451565353</v>
      </c>
      <c r="AD121" s="152"/>
      <c r="AE121" s="157"/>
      <c r="AF121" s="141" t="n">
        <f aca="false">(AC121-AG121)/AG121</f>
        <v>0.670575508380772</v>
      </c>
      <c r="AG121" s="152" t="n">
        <f aca="false">AA121+R121</f>
        <v>5.70686275999342</v>
      </c>
      <c r="AH121" s="152"/>
      <c r="AI121" s="141"/>
      <c r="AJ121" s="141"/>
      <c r="AK121" s="141"/>
      <c r="AL121" s="141"/>
      <c r="AM121" s="141"/>
      <c r="AN121" s="162"/>
      <c r="AO121" s="162"/>
      <c r="AP121" s="162"/>
      <c r="AQ121" s="158"/>
      <c r="AR121" s="162"/>
      <c r="AS121" s="163"/>
      <c r="AT121" s="163"/>
      <c r="AU121" s="162"/>
      <c r="AV121" s="163"/>
      <c r="AW121" s="162"/>
      <c r="AX121" s="163"/>
      <c r="AY121" s="162"/>
      <c r="AZ121" s="163"/>
      <c r="BA121" s="162"/>
      <c r="BB121" s="163"/>
      <c r="BC121" s="162"/>
      <c r="BD121" s="163"/>
      <c r="BE121" s="162"/>
      <c r="BF121" s="164"/>
      <c r="BG121" s="171"/>
      <c r="BH121" s="171"/>
      <c r="BI121" s="171"/>
      <c r="BJ121" s="171"/>
      <c r="BK121" s="171"/>
      <c r="BL121" s="171"/>
      <c r="BM121" s="171"/>
      <c r="BN121" s="171"/>
      <c r="BO121" s="171"/>
      <c r="BP121" s="171"/>
      <c r="BQ121" s="171"/>
      <c r="BR121" s="171"/>
      <c r="BS121" s="171"/>
      <c r="BT121" s="171"/>
      <c r="BU121" s="171"/>
      <c r="BV121" s="171"/>
      <c r="BW121" s="171"/>
      <c r="BX121" s="171"/>
      <c r="BY121" s="171"/>
      <c r="BZ121" s="171"/>
      <c r="CA121" s="171"/>
      <c r="CB121" s="171"/>
      <c r="CC121" s="171"/>
      <c r="CD121" s="171"/>
      <c r="CE121" s="171"/>
      <c r="CF121" s="171"/>
      <c r="CG121" s="171"/>
      <c r="CH121" s="171"/>
      <c r="CI121" s="171"/>
      <c r="CJ121" s="171"/>
      <c r="CK121" s="171"/>
      <c r="CL121" s="171"/>
      <c r="CM121" s="171"/>
      <c r="CN121" s="171"/>
      <c r="CO121" s="171"/>
      <c r="CP121" s="171"/>
      <c r="CQ121" s="171"/>
      <c r="CR121" s="171"/>
      <c r="CS121" s="171"/>
      <c r="CT121" s="171"/>
      <c r="CU121" s="171"/>
      <c r="CV121" s="171"/>
      <c r="CW121" s="171"/>
      <c r="CX121" s="171"/>
      <c r="CY121" s="171"/>
      <c r="CZ121" s="171"/>
      <c r="DA121" s="171"/>
      <c r="DB121" s="171"/>
      <c r="DC121" s="171"/>
      <c r="DD121" s="171"/>
      <c r="DE121" s="171"/>
      <c r="DF121" s="171"/>
      <c r="DG121" s="171"/>
      <c r="DH121" s="171"/>
      <c r="DI121" s="171"/>
      <c r="DJ121" s="171"/>
      <c r="DK121" s="171"/>
      <c r="DL121" s="171"/>
      <c r="DM121" s="171"/>
      <c r="DN121" s="171"/>
      <c r="DO121" s="171"/>
      <c r="DP121" s="171"/>
      <c r="DQ121" s="171"/>
      <c r="DR121" s="171"/>
      <c r="DS121" s="171"/>
      <c r="DT121" s="171"/>
      <c r="DU121" s="171"/>
      <c r="DV121" s="171"/>
      <c r="DW121" s="171"/>
      <c r="DX121" s="171"/>
      <c r="DY121" s="171"/>
      <c r="DZ121" s="171"/>
      <c r="EA121" s="171"/>
      <c r="EB121" s="171"/>
      <c r="EC121" s="171"/>
      <c r="ED121" s="171"/>
      <c r="EE121" s="171"/>
      <c r="EF121" s="171"/>
      <c r="EG121" s="171"/>
      <c r="EH121" s="171"/>
      <c r="EI121" s="171"/>
      <c r="EJ121" s="171"/>
      <c r="EK121" s="171"/>
      <c r="EL121" s="171"/>
      <c r="EM121" s="171"/>
      <c r="EN121" s="171"/>
      <c r="EO121" s="171"/>
      <c r="EP121" s="171"/>
      <c r="EQ121" s="171"/>
      <c r="ER121" s="171"/>
      <c r="ES121" s="171"/>
      <c r="ET121" s="171"/>
      <c r="EU121" s="171"/>
      <c r="EV121" s="171"/>
      <c r="EW121" s="171"/>
      <c r="EX121" s="171"/>
      <c r="EY121" s="171"/>
      <c r="EZ121" s="171"/>
      <c r="FA121" s="171"/>
      <c r="FB121" s="171"/>
      <c r="FC121" s="171"/>
      <c r="FD121" s="171"/>
      <c r="FE121" s="171"/>
      <c r="FF121" s="171"/>
      <c r="FG121" s="171"/>
      <c r="FH121" s="171"/>
      <c r="FI121" s="171"/>
      <c r="FJ121" s="171"/>
      <c r="FK121" s="171"/>
      <c r="FL121" s="171"/>
      <c r="FM121" s="171"/>
      <c r="FN121" s="171"/>
      <c r="FO121" s="171"/>
      <c r="FP121" s="171"/>
      <c r="FQ121" s="171"/>
      <c r="FR121" s="171"/>
      <c r="FS121" s="171"/>
      <c r="FT121" s="171"/>
      <c r="FU121" s="171"/>
      <c r="FV121" s="171"/>
      <c r="FW121" s="171"/>
      <c r="FX121" s="171"/>
      <c r="FY121" s="171"/>
      <c r="FZ121" s="171"/>
      <c r="GA121" s="171"/>
      <c r="GB121" s="171"/>
      <c r="GC121" s="171"/>
      <c r="GD121" s="171"/>
      <c r="GE121" s="171"/>
      <c r="GF121" s="171"/>
      <c r="GG121" s="171"/>
      <c r="GH121" s="171"/>
      <c r="GI121" s="171"/>
      <c r="GJ121" s="171"/>
      <c r="GK121" s="171"/>
      <c r="GL121" s="171"/>
      <c r="GM121" s="171"/>
      <c r="GN121" s="171"/>
      <c r="GO121" s="171"/>
      <c r="GP121" s="171"/>
      <c r="GQ121" s="171"/>
      <c r="GR121" s="171"/>
      <c r="GS121" s="171"/>
      <c r="GT121" s="171"/>
      <c r="GU121" s="171"/>
      <c r="GV121" s="171"/>
      <c r="GW121" s="171"/>
      <c r="GX121" s="171"/>
      <c r="GY121" s="171"/>
      <c r="GZ121" s="171"/>
      <c r="HA121" s="171"/>
      <c r="HB121" s="171"/>
      <c r="HC121" s="171"/>
      <c r="HD121" s="171"/>
      <c r="HE121" s="171"/>
      <c r="HF121" s="171"/>
      <c r="HG121" s="171"/>
      <c r="HH121" s="171"/>
      <c r="HI121" s="171"/>
      <c r="HJ121" s="171"/>
      <c r="HK121" s="171"/>
      <c r="HL121" s="171"/>
      <c r="HM121" s="171"/>
      <c r="HN121" s="171"/>
      <c r="HO121" s="171"/>
      <c r="HP121" s="171"/>
      <c r="HQ121" s="171"/>
      <c r="HR121" s="171"/>
      <c r="HS121" s="171"/>
      <c r="HT121" s="171"/>
      <c r="HU121" s="171"/>
      <c r="HV121" s="171"/>
      <c r="HW121" s="171"/>
      <c r="HX121" s="171"/>
      <c r="HY121" s="171"/>
      <c r="HZ121" s="171"/>
      <c r="IA121" s="171"/>
      <c r="IB121" s="171"/>
      <c r="IC121" s="171"/>
      <c r="ID121" s="171"/>
      <c r="IE121" s="171"/>
      <c r="IF121" s="171"/>
      <c r="IG121" s="171"/>
      <c r="IH121" s="171"/>
      <c r="II121" s="171"/>
      <c r="IJ121" s="171"/>
      <c r="IK121" s="171"/>
      <c r="IL121" s="171"/>
      <c r="IM121" s="171"/>
      <c r="IN121" s="171"/>
      <c r="IO121" s="171"/>
      <c r="IP121" s="171"/>
      <c r="IQ121" s="171"/>
      <c r="IR121" s="171"/>
      <c r="IS121" s="171"/>
      <c r="IT121" s="171"/>
      <c r="IU121" s="171"/>
      <c r="IV121" s="171"/>
      <c r="IW121" s="171"/>
    </row>
    <row r="122" customFormat="false" ht="12.75" hidden="false" customHeight="false" outlineLevel="0" collapsed="false">
      <c r="A122" s="84"/>
      <c r="B122" s="100"/>
      <c r="C122" s="84" t="s">
        <v>234</v>
      </c>
      <c r="D122" s="155" t="n">
        <f aca="false">D117+D112</f>
        <v>424958830.41474</v>
      </c>
      <c r="E122" s="155" t="n">
        <f aca="false">E117+E112</f>
        <v>21191830.217123</v>
      </c>
      <c r="F122" s="155" t="n">
        <f aca="false">F117+F112</f>
        <v>13725669.7602141</v>
      </c>
      <c r="G122" s="155" t="n">
        <f aca="false">G117+G112</f>
        <v>13273204.8838859</v>
      </c>
      <c r="H122" s="155" t="n">
        <f aca="false">H117+H112</f>
        <v>64797515.1780697</v>
      </c>
      <c r="I122" s="155" t="n">
        <f aca="false">I117+I112</f>
        <v>1753064.9278604</v>
      </c>
      <c r="J122" s="155" t="n">
        <f aca="false">J117+J112</f>
        <v>310217545.447587</v>
      </c>
      <c r="K122" s="155"/>
      <c r="L122" s="155" t="n">
        <f aca="false">L117+L112</f>
        <v>0</v>
      </c>
      <c r="M122" s="155" t="n">
        <f aca="false">M117+M112</f>
        <v>62609461.716443</v>
      </c>
      <c r="N122" s="155" t="n">
        <f aca="false">N117+N112</f>
        <v>239599046.899618</v>
      </c>
      <c r="O122" s="155" t="n">
        <f aca="false">O117+O112</f>
        <v>727167339.030802</v>
      </c>
      <c r="P122" s="169" t="n">
        <f aca="false">ROUND(O122-D122,0)</f>
        <v>302208509</v>
      </c>
      <c r="Q122" s="159" t="n">
        <v>6260946171.6443</v>
      </c>
      <c r="R122" s="152" t="n">
        <f aca="false">D122/$Q122*100</f>
        <v>6.78745382510027</v>
      </c>
      <c r="S122" s="152" t="n">
        <f aca="false">E122/$Q122*100</f>
        <v>0.338476480010328</v>
      </c>
      <c r="T122" s="152" t="n">
        <f aca="false">F122/$Q122*100</f>
        <v>0.219226765155359</v>
      </c>
      <c r="U122" s="152" t="n">
        <f aca="false">G122/$Q122*100</f>
        <v>0.211999984027973</v>
      </c>
      <c r="V122" s="152" t="n">
        <f aca="false">H122/$Q122*100</f>
        <v>1.03494764851256</v>
      </c>
      <c r="W122" s="152" t="n">
        <f aca="false">I122/$Q122*100</f>
        <v>0.0279999999968056</v>
      </c>
      <c r="X122" s="152" t="n">
        <f aca="false">J122/$Q122*100</f>
        <v>4.95480294739725</v>
      </c>
      <c r="Y122" s="152" t="n">
        <f aca="false">K122/$Q122*100</f>
        <v>0</v>
      </c>
      <c r="Z122" s="152" t="n">
        <f aca="false">L122/$Q122*100</f>
        <v>0</v>
      </c>
      <c r="AA122" s="154" t="n">
        <f aca="false">M122/$Q122*100</f>
        <v>1</v>
      </c>
      <c r="AB122" s="152" t="n">
        <f aca="false">N122/$Q122*100</f>
        <v>3.82688239654187</v>
      </c>
      <c r="AC122" s="152" t="n">
        <f aca="false">O122/$Q122*100</f>
        <v>11.6143362216421</v>
      </c>
      <c r="AD122" s="152"/>
      <c r="AE122" s="157"/>
      <c r="AF122" s="141" t="n">
        <f aca="false">(AC122-AG122)/AG122</f>
        <v>0.491416383646114</v>
      </c>
      <c r="AG122" s="152" t="n">
        <f aca="false">AA122+R122</f>
        <v>7.78745382510027</v>
      </c>
      <c r="AH122" s="152"/>
      <c r="AI122" s="141"/>
      <c r="AJ122" s="141"/>
      <c r="AK122" s="141"/>
      <c r="AL122" s="141"/>
      <c r="AM122" s="141"/>
      <c r="AN122" s="162"/>
      <c r="AO122" s="162"/>
      <c r="AP122" s="162"/>
      <c r="AQ122" s="158"/>
      <c r="AR122" s="162"/>
      <c r="AS122" s="163"/>
      <c r="AT122" s="163"/>
      <c r="AU122" s="162"/>
      <c r="AV122" s="163"/>
      <c r="AW122" s="162"/>
      <c r="AX122" s="163"/>
      <c r="AY122" s="162"/>
      <c r="AZ122" s="163"/>
      <c r="BA122" s="162"/>
      <c r="BB122" s="163"/>
      <c r="BC122" s="162"/>
      <c r="BD122" s="163"/>
      <c r="BE122" s="162"/>
      <c r="BF122" s="164"/>
      <c r="BG122" s="171"/>
      <c r="BH122" s="171"/>
      <c r="BI122" s="171"/>
      <c r="BJ122" s="171"/>
      <c r="BK122" s="171"/>
      <c r="BL122" s="171"/>
      <c r="BM122" s="171"/>
      <c r="BN122" s="171"/>
      <c r="BO122" s="171"/>
      <c r="BP122" s="171"/>
      <c r="BQ122" s="171"/>
      <c r="BR122" s="171"/>
      <c r="BS122" s="171"/>
      <c r="BT122" s="171"/>
      <c r="BU122" s="171"/>
      <c r="BV122" s="171"/>
      <c r="BW122" s="171"/>
      <c r="BX122" s="171"/>
      <c r="BY122" s="171"/>
      <c r="BZ122" s="171"/>
      <c r="CA122" s="171"/>
      <c r="CB122" s="171"/>
      <c r="CC122" s="171"/>
      <c r="CD122" s="171"/>
      <c r="CE122" s="171"/>
      <c r="CF122" s="171"/>
      <c r="CG122" s="171"/>
      <c r="CH122" s="171"/>
      <c r="CI122" s="171"/>
      <c r="CJ122" s="171"/>
      <c r="CK122" s="171"/>
      <c r="CL122" s="171"/>
      <c r="CM122" s="171"/>
      <c r="CN122" s="171"/>
      <c r="CO122" s="171"/>
      <c r="CP122" s="171"/>
      <c r="CQ122" s="171"/>
      <c r="CR122" s="171"/>
      <c r="CS122" s="171"/>
      <c r="CT122" s="171"/>
      <c r="CU122" s="171"/>
      <c r="CV122" s="171"/>
      <c r="CW122" s="171"/>
      <c r="CX122" s="171"/>
      <c r="CY122" s="171"/>
      <c r="CZ122" s="171"/>
      <c r="DA122" s="171"/>
      <c r="DB122" s="171"/>
      <c r="DC122" s="171"/>
      <c r="DD122" s="171"/>
      <c r="DE122" s="171"/>
      <c r="DF122" s="171"/>
      <c r="DG122" s="171"/>
      <c r="DH122" s="171"/>
      <c r="DI122" s="171"/>
      <c r="DJ122" s="171"/>
      <c r="DK122" s="171"/>
      <c r="DL122" s="171"/>
      <c r="DM122" s="171"/>
      <c r="DN122" s="171"/>
      <c r="DO122" s="171"/>
      <c r="DP122" s="171"/>
      <c r="DQ122" s="171"/>
      <c r="DR122" s="171"/>
      <c r="DS122" s="171"/>
      <c r="DT122" s="171"/>
      <c r="DU122" s="171"/>
      <c r="DV122" s="171"/>
      <c r="DW122" s="171"/>
      <c r="DX122" s="171"/>
      <c r="DY122" s="171"/>
      <c r="DZ122" s="171"/>
      <c r="EA122" s="171"/>
      <c r="EB122" s="171"/>
      <c r="EC122" s="171"/>
      <c r="ED122" s="171"/>
      <c r="EE122" s="171"/>
      <c r="EF122" s="171"/>
      <c r="EG122" s="171"/>
      <c r="EH122" s="171"/>
      <c r="EI122" s="171"/>
      <c r="EJ122" s="171"/>
      <c r="EK122" s="171"/>
      <c r="EL122" s="171"/>
      <c r="EM122" s="171"/>
      <c r="EN122" s="171"/>
      <c r="EO122" s="171"/>
      <c r="EP122" s="171"/>
      <c r="EQ122" s="171"/>
      <c r="ER122" s="171"/>
      <c r="ES122" s="171"/>
      <c r="ET122" s="171"/>
      <c r="EU122" s="171"/>
      <c r="EV122" s="171"/>
      <c r="EW122" s="171"/>
      <c r="EX122" s="171"/>
      <c r="EY122" s="171"/>
      <c r="EZ122" s="171"/>
      <c r="FA122" s="171"/>
      <c r="FB122" s="171"/>
      <c r="FC122" s="171"/>
      <c r="FD122" s="171"/>
      <c r="FE122" s="171"/>
      <c r="FF122" s="171"/>
      <c r="FG122" s="171"/>
      <c r="FH122" s="171"/>
      <c r="FI122" s="171"/>
      <c r="FJ122" s="171"/>
      <c r="FK122" s="171"/>
      <c r="FL122" s="171"/>
      <c r="FM122" s="171"/>
      <c r="FN122" s="171"/>
      <c r="FO122" s="171"/>
      <c r="FP122" s="171"/>
      <c r="FQ122" s="171"/>
      <c r="FR122" s="171"/>
      <c r="FS122" s="171"/>
      <c r="FT122" s="171"/>
      <c r="FU122" s="171"/>
      <c r="FV122" s="171"/>
      <c r="FW122" s="171"/>
      <c r="FX122" s="171"/>
      <c r="FY122" s="171"/>
      <c r="FZ122" s="171"/>
      <c r="GA122" s="171"/>
      <c r="GB122" s="171"/>
      <c r="GC122" s="171"/>
      <c r="GD122" s="171"/>
      <c r="GE122" s="171"/>
      <c r="GF122" s="171"/>
      <c r="GG122" s="171"/>
      <c r="GH122" s="171"/>
      <c r="GI122" s="171"/>
      <c r="GJ122" s="171"/>
      <c r="GK122" s="171"/>
      <c r="GL122" s="171"/>
      <c r="GM122" s="171"/>
      <c r="GN122" s="171"/>
      <c r="GO122" s="171"/>
      <c r="GP122" s="171"/>
      <c r="GQ122" s="171"/>
      <c r="GR122" s="171"/>
      <c r="GS122" s="171"/>
      <c r="GT122" s="171"/>
      <c r="GU122" s="171"/>
      <c r="GV122" s="171"/>
      <c r="GW122" s="171"/>
      <c r="GX122" s="171"/>
      <c r="GY122" s="171"/>
      <c r="GZ122" s="171"/>
      <c r="HA122" s="171"/>
      <c r="HB122" s="171"/>
      <c r="HC122" s="171"/>
      <c r="HD122" s="171"/>
      <c r="HE122" s="171"/>
      <c r="HF122" s="171"/>
      <c r="HG122" s="171"/>
      <c r="HH122" s="171"/>
      <c r="HI122" s="171"/>
      <c r="HJ122" s="171"/>
      <c r="HK122" s="171"/>
      <c r="HL122" s="171"/>
      <c r="HM122" s="171"/>
      <c r="HN122" s="171"/>
      <c r="HO122" s="171"/>
      <c r="HP122" s="171"/>
      <c r="HQ122" s="171"/>
      <c r="HR122" s="171"/>
      <c r="HS122" s="171"/>
      <c r="HT122" s="171"/>
      <c r="HU122" s="171"/>
      <c r="HV122" s="171"/>
      <c r="HW122" s="171"/>
      <c r="HX122" s="171"/>
      <c r="HY122" s="171"/>
      <c r="HZ122" s="171"/>
      <c r="IA122" s="171"/>
      <c r="IB122" s="171"/>
      <c r="IC122" s="171"/>
      <c r="ID122" s="171"/>
      <c r="IE122" s="171"/>
      <c r="IF122" s="171"/>
      <c r="IG122" s="171"/>
      <c r="IH122" s="171"/>
      <c r="II122" s="171"/>
      <c r="IJ122" s="171"/>
      <c r="IK122" s="171"/>
      <c r="IL122" s="171"/>
      <c r="IM122" s="171"/>
      <c r="IN122" s="171"/>
      <c r="IO122" s="171"/>
      <c r="IP122" s="171"/>
      <c r="IQ122" s="171"/>
      <c r="IR122" s="171"/>
      <c r="IS122" s="171"/>
      <c r="IT122" s="171"/>
      <c r="IU122" s="171"/>
      <c r="IV122" s="171"/>
      <c r="IW122" s="171"/>
    </row>
    <row r="123" customFormat="false" ht="12.75" hidden="false" customHeight="false" outlineLevel="0" collapsed="false">
      <c r="A123" s="84"/>
      <c r="B123" s="100"/>
      <c r="C123" s="84" t="s">
        <v>231</v>
      </c>
      <c r="D123" s="175" t="n">
        <f aca="false">D118+D113</f>
        <v>290037803.336306</v>
      </c>
      <c r="E123" s="175" t="n">
        <f aca="false">E118+E113</f>
        <v>12073665.8739228</v>
      </c>
      <c r="F123" s="175" t="n">
        <f aca="false">F118+F113</f>
        <v>8345525.8555137</v>
      </c>
      <c r="G123" s="175" t="n">
        <f aca="false">G118+G113</f>
        <v>8986925.52038644</v>
      </c>
      <c r="H123" s="175" t="n">
        <f aca="false">H118+H113</f>
        <v>66113518.3853994</v>
      </c>
      <c r="I123" s="175" t="n">
        <f aca="false">I118+I113</f>
        <v>1245635.41986173</v>
      </c>
      <c r="J123" s="175" t="n">
        <f aca="false">J118+J113</f>
        <v>193272532.281222</v>
      </c>
      <c r="K123" s="175"/>
      <c r="L123" s="175" t="n">
        <f aca="false">L118+L113</f>
        <v>0</v>
      </c>
      <c r="M123" s="175" t="n">
        <f aca="false">M118+M113</f>
        <v>35690415.9377636</v>
      </c>
      <c r="N123" s="175" t="n">
        <f aca="false">N118+N113</f>
        <v>136583024.477485</v>
      </c>
      <c r="O123" s="175" t="n">
        <f aca="false">O118+O113</f>
        <v>462311253.751555</v>
      </c>
      <c r="P123" s="169" t="n">
        <f aca="false">ROUND(O123-D123,0)</f>
        <v>172273450</v>
      </c>
      <c r="Q123" s="185" t="n">
        <v>3569041593.77636</v>
      </c>
      <c r="R123" s="178" t="n">
        <f aca="false">D123/$Q123*100</f>
        <v>8.12648986333108</v>
      </c>
      <c r="S123" s="178" t="n">
        <f aca="false">E123/$Q123*100</f>
        <v>0.338288741015982</v>
      </c>
      <c r="T123" s="178" t="n">
        <f aca="false">F123/$Q123*100</f>
        <v>0.233831005782238</v>
      </c>
      <c r="U123" s="178" t="n">
        <f aca="false">G123/$Q123*100</f>
        <v>0.251802207518615</v>
      </c>
      <c r="V123" s="178" t="n">
        <f aca="false">H123/$Q123*100</f>
        <v>1.85241658434822</v>
      </c>
      <c r="W123" s="178" t="n">
        <f aca="false">I123/$Q123*100</f>
        <v>0.034901118048998</v>
      </c>
      <c r="X123" s="178" t="n">
        <f aca="false">J123/$Q123*100</f>
        <v>5.41525020661702</v>
      </c>
      <c r="Y123" s="178" t="n">
        <f aca="false">K123/$Q123*100</f>
        <v>0</v>
      </c>
      <c r="Z123" s="178" t="n">
        <f aca="false">L123/$Q123*100</f>
        <v>0</v>
      </c>
      <c r="AA123" s="150" t="n">
        <f aca="false">M123/$Q123*100</f>
        <v>1</v>
      </c>
      <c r="AB123" s="178" t="n">
        <f aca="false">N123/$Q123*100</f>
        <v>3.82688239654187</v>
      </c>
      <c r="AC123" s="178" t="n">
        <f aca="false">O123/$Q123*100</f>
        <v>12.9533725400602</v>
      </c>
      <c r="AD123" s="178"/>
      <c r="AE123" s="157"/>
      <c r="AF123" s="151" t="n">
        <f aca="false">(AC123-AG123)/AG123</f>
        <v>0.419315940086124</v>
      </c>
      <c r="AG123" s="152" t="n">
        <f aca="false">AA123+R123</f>
        <v>9.12648986333108</v>
      </c>
      <c r="AH123" s="152"/>
      <c r="AI123" s="151"/>
      <c r="AJ123" s="151"/>
      <c r="AK123" s="151"/>
      <c r="AL123" s="151"/>
      <c r="AM123" s="151"/>
      <c r="AN123" s="179"/>
      <c r="AO123" s="179"/>
      <c r="AP123" s="179"/>
      <c r="AQ123" s="180"/>
      <c r="AR123" s="179"/>
      <c r="AS123" s="181"/>
      <c r="AT123" s="181"/>
      <c r="AU123" s="179"/>
      <c r="AV123" s="181"/>
      <c r="AW123" s="179"/>
      <c r="AX123" s="181"/>
      <c r="AY123" s="179"/>
      <c r="AZ123" s="181"/>
      <c r="BA123" s="179"/>
      <c r="BB123" s="181"/>
      <c r="BC123" s="179"/>
      <c r="BD123" s="181"/>
      <c r="BE123" s="179"/>
      <c r="BF123" s="182"/>
      <c r="BG123" s="171"/>
      <c r="BH123" s="171"/>
      <c r="BI123" s="171"/>
      <c r="BJ123" s="171"/>
      <c r="BK123" s="171"/>
      <c r="BL123" s="171"/>
      <c r="BM123" s="171"/>
      <c r="BN123" s="171"/>
      <c r="BO123" s="171"/>
      <c r="BP123" s="171"/>
      <c r="BQ123" s="171"/>
      <c r="BR123" s="171"/>
      <c r="BS123" s="171"/>
      <c r="BT123" s="171"/>
      <c r="BU123" s="171"/>
      <c r="BV123" s="171"/>
      <c r="BW123" s="171"/>
      <c r="BX123" s="171"/>
      <c r="BY123" s="171"/>
      <c r="BZ123" s="171"/>
      <c r="CA123" s="171"/>
      <c r="CB123" s="171"/>
      <c r="CC123" s="171"/>
      <c r="CD123" s="171"/>
      <c r="CE123" s="171"/>
      <c r="CF123" s="171"/>
      <c r="CG123" s="171"/>
      <c r="CH123" s="171"/>
      <c r="CI123" s="171"/>
      <c r="CJ123" s="171"/>
      <c r="CK123" s="171"/>
      <c r="CL123" s="171"/>
      <c r="CM123" s="171"/>
      <c r="CN123" s="171"/>
      <c r="CO123" s="171"/>
      <c r="CP123" s="171"/>
      <c r="CQ123" s="171"/>
      <c r="CR123" s="171"/>
      <c r="CS123" s="171"/>
      <c r="CT123" s="171"/>
      <c r="CU123" s="171"/>
      <c r="CV123" s="171"/>
      <c r="CW123" s="171"/>
      <c r="CX123" s="171"/>
      <c r="CY123" s="171"/>
      <c r="CZ123" s="171"/>
      <c r="DA123" s="171"/>
      <c r="DB123" s="171"/>
      <c r="DC123" s="171"/>
      <c r="DD123" s="171"/>
      <c r="DE123" s="171"/>
      <c r="DF123" s="171"/>
      <c r="DG123" s="171"/>
      <c r="DH123" s="171"/>
      <c r="DI123" s="171"/>
      <c r="DJ123" s="171"/>
      <c r="DK123" s="171"/>
      <c r="DL123" s="171"/>
      <c r="DM123" s="171"/>
      <c r="DN123" s="171"/>
      <c r="DO123" s="171"/>
      <c r="DP123" s="171"/>
      <c r="DQ123" s="171"/>
      <c r="DR123" s="171"/>
      <c r="DS123" s="171"/>
      <c r="DT123" s="171"/>
      <c r="DU123" s="171"/>
      <c r="DV123" s="171"/>
      <c r="DW123" s="171"/>
      <c r="DX123" s="171"/>
      <c r="DY123" s="171"/>
      <c r="DZ123" s="171"/>
      <c r="EA123" s="171"/>
      <c r="EB123" s="171"/>
      <c r="EC123" s="171"/>
      <c r="ED123" s="171"/>
      <c r="EE123" s="171"/>
      <c r="EF123" s="171"/>
      <c r="EG123" s="171"/>
      <c r="EH123" s="171"/>
      <c r="EI123" s="171"/>
      <c r="EJ123" s="171"/>
      <c r="EK123" s="171"/>
      <c r="EL123" s="171"/>
      <c r="EM123" s="171"/>
      <c r="EN123" s="171"/>
      <c r="EO123" s="171"/>
      <c r="EP123" s="171"/>
      <c r="EQ123" s="171"/>
      <c r="ER123" s="171"/>
      <c r="ES123" s="171"/>
      <c r="ET123" s="171"/>
      <c r="EU123" s="171"/>
      <c r="EV123" s="171"/>
      <c r="EW123" s="171"/>
      <c r="EX123" s="171"/>
      <c r="EY123" s="171"/>
      <c r="EZ123" s="171"/>
      <c r="FA123" s="171"/>
      <c r="FB123" s="171"/>
      <c r="FC123" s="171"/>
      <c r="FD123" s="171"/>
      <c r="FE123" s="171"/>
      <c r="FF123" s="171"/>
      <c r="FG123" s="171"/>
      <c r="FH123" s="171"/>
      <c r="FI123" s="171"/>
      <c r="FJ123" s="171"/>
      <c r="FK123" s="171"/>
      <c r="FL123" s="171"/>
      <c r="FM123" s="171"/>
      <c r="FN123" s="171"/>
      <c r="FO123" s="171"/>
      <c r="FP123" s="171"/>
      <c r="FQ123" s="171"/>
      <c r="FR123" s="171"/>
      <c r="FS123" s="171"/>
      <c r="FT123" s="171"/>
      <c r="FU123" s="171"/>
      <c r="FV123" s="171"/>
      <c r="FW123" s="171"/>
      <c r="FX123" s="171"/>
      <c r="FY123" s="171"/>
      <c r="FZ123" s="171"/>
      <c r="GA123" s="171"/>
      <c r="GB123" s="171"/>
      <c r="GC123" s="171"/>
      <c r="GD123" s="171"/>
      <c r="GE123" s="171"/>
      <c r="GF123" s="171"/>
      <c r="GG123" s="171"/>
      <c r="GH123" s="171"/>
      <c r="GI123" s="171"/>
      <c r="GJ123" s="171"/>
      <c r="GK123" s="171"/>
      <c r="GL123" s="171"/>
      <c r="GM123" s="171"/>
      <c r="GN123" s="171"/>
      <c r="GO123" s="171"/>
      <c r="GP123" s="171"/>
      <c r="GQ123" s="171"/>
      <c r="GR123" s="171"/>
      <c r="GS123" s="171"/>
      <c r="GT123" s="171"/>
      <c r="GU123" s="171"/>
      <c r="GV123" s="171"/>
      <c r="GW123" s="171"/>
      <c r="GX123" s="171"/>
      <c r="GY123" s="171"/>
      <c r="GZ123" s="171"/>
      <c r="HA123" s="171"/>
      <c r="HB123" s="171"/>
      <c r="HC123" s="171"/>
      <c r="HD123" s="171"/>
      <c r="HE123" s="171"/>
      <c r="HF123" s="171"/>
      <c r="HG123" s="171"/>
      <c r="HH123" s="171"/>
      <c r="HI123" s="171"/>
      <c r="HJ123" s="171"/>
      <c r="HK123" s="171"/>
      <c r="HL123" s="171"/>
      <c r="HM123" s="171"/>
      <c r="HN123" s="171"/>
      <c r="HO123" s="171"/>
      <c r="HP123" s="171"/>
      <c r="HQ123" s="171"/>
      <c r="HR123" s="171"/>
      <c r="HS123" s="171"/>
      <c r="HT123" s="171"/>
      <c r="HU123" s="171"/>
      <c r="HV123" s="171"/>
      <c r="HW123" s="171"/>
      <c r="HX123" s="171"/>
      <c r="HY123" s="171"/>
      <c r="HZ123" s="171"/>
      <c r="IA123" s="171"/>
      <c r="IB123" s="171"/>
      <c r="IC123" s="171"/>
      <c r="ID123" s="171"/>
      <c r="IE123" s="171"/>
      <c r="IF123" s="171"/>
      <c r="IG123" s="171"/>
      <c r="IH123" s="171"/>
      <c r="II123" s="171"/>
      <c r="IJ123" s="171"/>
      <c r="IK123" s="171"/>
      <c r="IL123" s="171"/>
      <c r="IM123" s="171"/>
      <c r="IN123" s="171"/>
      <c r="IO123" s="171"/>
      <c r="IP123" s="171"/>
      <c r="IQ123" s="171"/>
      <c r="IR123" s="171"/>
      <c r="IS123" s="171"/>
      <c r="IT123" s="171"/>
      <c r="IU123" s="171"/>
      <c r="IV123" s="171"/>
      <c r="IW123" s="171"/>
    </row>
    <row r="124" customFormat="false" ht="12.75" hidden="false" customHeight="false" outlineLevel="0" collapsed="false">
      <c r="A124" s="84"/>
      <c r="B124" s="100" t="s">
        <v>351</v>
      </c>
      <c r="C124" s="84"/>
      <c r="D124" s="155" t="n">
        <f aca="false">SUM(D121:D123)</f>
        <v>1063514344.57564</v>
      </c>
      <c r="E124" s="155" t="n">
        <f aca="false">SUM(E121:E123)</f>
        <v>58316020.9631968</v>
      </c>
      <c r="F124" s="155" t="n">
        <f aca="false">SUM(F121:F123)</f>
        <v>37169543.3058809</v>
      </c>
      <c r="G124" s="155" t="n">
        <f aca="false">SUM(G121:G123)</f>
        <v>34154926.7271768</v>
      </c>
      <c r="H124" s="155" t="n">
        <f aca="false">SUM(H121:H123)</f>
        <v>142650584.891488</v>
      </c>
      <c r="I124" s="155" t="n">
        <f aca="false">SUM(I121:I123)</f>
        <v>4438191.82756508</v>
      </c>
      <c r="J124" s="155" t="n">
        <f aca="false">SUM(J121:J123)</f>
        <v>786785076.86033</v>
      </c>
      <c r="K124" s="155"/>
      <c r="L124" s="155" t="n">
        <f aca="false">SUM(L121:L123)</f>
        <v>0</v>
      </c>
      <c r="M124" s="155" t="n">
        <f aca="false">SUM(M121:M123)</f>
        <v>172344465.014362</v>
      </c>
      <c r="N124" s="155" t="n">
        <f aca="false">SUM(N121:N123)</f>
        <v>659541999.304887</v>
      </c>
      <c r="O124" s="155" t="n">
        <f aca="false">SUM(O121:O123)</f>
        <v>1895400818.89489</v>
      </c>
      <c r="P124" s="169" t="n">
        <f aca="false">ROUND(O124-D124,0)</f>
        <v>831886474</v>
      </c>
      <c r="Q124" s="159" t="n">
        <v>17234446501.4362</v>
      </c>
      <c r="R124" s="152" t="n">
        <f aca="false">D124/$Q124*100</f>
        <v>6.17086452116124</v>
      </c>
      <c r="S124" s="152" t="n">
        <f aca="false">E124/$Q124*100</f>
        <v>0.338368980740619</v>
      </c>
      <c r="T124" s="152" t="n">
        <f aca="false">F124/$Q124*100</f>
        <v>0.215670072739403</v>
      </c>
      <c r="U124" s="152" t="n">
        <f aca="false">G124/$Q124*100</f>
        <v>0.198178263075235</v>
      </c>
      <c r="V124" s="152" t="n">
        <f aca="false">H124/$Q124*100</f>
        <v>0.827706215454037</v>
      </c>
      <c r="W124" s="152" t="n">
        <f aca="false">I124/$Q124*100</f>
        <v>0.0257518675009101</v>
      </c>
      <c r="X124" s="152" t="n">
        <f aca="false">J124/$Q124*100</f>
        <v>4.56518912165103</v>
      </c>
      <c r="Y124" s="152" t="n">
        <f aca="false">K124/$Q124*100</f>
        <v>0</v>
      </c>
      <c r="Z124" s="152" t="n">
        <f aca="false">L124/$Q124*100</f>
        <v>0</v>
      </c>
      <c r="AA124" s="154" t="n">
        <f aca="false">M124/$Q124*100</f>
        <v>1</v>
      </c>
      <c r="AB124" s="152" t="n">
        <f aca="false">N124/$Q124*100</f>
        <v>3.82688239654187</v>
      </c>
      <c r="AC124" s="152" t="n">
        <f aca="false">O124/$Q124*100</f>
        <v>10.9977469757264</v>
      </c>
      <c r="AD124" s="152"/>
      <c r="AE124" s="157"/>
      <c r="AF124" s="141" t="n">
        <f aca="false">(AC124-AG124)/AG124</f>
        <v>0.533671002048926</v>
      </c>
      <c r="AG124" s="152" t="n">
        <f aca="false">AA124+R124</f>
        <v>7.17086452116124</v>
      </c>
      <c r="AH124" s="152"/>
      <c r="AI124" s="141"/>
      <c r="AJ124" s="141"/>
      <c r="AK124" s="141"/>
      <c r="AL124" s="141"/>
      <c r="AM124" s="141"/>
      <c r="AN124" s="162"/>
      <c r="AO124" s="162"/>
      <c r="AP124" s="162"/>
      <c r="AQ124" s="158"/>
      <c r="AR124" s="162"/>
      <c r="AS124" s="163"/>
      <c r="AT124" s="163"/>
      <c r="AU124" s="162"/>
      <c r="AV124" s="163"/>
      <c r="AW124" s="162"/>
      <c r="AX124" s="163"/>
      <c r="AY124" s="162"/>
      <c r="AZ124" s="163"/>
      <c r="BA124" s="162"/>
      <c r="BB124" s="163"/>
      <c r="BC124" s="162"/>
      <c r="BD124" s="163"/>
      <c r="BE124" s="162"/>
      <c r="BF124" s="164"/>
      <c r="BG124" s="171"/>
      <c r="BH124" s="171"/>
      <c r="BI124" s="171"/>
      <c r="BJ124" s="171"/>
      <c r="BK124" s="171"/>
      <c r="BL124" s="171"/>
      <c r="BM124" s="171"/>
      <c r="BN124" s="171"/>
      <c r="BO124" s="171"/>
      <c r="BP124" s="171"/>
      <c r="BQ124" s="171"/>
      <c r="BR124" s="171"/>
      <c r="BS124" s="171"/>
      <c r="BT124" s="171"/>
      <c r="BU124" s="171"/>
      <c r="BV124" s="171"/>
      <c r="BW124" s="171"/>
      <c r="BX124" s="171"/>
      <c r="BY124" s="171"/>
      <c r="BZ124" s="171"/>
      <c r="CA124" s="171"/>
      <c r="CB124" s="171"/>
      <c r="CC124" s="171"/>
      <c r="CD124" s="171"/>
      <c r="CE124" s="171"/>
      <c r="CF124" s="171"/>
      <c r="CG124" s="171"/>
      <c r="CH124" s="171"/>
      <c r="CI124" s="171"/>
      <c r="CJ124" s="171"/>
      <c r="CK124" s="171"/>
      <c r="CL124" s="171"/>
      <c r="CM124" s="171"/>
      <c r="CN124" s="171"/>
      <c r="CO124" s="171"/>
      <c r="CP124" s="171"/>
      <c r="CQ124" s="171"/>
      <c r="CR124" s="171"/>
      <c r="CS124" s="171"/>
      <c r="CT124" s="171"/>
      <c r="CU124" s="171"/>
      <c r="CV124" s="171"/>
      <c r="CW124" s="171"/>
      <c r="CX124" s="171"/>
      <c r="CY124" s="171"/>
      <c r="CZ124" s="171"/>
      <c r="DA124" s="171"/>
      <c r="DB124" s="171"/>
      <c r="DC124" s="171"/>
      <c r="DD124" s="171"/>
      <c r="DE124" s="171"/>
      <c r="DF124" s="171"/>
      <c r="DG124" s="171"/>
      <c r="DH124" s="171"/>
      <c r="DI124" s="171"/>
      <c r="DJ124" s="171"/>
      <c r="DK124" s="171"/>
      <c r="DL124" s="171"/>
      <c r="DM124" s="171"/>
      <c r="DN124" s="171"/>
      <c r="DO124" s="171"/>
      <c r="DP124" s="171"/>
      <c r="DQ124" s="171"/>
      <c r="DR124" s="171"/>
      <c r="DS124" s="171"/>
      <c r="DT124" s="171"/>
      <c r="DU124" s="171"/>
      <c r="DV124" s="171"/>
      <c r="DW124" s="171"/>
      <c r="DX124" s="171"/>
      <c r="DY124" s="171"/>
      <c r="DZ124" s="171"/>
      <c r="EA124" s="171"/>
      <c r="EB124" s="171"/>
      <c r="EC124" s="171"/>
      <c r="ED124" s="171"/>
      <c r="EE124" s="171"/>
      <c r="EF124" s="171"/>
      <c r="EG124" s="171"/>
      <c r="EH124" s="171"/>
      <c r="EI124" s="171"/>
      <c r="EJ124" s="171"/>
      <c r="EK124" s="171"/>
      <c r="EL124" s="171"/>
      <c r="EM124" s="171"/>
      <c r="EN124" s="171"/>
      <c r="EO124" s="171"/>
      <c r="EP124" s="171"/>
      <c r="EQ124" s="171"/>
      <c r="ER124" s="171"/>
      <c r="ES124" s="171"/>
      <c r="ET124" s="171"/>
      <c r="EU124" s="171"/>
      <c r="EV124" s="171"/>
      <c r="EW124" s="171"/>
      <c r="EX124" s="171"/>
      <c r="EY124" s="171"/>
      <c r="EZ124" s="171"/>
      <c r="FA124" s="171"/>
      <c r="FB124" s="171"/>
      <c r="FC124" s="171"/>
      <c r="FD124" s="171"/>
      <c r="FE124" s="171"/>
      <c r="FF124" s="171"/>
      <c r="FG124" s="171"/>
      <c r="FH124" s="171"/>
      <c r="FI124" s="171"/>
      <c r="FJ124" s="171"/>
      <c r="FK124" s="171"/>
      <c r="FL124" s="171"/>
      <c r="FM124" s="171"/>
      <c r="FN124" s="171"/>
      <c r="FO124" s="171"/>
      <c r="FP124" s="171"/>
      <c r="FQ124" s="171"/>
      <c r="FR124" s="171"/>
      <c r="FS124" s="171"/>
      <c r="FT124" s="171"/>
      <c r="FU124" s="171"/>
      <c r="FV124" s="171"/>
      <c r="FW124" s="171"/>
      <c r="FX124" s="171"/>
      <c r="FY124" s="171"/>
      <c r="FZ124" s="171"/>
      <c r="GA124" s="171"/>
      <c r="GB124" s="171"/>
      <c r="GC124" s="171"/>
      <c r="GD124" s="171"/>
      <c r="GE124" s="171"/>
      <c r="GF124" s="171"/>
      <c r="GG124" s="171"/>
      <c r="GH124" s="171"/>
      <c r="GI124" s="171"/>
      <c r="GJ124" s="171"/>
      <c r="GK124" s="171"/>
      <c r="GL124" s="171"/>
      <c r="GM124" s="171"/>
      <c r="GN124" s="171"/>
      <c r="GO124" s="171"/>
      <c r="GP124" s="171"/>
      <c r="GQ124" s="171"/>
      <c r="GR124" s="171"/>
      <c r="GS124" s="171"/>
      <c r="GT124" s="171"/>
      <c r="GU124" s="171"/>
      <c r="GV124" s="171"/>
      <c r="GW124" s="171"/>
      <c r="GX124" s="171"/>
      <c r="GY124" s="171"/>
      <c r="GZ124" s="171"/>
      <c r="HA124" s="171"/>
      <c r="HB124" s="171"/>
      <c r="HC124" s="171"/>
      <c r="HD124" s="171"/>
      <c r="HE124" s="171"/>
      <c r="HF124" s="171"/>
      <c r="HG124" s="171"/>
      <c r="HH124" s="171"/>
      <c r="HI124" s="171"/>
      <c r="HJ124" s="171"/>
      <c r="HK124" s="171"/>
      <c r="HL124" s="171"/>
      <c r="HM124" s="171"/>
      <c r="HN124" s="171"/>
      <c r="HO124" s="171"/>
      <c r="HP124" s="171"/>
      <c r="HQ124" s="171"/>
      <c r="HR124" s="171"/>
      <c r="HS124" s="171"/>
      <c r="HT124" s="171"/>
      <c r="HU124" s="171"/>
      <c r="HV124" s="171"/>
      <c r="HW124" s="171"/>
      <c r="HX124" s="171"/>
      <c r="HY124" s="171"/>
      <c r="HZ124" s="171"/>
      <c r="IA124" s="171"/>
      <c r="IB124" s="171"/>
      <c r="IC124" s="171"/>
      <c r="ID124" s="171"/>
      <c r="IE124" s="171"/>
      <c r="IF124" s="171"/>
      <c r="IG124" s="171"/>
      <c r="IH124" s="171"/>
      <c r="II124" s="171"/>
      <c r="IJ124" s="171"/>
      <c r="IK124" s="171"/>
      <c r="IL124" s="171"/>
      <c r="IM124" s="171"/>
      <c r="IN124" s="171"/>
      <c r="IO124" s="171"/>
      <c r="IP124" s="171"/>
      <c r="IQ124" s="171"/>
      <c r="IR124" s="171"/>
      <c r="IS124" s="171"/>
      <c r="IT124" s="171"/>
      <c r="IU124" s="171"/>
      <c r="IV124" s="171"/>
      <c r="IW124" s="171"/>
    </row>
    <row r="125" customFormat="false" ht="12.75" hidden="false" customHeight="false" outlineLevel="0" collapsed="false">
      <c r="A125" s="84"/>
      <c r="B125" s="92"/>
      <c r="C125" s="79"/>
      <c r="D125" s="167"/>
      <c r="E125" s="156"/>
      <c r="F125" s="167"/>
      <c r="G125" s="167"/>
      <c r="H125" s="167"/>
      <c r="I125" s="167"/>
      <c r="J125" s="155"/>
      <c r="K125" s="155"/>
      <c r="L125" s="155"/>
      <c r="M125" s="155"/>
      <c r="N125" s="155"/>
      <c r="O125" s="155"/>
      <c r="P125" s="169"/>
      <c r="Q125" s="159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4"/>
      <c r="AB125" s="152"/>
      <c r="AC125" s="152"/>
      <c r="AD125" s="152"/>
      <c r="AE125" s="157"/>
      <c r="AF125" s="141"/>
      <c r="AG125" s="152" t="n">
        <f aca="false">AA125+R125</f>
        <v>0</v>
      </c>
      <c r="AH125" s="152"/>
      <c r="AI125" s="141"/>
      <c r="AJ125" s="141"/>
      <c r="AK125" s="141"/>
      <c r="AL125" s="141"/>
      <c r="AM125" s="141"/>
      <c r="AN125" s="162"/>
      <c r="AO125" s="162"/>
      <c r="AP125" s="162"/>
      <c r="AQ125" s="158"/>
      <c r="AR125" s="162"/>
      <c r="AS125" s="163"/>
      <c r="AT125" s="163"/>
      <c r="AU125" s="162"/>
      <c r="AV125" s="163"/>
      <c r="AW125" s="162"/>
      <c r="AX125" s="163"/>
      <c r="AY125" s="162"/>
      <c r="AZ125" s="163"/>
      <c r="BA125" s="162"/>
      <c r="BB125" s="163"/>
      <c r="BC125" s="162"/>
      <c r="BD125" s="163"/>
      <c r="BE125" s="162"/>
      <c r="BF125" s="164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5"/>
      <c r="BZ125" s="105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5"/>
      <c r="CM125" s="105"/>
      <c r="CN125" s="105"/>
      <c r="CO125" s="105"/>
      <c r="CP125" s="105"/>
      <c r="CQ125" s="105"/>
      <c r="CR125" s="105"/>
      <c r="CS125" s="105"/>
      <c r="CT125" s="105"/>
      <c r="CU125" s="105"/>
      <c r="CV125" s="105"/>
      <c r="CW125" s="105"/>
      <c r="CX125" s="105"/>
      <c r="CY125" s="105"/>
      <c r="CZ125" s="105"/>
      <c r="DA125" s="105"/>
      <c r="DB125" s="105"/>
      <c r="DC125" s="105"/>
      <c r="DD125" s="105"/>
      <c r="DE125" s="105"/>
      <c r="DF125" s="105"/>
      <c r="DG125" s="105"/>
      <c r="DH125" s="105"/>
      <c r="DI125" s="105"/>
      <c r="DJ125" s="105"/>
      <c r="DK125" s="105"/>
      <c r="DL125" s="105"/>
      <c r="DM125" s="105"/>
      <c r="DN125" s="105"/>
      <c r="DO125" s="105"/>
      <c r="DP125" s="105"/>
      <c r="DQ125" s="105"/>
      <c r="DR125" s="105"/>
      <c r="DS125" s="105"/>
      <c r="DT125" s="105"/>
      <c r="DU125" s="105"/>
      <c r="DV125" s="105"/>
      <c r="DW125" s="105"/>
      <c r="DX125" s="105"/>
      <c r="DY125" s="105"/>
      <c r="DZ125" s="105"/>
      <c r="EA125" s="105"/>
      <c r="EB125" s="105"/>
      <c r="EC125" s="105"/>
      <c r="ED125" s="105"/>
      <c r="EE125" s="105"/>
      <c r="EF125" s="105"/>
      <c r="EG125" s="105"/>
      <c r="EH125" s="105"/>
      <c r="EI125" s="105"/>
      <c r="EJ125" s="105"/>
      <c r="EK125" s="105"/>
      <c r="EL125" s="105"/>
      <c r="EM125" s="105"/>
      <c r="EN125" s="105"/>
      <c r="EO125" s="105"/>
      <c r="EP125" s="105"/>
      <c r="EQ125" s="105"/>
      <c r="ER125" s="105"/>
      <c r="ES125" s="105"/>
      <c r="ET125" s="105"/>
      <c r="EU125" s="105"/>
      <c r="EV125" s="105"/>
      <c r="EW125" s="105"/>
      <c r="EX125" s="105"/>
      <c r="EY125" s="105"/>
      <c r="EZ125" s="105"/>
      <c r="FA125" s="105"/>
      <c r="FB125" s="105"/>
      <c r="FC125" s="105"/>
      <c r="FD125" s="105"/>
      <c r="FE125" s="105"/>
      <c r="FF125" s="105"/>
      <c r="FG125" s="105"/>
      <c r="FH125" s="105"/>
      <c r="FI125" s="105"/>
      <c r="FJ125" s="105"/>
      <c r="FK125" s="105"/>
      <c r="FL125" s="105"/>
      <c r="FM125" s="105"/>
      <c r="FN125" s="105"/>
      <c r="FO125" s="105"/>
      <c r="FP125" s="105"/>
      <c r="FQ125" s="105"/>
      <c r="FR125" s="105"/>
      <c r="FS125" s="105"/>
      <c r="FT125" s="105"/>
      <c r="FU125" s="105"/>
      <c r="FV125" s="105"/>
      <c r="FW125" s="105"/>
      <c r="FX125" s="105"/>
      <c r="FY125" s="105"/>
      <c r="FZ125" s="105"/>
      <c r="GA125" s="105"/>
      <c r="GB125" s="105"/>
      <c r="GC125" s="105"/>
      <c r="GD125" s="105"/>
      <c r="GE125" s="105"/>
      <c r="GF125" s="105"/>
      <c r="GG125" s="105"/>
      <c r="GH125" s="105"/>
      <c r="GI125" s="105"/>
      <c r="GJ125" s="105"/>
      <c r="GK125" s="105"/>
      <c r="GL125" s="105"/>
      <c r="GM125" s="105"/>
      <c r="GN125" s="105"/>
      <c r="GO125" s="105"/>
      <c r="GP125" s="105"/>
      <c r="GQ125" s="105"/>
      <c r="GR125" s="105"/>
      <c r="GS125" s="105"/>
      <c r="GT125" s="105"/>
      <c r="GU125" s="105"/>
      <c r="GV125" s="105"/>
      <c r="GW125" s="105"/>
      <c r="GX125" s="105"/>
      <c r="GY125" s="105"/>
      <c r="GZ125" s="105"/>
      <c r="HA125" s="105"/>
      <c r="HB125" s="105"/>
      <c r="HC125" s="105"/>
      <c r="HD125" s="105"/>
      <c r="HE125" s="105"/>
      <c r="HF125" s="105"/>
      <c r="HG125" s="105"/>
      <c r="HH125" s="105"/>
      <c r="HI125" s="105"/>
      <c r="HJ125" s="105"/>
      <c r="HK125" s="105"/>
      <c r="HL125" s="105"/>
      <c r="HM125" s="105"/>
      <c r="HN125" s="105"/>
      <c r="HO125" s="105"/>
      <c r="HP125" s="105"/>
      <c r="HQ125" s="105"/>
      <c r="HR125" s="105"/>
      <c r="HS125" s="105"/>
      <c r="HT125" s="105"/>
      <c r="HU125" s="105"/>
      <c r="HV125" s="105"/>
      <c r="HW125" s="105"/>
      <c r="HX125" s="105"/>
      <c r="HY125" s="105"/>
      <c r="HZ125" s="105"/>
      <c r="IA125" s="105"/>
      <c r="IB125" s="105"/>
      <c r="IC125" s="105"/>
      <c r="ID125" s="105"/>
      <c r="IE125" s="105"/>
      <c r="IF125" s="105"/>
      <c r="IG125" s="105"/>
      <c r="IH125" s="105"/>
      <c r="II125" s="105"/>
      <c r="IJ125" s="105"/>
      <c r="IK125" s="105"/>
      <c r="IL125" s="105"/>
      <c r="IM125" s="105"/>
      <c r="IN125" s="105"/>
      <c r="IO125" s="105"/>
      <c r="IP125" s="105"/>
      <c r="IQ125" s="105"/>
      <c r="IR125" s="105"/>
      <c r="IS125" s="105"/>
      <c r="IT125" s="105"/>
      <c r="IU125" s="105"/>
      <c r="IV125" s="105"/>
      <c r="IW125" s="105"/>
    </row>
    <row r="126" customFormat="false" ht="12.75" hidden="false" customHeight="false" outlineLevel="0" collapsed="false">
      <c r="A126" s="84"/>
      <c r="B126" s="92" t="s">
        <v>352</v>
      </c>
      <c r="C126" s="79" t="s">
        <v>236</v>
      </c>
      <c r="D126" s="167" t="n">
        <v>744345.609741121</v>
      </c>
      <c r="E126" s="156" t="n">
        <v>0</v>
      </c>
      <c r="F126" s="167"/>
      <c r="G126" s="167" t="n">
        <v>365156.0752</v>
      </c>
      <c r="H126" s="167" t="n">
        <v>374757.347634689</v>
      </c>
      <c r="I126" s="167" t="n">
        <v>43911.1736</v>
      </c>
      <c r="J126" s="155"/>
      <c r="K126" s="168"/>
      <c r="L126" s="168"/>
      <c r="M126" s="168"/>
      <c r="N126" s="168"/>
      <c r="O126" s="155" t="n">
        <f aca="false">SUM(E126:N126)</f>
        <v>783824.596434689</v>
      </c>
      <c r="P126" s="169" t="n">
        <f aca="false">ROUND(O126-D126,0)</f>
        <v>39479</v>
      </c>
      <c r="Q126" s="159" t="n">
        <v>231111440</v>
      </c>
      <c r="R126" s="152" t="n">
        <f aca="false">D126/$Q126*100</f>
        <v>0.322072161266063</v>
      </c>
      <c r="S126" s="152" t="n">
        <f aca="false">E126/$Q126*100</f>
        <v>0</v>
      </c>
      <c r="T126" s="152" t="n">
        <f aca="false">F126/$Q126*100</f>
        <v>0</v>
      </c>
      <c r="U126" s="152" t="n">
        <f aca="false">G126/$Q126*100</f>
        <v>0.158</v>
      </c>
      <c r="V126" s="152" t="n">
        <f aca="false">H126/$Q126*100</f>
        <v>0.16215439081453</v>
      </c>
      <c r="W126" s="152" t="n">
        <f aca="false">I126/$Q126*100</f>
        <v>0.019</v>
      </c>
      <c r="X126" s="152" t="n">
        <f aca="false">J126/$Q126*100</f>
        <v>0</v>
      </c>
      <c r="Y126" s="152" t="n">
        <f aca="false">K126/$Q126*100</f>
        <v>0</v>
      </c>
      <c r="Z126" s="152" t="n">
        <f aca="false">L126/$Q126*100</f>
        <v>0</v>
      </c>
      <c r="AA126" s="154" t="n">
        <f aca="false">M126/$Q126*100</f>
        <v>0</v>
      </c>
      <c r="AB126" s="152" t="n">
        <f aca="false">N126/$Q126*100</f>
        <v>0</v>
      </c>
      <c r="AC126" s="152" t="n">
        <f aca="false">O126/$Q126*100</f>
        <v>0.33915439081453</v>
      </c>
      <c r="AD126" s="152"/>
      <c r="AE126" s="157"/>
      <c r="AF126" s="141" t="n">
        <f aca="false">(AC126-AG126)/AG126</f>
        <v>0.0530385162173511</v>
      </c>
      <c r="AG126" s="152" t="n">
        <f aca="false">AA126+R126</f>
        <v>0.322072161266063</v>
      </c>
      <c r="AH126" s="152"/>
      <c r="AI126" s="141"/>
      <c r="AJ126" s="141"/>
      <c r="AK126" s="141"/>
      <c r="AL126" s="141"/>
      <c r="AM126" s="141"/>
      <c r="AN126" s="162"/>
      <c r="AO126" s="162"/>
      <c r="AP126" s="162"/>
      <c r="AQ126" s="158"/>
      <c r="AR126" s="162"/>
      <c r="AS126" s="163"/>
      <c r="AT126" s="163"/>
      <c r="AU126" s="162"/>
      <c r="AV126" s="163"/>
      <c r="AW126" s="162"/>
      <c r="AX126" s="163"/>
      <c r="AY126" s="162"/>
      <c r="AZ126" s="163"/>
      <c r="BA126" s="162"/>
      <c r="BB126" s="163"/>
      <c r="BC126" s="162"/>
      <c r="BD126" s="163"/>
      <c r="BE126" s="162"/>
      <c r="BF126" s="164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5"/>
      <c r="BZ126" s="105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5"/>
      <c r="CM126" s="105"/>
      <c r="CN126" s="105"/>
      <c r="CO126" s="105"/>
      <c r="CP126" s="105"/>
      <c r="CQ126" s="105"/>
      <c r="CR126" s="105"/>
      <c r="CS126" s="105"/>
      <c r="CT126" s="105"/>
      <c r="CU126" s="105"/>
      <c r="CV126" s="105"/>
      <c r="CW126" s="105"/>
      <c r="CX126" s="105"/>
      <c r="CY126" s="105"/>
      <c r="CZ126" s="105"/>
      <c r="DA126" s="105"/>
      <c r="DB126" s="105"/>
      <c r="DC126" s="105"/>
      <c r="DD126" s="105"/>
      <c r="DE126" s="105"/>
      <c r="DF126" s="105"/>
      <c r="DG126" s="105"/>
      <c r="DH126" s="105"/>
      <c r="DI126" s="105"/>
      <c r="DJ126" s="105"/>
      <c r="DK126" s="105"/>
      <c r="DL126" s="105"/>
      <c r="DM126" s="105"/>
      <c r="DN126" s="105"/>
      <c r="DO126" s="105"/>
      <c r="DP126" s="105"/>
      <c r="DQ126" s="105"/>
      <c r="DR126" s="105"/>
      <c r="DS126" s="105"/>
      <c r="DT126" s="105"/>
      <c r="DU126" s="105"/>
      <c r="DV126" s="105"/>
      <c r="DW126" s="105"/>
      <c r="DX126" s="105"/>
      <c r="DY126" s="105"/>
      <c r="DZ126" s="105"/>
      <c r="EA126" s="105"/>
      <c r="EB126" s="105"/>
      <c r="EC126" s="105"/>
      <c r="ED126" s="105"/>
      <c r="EE126" s="105"/>
      <c r="EF126" s="105"/>
      <c r="EG126" s="105"/>
      <c r="EH126" s="105"/>
      <c r="EI126" s="105"/>
      <c r="EJ126" s="105"/>
      <c r="EK126" s="105"/>
      <c r="EL126" s="105"/>
      <c r="EM126" s="105"/>
      <c r="EN126" s="105"/>
      <c r="EO126" s="105"/>
      <c r="EP126" s="105"/>
      <c r="EQ126" s="105"/>
      <c r="ER126" s="105"/>
      <c r="ES126" s="105"/>
      <c r="ET126" s="105"/>
      <c r="EU126" s="105"/>
      <c r="EV126" s="105"/>
      <c r="EW126" s="105"/>
      <c r="EX126" s="105"/>
      <c r="EY126" s="105"/>
      <c r="EZ126" s="105"/>
      <c r="FA126" s="105"/>
      <c r="FB126" s="105"/>
      <c r="FC126" s="105"/>
      <c r="FD126" s="105"/>
      <c r="FE126" s="105"/>
      <c r="FF126" s="105"/>
      <c r="FG126" s="105"/>
      <c r="FH126" s="105"/>
      <c r="FI126" s="105"/>
      <c r="FJ126" s="105"/>
      <c r="FK126" s="105"/>
      <c r="FL126" s="105"/>
      <c r="FM126" s="105"/>
      <c r="FN126" s="105"/>
      <c r="FO126" s="105"/>
      <c r="FP126" s="105"/>
      <c r="FQ126" s="105"/>
      <c r="FR126" s="105"/>
      <c r="FS126" s="105"/>
      <c r="FT126" s="105"/>
      <c r="FU126" s="105"/>
      <c r="FV126" s="105"/>
      <c r="FW126" s="105"/>
      <c r="FX126" s="105"/>
      <c r="FY126" s="105"/>
      <c r="FZ126" s="105"/>
      <c r="GA126" s="105"/>
      <c r="GB126" s="105"/>
      <c r="GC126" s="105"/>
      <c r="GD126" s="105"/>
      <c r="GE126" s="105"/>
      <c r="GF126" s="105"/>
      <c r="GG126" s="105"/>
      <c r="GH126" s="105"/>
      <c r="GI126" s="105"/>
      <c r="GJ126" s="105"/>
      <c r="GK126" s="105"/>
      <c r="GL126" s="105"/>
      <c r="GM126" s="105"/>
      <c r="GN126" s="105"/>
      <c r="GO126" s="105"/>
      <c r="GP126" s="105"/>
      <c r="GQ126" s="105"/>
      <c r="GR126" s="105"/>
      <c r="GS126" s="105"/>
      <c r="GT126" s="105"/>
      <c r="GU126" s="105"/>
      <c r="GV126" s="105"/>
      <c r="GW126" s="105"/>
      <c r="GX126" s="105"/>
      <c r="GY126" s="105"/>
      <c r="GZ126" s="105"/>
      <c r="HA126" s="105"/>
      <c r="HB126" s="105"/>
      <c r="HC126" s="105"/>
      <c r="HD126" s="105"/>
      <c r="HE126" s="105"/>
      <c r="HF126" s="105"/>
      <c r="HG126" s="105"/>
      <c r="HH126" s="105"/>
      <c r="HI126" s="105"/>
      <c r="HJ126" s="105"/>
      <c r="HK126" s="105"/>
      <c r="HL126" s="105"/>
      <c r="HM126" s="105"/>
      <c r="HN126" s="105"/>
      <c r="HO126" s="105"/>
      <c r="HP126" s="105"/>
      <c r="HQ126" s="105"/>
      <c r="HR126" s="105"/>
      <c r="HS126" s="105"/>
      <c r="HT126" s="105"/>
      <c r="HU126" s="105"/>
      <c r="HV126" s="105"/>
      <c r="HW126" s="105"/>
      <c r="HX126" s="105"/>
      <c r="HY126" s="105"/>
      <c r="HZ126" s="105"/>
      <c r="IA126" s="105"/>
      <c r="IB126" s="105"/>
      <c r="IC126" s="105"/>
      <c r="ID126" s="105"/>
      <c r="IE126" s="105"/>
      <c r="IF126" s="105"/>
      <c r="IG126" s="105"/>
      <c r="IH126" s="105"/>
      <c r="II126" s="105"/>
      <c r="IJ126" s="105"/>
      <c r="IK126" s="105"/>
      <c r="IL126" s="105"/>
      <c r="IM126" s="105"/>
      <c r="IN126" s="105"/>
      <c r="IO126" s="105"/>
      <c r="IP126" s="105"/>
      <c r="IQ126" s="105"/>
      <c r="IR126" s="105"/>
      <c r="IS126" s="105"/>
      <c r="IT126" s="105"/>
      <c r="IU126" s="105"/>
      <c r="IV126" s="105"/>
      <c r="IW126" s="105"/>
    </row>
    <row r="127" customFormat="false" ht="12.75" hidden="false" customHeight="false" outlineLevel="0" collapsed="false">
      <c r="A127" s="84"/>
      <c r="B127" s="92"/>
      <c r="C127" s="79" t="s">
        <v>231</v>
      </c>
      <c r="D127" s="174" t="n">
        <v>1288090.05922146</v>
      </c>
      <c r="E127" s="189" t="n">
        <v>0</v>
      </c>
      <c r="F127" s="174"/>
      <c r="G127" s="174" t="n">
        <v>172591.1712</v>
      </c>
      <c r="H127" s="174" t="n">
        <v>1128328.20304047</v>
      </c>
      <c r="I127" s="174" t="n">
        <v>23970.996</v>
      </c>
      <c r="J127" s="175"/>
      <c r="K127" s="176"/>
      <c r="L127" s="176"/>
      <c r="M127" s="176"/>
      <c r="N127" s="176"/>
      <c r="O127" s="155" t="n">
        <f aca="false">SUM(E127:N127)</f>
        <v>1324890.37024047</v>
      </c>
      <c r="P127" s="169" t="n">
        <f aca="false">ROUND(O127-D127,0)</f>
        <v>36800</v>
      </c>
      <c r="Q127" s="185" t="n">
        <v>68478560</v>
      </c>
      <c r="R127" s="178" t="n">
        <f aca="false">D127/$Q127*100</f>
        <v>1.88101218720349</v>
      </c>
      <c r="S127" s="178" t="n">
        <f aca="false">E127/$Q127*100</f>
        <v>0</v>
      </c>
      <c r="T127" s="178" t="n">
        <f aca="false">F127/$Q127*100</f>
        <v>0</v>
      </c>
      <c r="U127" s="178" t="n">
        <f aca="false">G127/$Q127*100</f>
        <v>0.252036799839249</v>
      </c>
      <c r="V127" s="178" t="n">
        <f aca="false">H127/$Q127*100</f>
        <v>1.6477101782521</v>
      </c>
      <c r="W127" s="178" t="n">
        <f aca="false">I127/$Q127*100</f>
        <v>0.0350051110887846</v>
      </c>
      <c r="X127" s="178" t="n">
        <f aca="false">J127/$Q127*100</f>
        <v>0</v>
      </c>
      <c r="Y127" s="178" t="n">
        <f aca="false">K127/$Q127*100</f>
        <v>0</v>
      </c>
      <c r="Z127" s="178" t="n">
        <f aca="false">L127/$Q127*100</f>
        <v>0</v>
      </c>
      <c r="AA127" s="150" t="n">
        <f aca="false">M127/$Q127*100</f>
        <v>0</v>
      </c>
      <c r="AB127" s="178" t="n">
        <f aca="false">N127/$Q127*100</f>
        <v>0</v>
      </c>
      <c r="AC127" s="178" t="n">
        <f aca="false">O127/$Q127*100</f>
        <v>1.93475208918013</v>
      </c>
      <c r="AD127" s="178"/>
      <c r="AE127" s="157"/>
      <c r="AF127" s="151" t="n">
        <f aca="false">(AC127-AG127)/AG127</f>
        <v>0.0285696724041609</v>
      </c>
      <c r="AG127" s="152" t="n">
        <f aca="false">AA127+R127</f>
        <v>1.88101218720349</v>
      </c>
      <c r="AH127" s="178"/>
      <c r="AI127" s="151"/>
      <c r="AJ127" s="151"/>
      <c r="AK127" s="151"/>
      <c r="AL127" s="151"/>
      <c r="AM127" s="151"/>
      <c r="AN127" s="179"/>
      <c r="AO127" s="179"/>
      <c r="AP127" s="179"/>
      <c r="AQ127" s="180"/>
      <c r="AR127" s="179"/>
      <c r="AS127" s="163"/>
      <c r="AT127" s="163"/>
      <c r="AU127" s="162"/>
      <c r="AV127" s="163"/>
      <c r="AW127" s="162"/>
      <c r="AX127" s="163"/>
      <c r="AY127" s="162"/>
      <c r="AZ127" s="163"/>
      <c r="BA127" s="162"/>
      <c r="BB127" s="163"/>
      <c r="BC127" s="162"/>
      <c r="BD127" s="163"/>
      <c r="BE127" s="162"/>
      <c r="BF127" s="164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5"/>
      <c r="BZ127" s="105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5"/>
      <c r="CM127" s="105"/>
      <c r="CN127" s="105"/>
      <c r="CO127" s="105"/>
      <c r="CP127" s="105"/>
      <c r="CQ127" s="105"/>
      <c r="CR127" s="105"/>
      <c r="CS127" s="105"/>
      <c r="CT127" s="105"/>
      <c r="CU127" s="105"/>
      <c r="CV127" s="105"/>
      <c r="CW127" s="105"/>
      <c r="CX127" s="105"/>
      <c r="CY127" s="105"/>
      <c r="CZ127" s="105"/>
      <c r="DA127" s="105"/>
      <c r="DB127" s="105"/>
      <c r="DC127" s="105"/>
      <c r="DD127" s="105"/>
      <c r="DE127" s="105"/>
      <c r="DF127" s="105"/>
      <c r="DG127" s="105"/>
      <c r="DH127" s="105"/>
      <c r="DI127" s="105"/>
      <c r="DJ127" s="105"/>
      <c r="DK127" s="105"/>
      <c r="DL127" s="105"/>
      <c r="DM127" s="105"/>
      <c r="DN127" s="105"/>
      <c r="DO127" s="105"/>
      <c r="DP127" s="105"/>
      <c r="DQ127" s="105"/>
      <c r="DR127" s="105"/>
      <c r="DS127" s="105"/>
      <c r="DT127" s="105"/>
      <c r="DU127" s="105"/>
      <c r="DV127" s="105"/>
      <c r="DW127" s="105"/>
      <c r="DX127" s="105"/>
      <c r="DY127" s="105"/>
      <c r="DZ127" s="105"/>
      <c r="EA127" s="105"/>
      <c r="EB127" s="105"/>
      <c r="EC127" s="105"/>
      <c r="ED127" s="105"/>
      <c r="EE127" s="105"/>
      <c r="EF127" s="105"/>
      <c r="EG127" s="105"/>
      <c r="EH127" s="105"/>
      <c r="EI127" s="105"/>
      <c r="EJ127" s="105"/>
      <c r="EK127" s="105"/>
      <c r="EL127" s="105"/>
      <c r="EM127" s="105"/>
      <c r="EN127" s="105"/>
      <c r="EO127" s="105"/>
      <c r="EP127" s="105"/>
      <c r="EQ127" s="105"/>
      <c r="ER127" s="105"/>
      <c r="ES127" s="105"/>
      <c r="ET127" s="105"/>
      <c r="EU127" s="105"/>
      <c r="EV127" s="105"/>
      <c r="EW127" s="105"/>
      <c r="EX127" s="105"/>
      <c r="EY127" s="105"/>
      <c r="EZ127" s="105"/>
      <c r="FA127" s="105"/>
      <c r="FB127" s="105"/>
      <c r="FC127" s="105"/>
      <c r="FD127" s="105"/>
      <c r="FE127" s="105"/>
      <c r="FF127" s="105"/>
      <c r="FG127" s="105"/>
      <c r="FH127" s="105"/>
      <c r="FI127" s="105"/>
      <c r="FJ127" s="105"/>
      <c r="FK127" s="105"/>
      <c r="FL127" s="105"/>
      <c r="FM127" s="105"/>
      <c r="FN127" s="105"/>
      <c r="FO127" s="105"/>
      <c r="FP127" s="105"/>
      <c r="FQ127" s="105"/>
      <c r="FR127" s="105"/>
      <c r="FS127" s="105"/>
      <c r="FT127" s="105"/>
      <c r="FU127" s="105"/>
      <c r="FV127" s="105"/>
      <c r="FW127" s="105"/>
      <c r="FX127" s="105"/>
      <c r="FY127" s="105"/>
      <c r="FZ127" s="105"/>
      <c r="GA127" s="105"/>
      <c r="GB127" s="105"/>
      <c r="GC127" s="105"/>
      <c r="GD127" s="105"/>
      <c r="GE127" s="105"/>
      <c r="GF127" s="105"/>
      <c r="GG127" s="105"/>
      <c r="GH127" s="105"/>
      <c r="GI127" s="105"/>
      <c r="GJ127" s="105"/>
      <c r="GK127" s="105"/>
      <c r="GL127" s="105"/>
      <c r="GM127" s="105"/>
      <c r="GN127" s="105"/>
      <c r="GO127" s="105"/>
      <c r="GP127" s="105"/>
      <c r="GQ127" s="105"/>
      <c r="GR127" s="105"/>
      <c r="GS127" s="105"/>
      <c r="GT127" s="105"/>
      <c r="GU127" s="105"/>
      <c r="GV127" s="105"/>
      <c r="GW127" s="105"/>
      <c r="GX127" s="105"/>
      <c r="GY127" s="105"/>
      <c r="GZ127" s="105"/>
      <c r="HA127" s="105"/>
      <c r="HB127" s="105"/>
      <c r="HC127" s="105"/>
      <c r="HD127" s="105"/>
      <c r="HE127" s="105"/>
      <c r="HF127" s="105"/>
      <c r="HG127" s="105"/>
      <c r="HH127" s="105"/>
      <c r="HI127" s="105"/>
      <c r="HJ127" s="105"/>
      <c r="HK127" s="105"/>
      <c r="HL127" s="105"/>
      <c r="HM127" s="105"/>
      <c r="HN127" s="105"/>
      <c r="HO127" s="105"/>
      <c r="HP127" s="105"/>
      <c r="HQ127" s="105"/>
      <c r="HR127" s="105"/>
      <c r="HS127" s="105"/>
      <c r="HT127" s="105"/>
      <c r="HU127" s="105"/>
      <c r="HV127" s="105"/>
      <c r="HW127" s="105"/>
      <c r="HX127" s="105"/>
      <c r="HY127" s="105"/>
      <c r="HZ127" s="105"/>
      <c r="IA127" s="105"/>
      <c r="IB127" s="105"/>
      <c r="IC127" s="105"/>
      <c r="ID127" s="105"/>
      <c r="IE127" s="105"/>
      <c r="IF127" s="105"/>
      <c r="IG127" s="105"/>
      <c r="IH127" s="105"/>
      <c r="II127" s="105"/>
      <c r="IJ127" s="105"/>
      <c r="IK127" s="105"/>
      <c r="IL127" s="105"/>
      <c r="IM127" s="105"/>
      <c r="IN127" s="105"/>
      <c r="IO127" s="105"/>
      <c r="IP127" s="105"/>
      <c r="IQ127" s="105"/>
      <c r="IR127" s="105"/>
      <c r="IS127" s="105"/>
      <c r="IT127" s="105"/>
      <c r="IU127" s="105"/>
      <c r="IV127" s="105"/>
      <c r="IW127" s="105"/>
    </row>
    <row r="128" customFormat="false" ht="12.75" hidden="false" customHeight="false" outlineLevel="0" collapsed="false">
      <c r="A128" s="84"/>
      <c r="B128" s="100" t="s">
        <v>353</v>
      </c>
      <c r="C128" s="84"/>
      <c r="D128" s="155" t="n">
        <v>2032435.66896258</v>
      </c>
      <c r="E128" s="156" t="n">
        <v>0</v>
      </c>
      <c r="F128" s="155"/>
      <c r="G128" s="155" t="n">
        <f aca="false">SUM(G126:G127)</f>
        <v>537747.2464</v>
      </c>
      <c r="H128" s="155" t="n">
        <f aca="false">SUM(H126:H127)</f>
        <v>1503085.55067516</v>
      </c>
      <c r="I128" s="155" t="n">
        <f aca="false">SUM(I126:I127)</f>
        <v>67882.1696</v>
      </c>
      <c r="J128" s="155"/>
      <c r="K128" s="155"/>
      <c r="L128" s="155"/>
      <c r="M128" s="155"/>
      <c r="N128" s="155"/>
      <c r="O128" s="155" t="n">
        <f aca="false">SUM(O126:O127)</f>
        <v>2108714.96667516</v>
      </c>
      <c r="P128" s="169" t="n">
        <f aca="false">ROUND(O128-D128,0)</f>
        <v>76279</v>
      </c>
      <c r="Q128" s="159" t="n">
        <v>299600000</v>
      </c>
      <c r="R128" s="152" t="n">
        <f aca="false">D128/$Q128*100</f>
        <v>0.678383067076962</v>
      </c>
      <c r="S128" s="152" t="n">
        <f aca="false">E128/$Q128*100</f>
        <v>0</v>
      </c>
      <c r="T128" s="152" t="n">
        <f aca="false">F128/$Q128*100</f>
        <v>0</v>
      </c>
      <c r="U128" s="152" t="n">
        <f aca="false">G128/$Q128*100</f>
        <v>0.1794884</v>
      </c>
      <c r="V128" s="152" t="n">
        <f aca="false">H128/$Q128*100</f>
        <v>0.501697446820814</v>
      </c>
      <c r="W128" s="152" t="n">
        <f aca="false">I128/$Q128*100</f>
        <v>0.0226576</v>
      </c>
      <c r="X128" s="152" t="n">
        <f aca="false">J128/$Q128*100</f>
        <v>0</v>
      </c>
      <c r="Y128" s="152" t="n">
        <f aca="false">K128/$Q128*100</f>
        <v>0</v>
      </c>
      <c r="Z128" s="152" t="n">
        <f aca="false">L128/$Q128*100</f>
        <v>0</v>
      </c>
      <c r="AA128" s="154" t="n">
        <f aca="false">M128/$Q128*100</f>
        <v>0</v>
      </c>
      <c r="AB128" s="152" t="n">
        <f aca="false">N128/$Q128*100</f>
        <v>0</v>
      </c>
      <c r="AC128" s="152" t="n">
        <f aca="false">O128/$Q128*100</f>
        <v>0.703843446820814</v>
      </c>
      <c r="AD128" s="152"/>
      <c r="AE128" s="157"/>
      <c r="AF128" s="141" t="n">
        <f aca="false">(AC128-AG128)/AG128</f>
        <v>0.0375309776724777</v>
      </c>
      <c r="AG128" s="152" t="n">
        <f aca="false">AA128+R128</f>
        <v>0.678383067076962</v>
      </c>
      <c r="AH128" s="152"/>
      <c r="AI128" s="141"/>
      <c r="AJ128" s="141"/>
      <c r="AK128" s="141"/>
      <c r="AL128" s="141"/>
      <c r="AM128" s="141"/>
      <c r="AN128" s="162"/>
      <c r="AO128" s="162"/>
      <c r="AP128" s="162"/>
      <c r="AQ128" s="158"/>
      <c r="AR128" s="162"/>
      <c r="AS128" s="163"/>
      <c r="AT128" s="163"/>
      <c r="AU128" s="162"/>
      <c r="AV128" s="163"/>
      <c r="AW128" s="162"/>
      <c r="AX128" s="163"/>
      <c r="AY128" s="162"/>
      <c r="AZ128" s="163"/>
      <c r="BA128" s="162"/>
      <c r="BB128" s="163"/>
      <c r="BC128" s="162"/>
      <c r="BD128" s="163"/>
      <c r="BE128" s="162"/>
      <c r="BF128" s="164"/>
      <c r="BG128" s="171"/>
      <c r="BH128" s="171"/>
      <c r="BI128" s="171"/>
      <c r="BJ128" s="171"/>
      <c r="BK128" s="171"/>
      <c r="BL128" s="171"/>
      <c r="BM128" s="171"/>
      <c r="BN128" s="171"/>
      <c r="BO128" s="171"/>
      <c r="BP128" s="171"/>
      <c r="BQ128" s="171"/>
      <c r="BR128" s="171"/>
      <c r="BS128" s="171"/>
      <c r="BT128" s="171"/>
      <c r="BU128" s="171"/>
      <c r="BV128" s="171"/>
      <c r="BW128" s="171"/>
      <c r="BX128" s="171"/>
      <c r="BY128" s="171"/>
      <c r="BZ128" s="171"/>
      <c r="CA128" s="171"/>
      <c r="CB128" s="171"/>
      <c r="CC128" s="171"/>
      <c r="CD128" s="171"/>
      <c r="CE128" s="171"/>
      <c r="CF128" s="171"/>
      <c r="CG128" s="171"/>
      <c r="CH128" s="171"/>
      <c r="CI128" s="171"/>
      <c r="CJ128" s="171"/>
      <c r="CK128" s="171"/>
      <c r="CL128" s="171"/>
      <c r="CM128" s="171"/>
      <c r="CN128" s="171"/>
      <c r="CO128" s="171"/>
      <c r="CP128" s="171"/>
      <c r="CQ128" s="171"/>
      <c r="CR128" s="171"/>
      <c r="CS128" s="171"/>
      <c r="CT128" s="171"/>
      <c r="CU128" s="171"/>
      <c r="CV128" s="171"/>
      <c r="CW128" s="171"/>
      <c r="CX128" s="171"/>
      <c r="CY128" s="171"/>
      <c r="CZ128" s="171"/>
      <c r="DA128" s="171"/>
      <c r="DB128" s="171"/>
      <c r="DC128" s="171"/>
      <c r="DD128" s="171"/>
      <c r="DE128" s="171"/>
      <c r="DF128" s="171"/>
      <c r="DG128" s="171"/>
      <c r="DH128" s="171"/>
      <c r="DI128" s="171"/>
      <c r="DJ128" s="171"/>
      <c r="DK128" s="171"/>
      <c r="DL128" s="171"/>
      <c r="DM128" s="171"/>
      <c r="DN128" s="171"/>
      <c r="DO128" s="171"/>
      <c r="DP128" s="171"/>
      <c r="DQ128" s="171"/>
      <c r="DR128" s="171"/>
      <c r="DS128" s="171"/>
      <c r="DT128" s="171"/>
      <c r="DU128" s="171"/>
      <c r="DV128" s="171"/>
      <c r="DW128" s="171"/>
      <c r="DX128" s="171"/>
      <c r="DY128" s="171"/>
      <c r="DZ128" s="171"/>
      <c r="EA128" s="171"/>
      <c r="EB128" s="171"/>
      <c r="EC128" s="171"/>
      <c r="ED128" s="171"/>
      <c r="EE128" s="171"/>
      <c r="EF128" s="171"/>
      <c r="EG128" s="171"/>
      <c r="EH128" s="171"/>
      <c r="EI128" s="171"/>
      <c r="EJ128" s="171"/>
      <c r="EK128" s="171"/>
      <c r="EL128" s="171"/>
      <c r="EM128" s="171"/>
      <c r="EN128" s="171"/>
      <c r="EO128" s="171"/>
      <c r="EP128" s="171"/>
      <c r="EQ128" s="171"/>
      <c r="ER128" s="171"/>
      <c r="ES128" s="171"/>
      <c r="ET128" s="171"/>
      <c r="EU128" s="171"/>
      <c r="EV128" s="171"/>
      <c r="EW128" s="171"/>
      <c r="EX128" s="171"/>
      <c r="EY128" s="171"/>
      <c r="EZ128" s="171"/>
      <c r="FA128" s="171"/>
      <c r="FB128" s="171"/>
      <c r="FC128" s="171"/>
      <c r="FD128" s="171"/>
      <c r="FE128" s="171"/>
      <c r="FF128" s="171"/>
      <c r="FG128" s="171"/>
      <c r="FH128" s="171"/>
      <c r="FI128" s="171"/>
      <c r="FJ128" s="171"/>
      <c r="FK128" s="171"/>
      <c r="FL128" s="171"/>
      <c r="FM128" s="171"/>
      <c r="FN128" s="171"/>
      <c r="FO128" s="171"/>
      <c r="FP128" s="171"/>
      <c r="FQ128" s="171"/>
      <c r="FR128" s="171"/>
      <c r="FS128" s="171"/>
      <c r="FT128" s="171"/>
      <c r="FU128" s="171"/>
      <c r="FV128" s="171"/>
      <c r="FW128" s="171"/>
      <c r="FX128" s="171"/>
      <c r="FY128" s="171"/>
      <c r="FZ128" s="171"/>
      <c r="GA128" s="171"/>
      <c r="GB128" s="171"/>
      <c r="GC128" s="171"/>
      <c r="GD128" s="171"/>
      <c r="GE128" s="171"/>
      <c r="GF128" s="171"/>
      <c r="GG128" s="171"/>
      <c r="GH128" s="171"/>
      <c r="GI128" s="171"/>
      <c r="GJ128" s="171"/>
      <c r="GK128" s="171"/>
      <c r="GL128" s="171"/>
      <c r="GM128" s="171"/>
      <c r="GN128" s="171"/>
      <c r="GO128" s="171"/>
      <c r="GP128" s="171"/>
      <c r="GQ128" s="171"/>
      <c r="GR128" s="171"/>
      <c r="GS128" s="171"/>
      <c r="GT128" s="171"/>
      <c r="GU128" s="171"/>
      <c r="GV128" s="171"/>
      <c r="GW128" s="171"/>
      <c r="GX128" s="171"/>
      <c r="GY128" s="171"/>
      <c r="GZ128" s="171"/>
      <c r="HA128" s="171"/>
      <c r="HB128" s="171"/>
      <c r="HC128" s="171"/>
      <c r="HD128" s="171"/>
      <c r="HE128" s="171"/>
      <c r="HF128" s="171"/>
      <c r="HG128" s="171"/>
      <c r="HH128" s="171"/>
      <c r="HI128" s="171"/>
      <c r="HJ128" s="171"/>
      <c r="HK128" s="171"/>
      <c r="HL128" s="171"/>
      <c r="HM128" s="171"/>
      <c r="HN128" s="171"/>
      <c r="HO128" s="171"/>
      <c r="HP128" s="171"/>
      <c r="HQ128" s="171"/>
      <c r="HR128" s="171"/>
      <c r="HS128" s="171"/>
      <c r="HT128" s="171"/>
      <c r="HU128" s="171"/>
      <c r="HV128" s="171"/>
      <c r="HW128" s="171"/>
      <c r="HX128" s="171"/>
      <c r="HY128" s="171"/>
      <c r="HZ128" s="171"/>
      <c r="IA128" s="171"/>
      <c r="IB128" s="171"/>
      <c r="IC128" s="171"/>
      <c r="ID128" s="171"/>
      <c r="IE128" s="171"/>
      <c r="IF128" s="171"/>
      <c r="IG128" s="171"/>
      <c r="IH128" s="171"/>
      <c r="II128" s="171"/>
      <c r="IJ128" s="171"/>
      <c r="IK128" s="171"/>
      <c r="IL128" s="171"/>
      <c r="IM128" s="171"/>
      <c r="IN128" s="171"/>
      <c r="IO128" s="171"/>
      <c r="IP128" s="171"/>
      <c r="IQ128" s="171"/>
      <c r="IR128" s="171"/>
      <c r="IS128" s="171"/>
      <c r="IT128" s="171"/>
      <c r="IU128" s="171"/>
      <c r="IV128" s="171"/>
      <c r="IW128" s="171"/>
    </row>
    <row r="129" customFormat="false" ht="10.5" hidden="false" customHeight="true" outlineLevel="0" collapsed="false">
      <c r="A129" s="106"/>
      <c r="B129" s="101"/>
      <c r="C129" s="102"/>
      <c r="D129" s="167"/>
      <c r="E129" s="156"/>
      <c r="F129" s="167"/>
      <c r="G129" s="167"/>
      <c r="H129" s="167"/>
      <c r="I129" s="167"/>
      <c r="J129" s="155"/>
      <c r="K129" s="190"/>
      <c r="L129" s="190"/>
      <c r="M129" s="190"/>
      <c r="N129" s="190"/>
      <c r="O129" s="190"/>
      <c r="P129" s="191"/>
      <c r="Q129" s="19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4"/>
      <c r="AB129" s="152"/>
      <c r="AC129" s="152"/>
      <c r="AD129" s="152"/>
      <c r="AE129" s="157"/>
      <c r="AF129" s="141"/>
      <c r="AG129" s="152" t="n">
        <f aca="false">AA129+R129</f>
        <v>0</v>
      </c>
      <c r="AH129" s="152"/>
      <c r="AI129" s="141"/>
      <c r="AJ129" s="141"/>
      <c r="AK129" s="141"/>
      <c r="AL129" s="141"/>
      <c r="AM129" s="141"/>
      <c r="AN129" s="162"/>
      <c r="AO129" s="162"/>
      <c r="AP129" s="162"/>
      <c r="AQ129" s="158"/>
      <c r="AR129" s="162"/>
      <c r="AS129" s="163"/>
      <c r="AT129" s="163"/>
      <c r="AU129" s="162"/>
      <c r="AV129" s="163"/>
      <c r="AW129" s="162"/>
      <c r="AX129" s="163"/>
      <c r="AY129" s="162"/>
      <c r="AZ129" s="163"/>
      <c r="BA129" s="162"/>
      <c r="BB129" s="163"/>
      <c r="BC129" s="162"/>
      <c r="BD129" s="163"/>
      <c r="BE129" s="162"/>
      <c r="BF129" s="164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105"/>
      <c r="CO129" s="105"/>
      <c r="CP129" s="105"/>
      <c r="CQ129" s="105"/>
      <c r="CR129" s="105"/>
      <c r="CS129" s="105"/>
      <c r="CT129" s="105"/>
      <c r="CU129" s="105"/>
      <c r="CV129" s="105"/>
      <c r="CW129" s="105"/>
      <c r="CX129" s="105"/>
      <c r="CY129" s="105"/>
      <c r="CZ129" s="105"/>
      <c r="DA129" s="105"/>
      <c r="DB129" s="105"/>
      <c r="DC129" s="105"/>
      <c r="DD129" s="105"/>
      <c r="DE129" s="105"/>
      <c r="DF129" s="105"/>
      <c r="DG129" s="105"/>
      <c r="DH129" s="105"/>
      <c r="DI129" s="105"/>
      <c r="DJ129" s="105"/>
      <c r="DK129" s="105"/>
      <c r="DL129" s="105"/>
      <c r="DM129" s="105"/>
      <c r="DN129" s="105"/>
      <c r="DO129" s="105"/>
      <c r="DP129" s="105"/>
      <c r="DQ129" s="105"/>
      <c r="DR129" s="105"/>
      <c r="DS129" s="105"/>
      <c r="DT129" s="105"/>
      <c r="DU129" s="105"/>
      <c r="DV129" s="105"/>
      <c r="DW129" s="105"/>
      <c r="DX129" s="105"/>
      <c r="DY129" s="105"/>
      <c r="DZ129" s="105"/>
      <c r="EA129" s="105"/>
      <c r="EB129" s="105"/>
      <c r="EC129" s="105"/>
      <c r="ED129" s="105"/>
      <c r="EE129" s="105"/>
      <c r="EF129" s="105"/>
      <c r="EG129" s="105"/>
      <c r="EH129" s="105"/>
      <c r="EI129" s="105"/>
      <c r="EJ129" s="105"/>
      <c r="EK129" s="105"/>
      <c r="EL129" s="105"/>
      <c r="EM129" s="105"/>
      <c r="EN129" s="105"/>
      <c r="EO129" s="105"/>
      <c r="EP129" s="105"/>
      <c r="EQ129" s="105"/>
      <c r="ER129" s="105"/>
      <c r="ES129" s="105"/>
      <c r="ET129" s="105"/>
      <c r="EU129" s="105"/>
      <c r="EV129" s="105"/>
      <c r="EW129" s="105"/>
      <c r="EX129" s="105"/>
      <c r="EY129" s="105"/>
      <c r="EZ129" s="105"/>
      <c r="FA129" s="105"/>
      <c r="FB129" s="105"/>
      <c r="FC129" s="105"/>
      <c r="FD129" s="105"/>
      <c r="FE129" s="105"/>
      <c r="FF129" s="105"/>
      <c r="FG129" s="105"/>
      <c r="FH129" s="105"/>
      <c r="FI129" s="105"/>
      <c r="FJ129" s="105"/>
      <c r="FK129" s="105"/>
      <c r="FL129" s="105"/>
      <c r="FM129" s="105"/>
      <c r="FN129" s="105"/>
      <c r="FO129" s="105"/>
      <c r="FP129" s="105"/>
      <c r="FQ129" s="105"/>
      <c r="FR129" s="105"/>
      <c r="FS129" s="105"/>
      <c r="FT129" s="105"/>
      <c r="FU129" s="105"/>
      <c r="FV129" s="105"/>
      <c r="FW129" s="105"/>
      <c r="FX129" s="105"/>
      <c r="FY129" s="105"/>
      <c r="FZ129" s="105"/>
      <c r="GA129" s="105"/>
      <c r="GB129" s="105"/>
      <c r="GC129" s="105"/>
      <c r="GD129" s="105"/>
      <c r="GE129" s="105"/>
      <c r="GF129" s="105"/>
      <c r="GG129" s="105"/>
      <c r="GH129" s="105"/>
      <c r="GI129" s="105"/>
      <c r="GJ129" s="105"/>
      <c r="GK129" s="105"/>
      <c r="GL129" s="105"/>
      <c r="GM129" s="105"/>
      <c r="GN129" s="105"/>
      <c r="GO129" s="105"/>
      <c r="GP129" s="105"/>
      <c r="GQ129" s="105"/>
      <c r="GR129" s="105"/>
      <c r="GS129" s="105"/>
      <c r="GT129" s="105"/>
      <c r="GU129" s="105"/>
      <c r="GV129" s="105"/>
      <c r="GW129" s="105"/>
      <c r="GX129" s="105"/>
      <c r="GY129" s="105"/>
      <c r="GZ129" s="105"/>
      <c r="HA129" s="105"/>
      <c r="HB129" s="105"/>
      <c r="HC129" s="105"/>
      <c r="HD129" s="105"/>
      <c r="HE129" s="105"/>
      <c r="HF129" s="105"/>
      <c r="HG129" s="105"/>
      <c r="HH129" s="105"/>
      <c r="HI129" s="105"/>
      <c r="HJ129" s="105"/>
      <c r="HK129" s="105"/>
      <c r="HL129" s="105"/>
      <c r="HM129" s="105"/>
      <c r="HN129" s="105"/>
      <c r="HO129" s="105"/>
      <c r="HP129" s="105"/>
      <c r="HQ129" s="105"/>
      <c r="HR129" s="105"/>
      <c r="HS129" s="105"/>
      <c r="HT129" s="105"/>
      <c r="HU129" s="105"/>
      <c r="HV129" s="105"/>
      <c r="HW129" s="105"/>
      <c r="HX129" s="105"/>
      <c r="HY129" s="105"/>
      <c r="HZ129" s="105"/>
      <c r="IA129" s="105"/>
      <c r="IB129" s="105"/>
      <c r="IC129" s="105"/>
      <c r="ID129" s="105"/>
      <c r="IE129" s="105"/>
      <c r="IF129" s="105"/>
      <c r="IG129" s="105"/>
      <c r="IH129" s="105"/>
      <c r="II129" s="105"/>
      <c r="IJ129" s="105"/>
      <c r="IK129" s="105"/>
      <c r="IL129" s="105"/>
      <c r="IM129" s="105"/>
      <c r="IN129" s="105"/>
      <c r="IO129" s="105"/>
      <c r="IP129" s="105"/>
      <c r="IQ129" s="105"/>
      <c r="IR129" s="105"/>
      <c r="IS129" s="105"/>
      <c r="IT129" s="105"/>
      <c r="IU129" s="105"/>
      <c r="IV129" s="105"/>
      <c r="IW129" s="105"/>
    </row>
    <row r="130" customFormat="false" ht="12.75" hidden="false" customHeight="false" outlineLevel="0" collapsed="false">
      <c r="A130" s="84"/>
      <c r="B130" s="103" t="s">
        <v>354</v>
      </c>
      <c r="C130" s="104"/>
      <c r="D130" s="193" t="n">
        <f aca="false">D13+D20+D25+D51+D53+D69+D90+D124</f>
        <v>7717960459.23845</v>
      </c>
      <c r="E130" s="193" t="n">
        <f aca="false">E13+E20+E25+E51+E53+E69+E90+E124</f>
        <v>395214478.276397</v>
      </c>
      <c r="F130" s="193" t="n">
        <f aca="false">F13+F20+F25+F51+F53+F69+F90+F124</f>
        <v>208076721.600674</v>
      </c>
      <c r="G130" s="193" t="n">
        <f aca="false">G13+G20+G25+G51+G53+G69+G90+G124</f>
        <v>241319418.599294</v>
      </c>
      <c r="H130" s="193" t="n">
        <f aca="false">H13+H20+H25+H51+H53+H69+H90+H124</f>
        <v>2192624682.22839</v>
      </c>
      <c r="I130" s="193" t="n">
        <f aca="false">I13+I20+I25+I51+I53+I69+I90+I124</f>
        <v>34313786.2428086</v>
      </c>
      <c r="J130" s="193" t="n">
        <f aca="false">J13+J20+J25+J51+J53+J69+J90+J124</f>
        <v>4262444341.79274</v>
      </c>
      <c r="K130" s="193" t="n">
        <f aca="false">K13+K20+K25+K51+K53+K69+K90+K124</f>
        <v>383967030.498144</v>
      </c>
      <c r="L130" s="193" t="n">
        <f aca="false">L13+L20+L25+L51+L53+L69+L90+L124</f>
        <v>0</v>
      </c>
      <c r="M130" s="193" t="n">
        <f aca="false">M13+M20+M25+M51+M53+M69+M90+M124</f>
        <v>799527593.376158</v>
      </c>
      <c r="N130" s="193" t="n">
        <f aca="false">N13+N20+N25+N51+N53+N69+N90+N124</f>
        <v>3059698072.6407</v>
      </c>
      <c r="O130" s="193" t="n">
        <f aca="false">O13+O20+O25+O51+O53+O69+O90+O124</f>
        <v>11577186135.2553</v>
      </c>
      <c r="P130" s="194" t="n">
        <f aca="false">(O130-D130)</f>
        <v>3859225676.01686</v>
      </c>
      <c r="Q130" s="195" t="n">
        <v>81990970927</v>
      </c>
      <c r="R130" s="152" t="n">
        <f aca="false">D130/$Q130*100</f>
        <v>9.41318339321786</v>
      </c>
      <c r="S130" s="152" t="n">
        <f aca="false">E130/$Q130*100</f>
        <v>0.482021951695477</v>
      </c>
      <c r="T130" s="152" t="n">
        <f aca="false">F130/$Q130*100</f>
        <v>0.253780043397624</v>
      </c>
      <c r="U130" s="152" t="n">
        <f aca="false">G130/$Q130*100</f>
        <v>0.294324382149531</v>
      </c>
      <c r="V130" s="152" t="n">
        <f aca="false">H130/$Q130*100</f>
        <v>2.67422700016637</v>
      </c>
      <c r="W130" s="152" t="n">
        <f aca="false">I130/$Q130*100</f>
        <v>0.0418506889903275</v>
      </c>
      <c r="X130" s="152" t="n">
        <f aca="false">J130/$Q130*100</f>
        <v>5.19867528534059</v>
      </c>
      <c r="Y130" s="152" t="n">
        <f aca="false">K130/$Q130*100</f>
        <v>0.46830404147794</v>
      </c>
      <c r="Z130" s="152" t="n">
        <f aca="false">L130/$Q130*100</f>
        <v>0</v>
      </c>
      <c r="AA130" s="154" t="n">
        <f aca="false">M130/$Q130*100</f>
        <v>0.975141023867141</v>
      </c>
      <c r="AB130" s="152" t="n">
        <f aca="false">N130/$Q130*100</f>
        <v>3.73175001838298</v>
      </c>
      <c r="AC130" s="152" t="n">
        <f aca="false">O130/$Q130*100</f>
        <v>14.1200744476644</v>
      </c>
      <c r="AD130" s="152"/>
      <c r="AE130" s="196"/>
      <c r="AF130" s="141" t="n">
        <f aca="false">(AC130-AG130)/AG130</f>
        <v>0.359225403515709</v>
      </c>
      <c r="AG130" s="152" t="n">
        <f aca="false">AA130+R130</f>
        <v>10.388324417085</v>
      </c>
      <c r="AH130" s="152"/>
      <c r="AI130" s="141"/>
      <c r="AJ130" s="141"/>
      <c r="AK130" s="141"/>
      <c r="AL130" s="141"/>
      <c r="AM130" s="141"/>
      <c r="AN130" s="162"/>
      <c r="AO130" s="162"/>
      <c r="AP130" s="162"/>
      <c r="AQ130" s="158"/>
      <c r="AR130" s="162"/>
      <c r="AS130" s="163"/>
      <c r="AT130" s="163"/>
      <c r="AU130" s="162"/>
      <c r="AV130" s="163"/>
      <c r="AW130" s="162"/>
      <c r="AX130" s="163"/>
      <c r="AY130" s="162"/>
      <c r="AZ130" s="163"/>
      <c r="BA130" s="162"/>
      <c r="BB130" s="163"/>
      <c r="BC130" s="162"/>
      <c r="BD130" s="163"/>
      <c r="BE130" s="162"/>
      <c r="BF130" s="164"/>
      <c r="BG130" s="171"/>
      <c r="BH130" s="171"/>
      <c r="BI130" s="171"/>
      <c r="BJ130" s="171"/>
      <c r="BK130" s="171"/>
      <c r="BL130" s="171"/>
      <c r="BM130" s="171"/>
      <c r="BN130" s="171"/>
      <c r="BO130" s="171"/>
      <c r="BP130" s="171"/>
      <c r="BQ130" s="171"/>
      <c r="BR130" s="171"/>
      <c r="BS130" s="171"/>
      <c r="BT130" s="171"/>
      <c r="BU130" s="171"/>
      <c r="BV130" s="171"/>
      <c r="BW130" s="171"/>
      <c r="BX130" s="171"/>
      <c r="BY130" s="171"/>
      <c r="BZ130" s="171"/>
      <c r="CA130" s="171"/>
      <c r="CB130" s="171"/>
      <c r="CC130" s="171"/>
      <c r="CD130" s="171"/>
      <c r="CE130" s="171"/>
      <c r="CF130" s="171"/>
      <c r="CG130" s="171"/>
      <c r="CH130" s="171"/>
      <c r="CI130" s="171"/>
      <c r="CJ130" s="171"/>
      <c r="CK130" s="171"/>
      <c r="CL130" s="171"/>
      <c r="CM130" s="171"/>
      <c r="CN130" s="171"/>
      <c r="CO130" s="171"/>
      <c r="CP130" s="171"/>
      <c r="CQ130" s="171"/>
      <c r="CR130" s="171"/>
      <c r="CS130" s="171"/>
      <c r="CT130" s="171"/>
      <c r="CU130" s="171"/>
      <c r="CV130" s="171"/>
      <c r="CW130" s="171"/>
      <c r="CX130" s="171"/>
      <c r="CY130" s="171"/>
      <c r="CZ130" s="171"/>
      <c r="DA130" s="171"/>
      <c r="DB130" s="171"/>
      <c r="DC130" s="171"/>
      <c r="DD130" s="171"/>
      <c r="DE130" s="171"/>
      <c r="DF130" s="171"/>
      <c r="DG130" s="171"/>
      <c r="DH130" s="171"/>
      <c r="DI130" s="171"/>
      <c r="DJ130" s="171"/>
      <c r="DK130" s="171"/>
      <c r="DL130" s="171"/>
      <c r="DM130" s="171"/>
      <c r="DN130" s="171"/>
      <c r="DO130" s="171"/>
      <c r="DP130" s="171"/>
      <c r="DQ130" s="171"/>
      <c r="DR130" s="171"/>
      <c r="DS130" s="171"/>
      <c r="DT130" s="171"/>
      <c r="DU130" s="171"/>
      <c r="DV130" s="171"/>
      <c r="DW130" s="171"/>
      <c r="DX130" s="171"/>
      <c r="DY130" s="171"/>
      <c r="DZ130" s="171"/>
      <c r="EA130" s="171"/>
      <c r="EB130" s="171"/>
      <c r="EC130" s="171"/>
      <c r="ED130" s="171"/>
      <c r="EE130" s="171"/>
      <c r="EF130" s="171"/>
      <c r="EG130" s="171"/>
      <c r="EH130" s="171"/>
      <c r="EI130" s="171"/>
      <c r="EJ130" s="171"/>
      <c r="EK130" s="171"/>
      <c r="EL130" s="171"/>
      <c r="EM130" s="171"/>
      <c r="EN130" s="171"/>
      <c r="EO130" s="171"/>
      <c r="EP130" s="171"/>
      <c r="EQ130" s="171"/>
      <c r="ER130" s="171"/>
      <c r="ES130" s="171"/>
      <c r="ET130" s="171"/>
      <c r="EU130" s="171"/>
      <c r="EV130" s="171"/>
      <c r="EW130" s="171"/>
      <c r="EX130" s="171"/>
      <c r="EY130" s="171"/>
      <c r="EZ130" s="171"/>
      <c r="FA130" s="171"/>
      <c r="FB130" s="171"/>
      <c r="FC130" s="171"/>
      <c r="FD130" s="171"/>
      <c r="FE130" s="171"/>
      <c r="FF130" s="171"/>
      <c r="FG130" s="171"/>
      <c r="FH130" s="171"/>
      <c r="FI130" s="171"/>
      <c r="FJ130" s="171"/>
      <c r="FK130" s="171"/>
      <c r="FL130" s="171"/>
      <c r="FM130" s="171"/>
      <c r="FN130" s="171"/>
      <c r="FO130" s="171"/>
      <c r="FP130" s="171"/>
      <c r="FQ130" s="171"/>
      <c r="FR130" s="171"/>
      <c r="FS130" s="171"/>
      <c r="FT130" s="171"/>
      <c r="FU130" s="171"/>
      <c r="FV130" s="171"/>
      <c r="FW130" s="171"/>
      <c r="FX130" s="171"/>
      <c r="FY130" s="171"/>
      <c r="FZ130" s="171"/>
      <c r="GA130" s="171"/>
      <c r="GB130" s="171"/>
      <c r="GC130" s="171"/>
      <c r="GD130" s="171"/>
      <c r="GE130" s="171"/>
      <c r="GF130" s="171"/>
      <c r="GG130" s="171"/>
      <c r="GH130" s="171"/>
      <c r="GI130" s="171"/>
      <c r="GJ130" s="171"/>
      <c r="GK130" s="171"/>
      <c r="GL130" s="171"/>
      <c r="GM130" s="171"/>
      <c r="GN130" s="171"/>
      <c r="GO130" s="171"/>
      <c r="GP130" s="171"/>
      <c r="GQ130" s="171"/>
      <c r="GR130" s="171"/>
      <c r="GS130" s="171"/>
      <c r="GT130" s="171"/>
      <c r="GU130" s="171"/>
      <c r="GV130" s="171"/>
      <c r="GW130" s="171"/>
      <c r="GX130" s="171"/>
      <c r="GY130" s="171"/>
      <c r="GZ130" s="171"/>
      <c r="HA130" s="171"/>
      <c r="HB130" s="171"/>
      <c r="HC130" s="171"/>
      <c r="HD130" s="171"/>
      <c r="HE130" s="171"/>
      <c r="HF130" s="171"/>
      <c r="HG130" s="171"/>
      <c r="HH130" s="171"/>
      <c r="HI130" s="171"/>
      <c r="HJ130" s="171"/>
      <c r="HK130" s="171"/>
      <c r="HL130" s="171"/>
      <c r="HM130" s="171"/>
      <c r="HN130" s="171"/>
      <c r="HO130" s="171"/>
      <c r="HP130" s="171"/>
      <c r="HQ130" s="171"/>
      <c r="HR130" s="171"/>
      <c r="HS130" s="171"/>
      <c r="HT130" s="171"/>
      <c r="HU130" s="171"/>
      <c r="HV130" s="171"/>
      <c r="HW130" s="171"/>
      <c r="HX130" s="171"/>
      <c r="HY130" s="171"/>
      <c r="HZ130" s="171"/>
      <c r="IA130" s="171"/>
      <c r="IB130" s="171"/>
      <c r="IC130" s="171"/>
      <c r="ID130" s="171"/>
      <c r="IE130" s="171"/>
      <c r="IF130" s="171"/>
      <c r="IG130" s="171"/>
      <c r="IH130" s="171"/>
      <c r="II130" s="171"/>
      <c r="IJ130" s="171"/>
      <c r="IK130" s="171"/>
      <c r="IL130" s="171"/>
      <c r="IM130" s="171"/>
      <c r="IN130" s="171"/>
      <c r="IO130" s="171"/>
      <c r="IP130" s="171"/>
      <c r="IQ130" s="171"/>
      <c r="IR130" s="171"/>
      <c r="IS130" s="171"/>
      <c r="IT130" s="171"/>
      <c r="IU130" s="171"/>
      <c r="IV130" s="171"/>
      <c r="IW130" s="171"/>
    </row>
    <row r="131" customFormat="false" ht="12.75" hidden="false" customHeight="false" outlineLevel="0" collapsed="false">
      <c r="A131" s="84"/>
      <c r="B131" s="103" t="s">
        <v>355</v>
      </c>
      <c r="C131" s="104"/>
      <c r="D131" s="155" t="n">
        <f aca="false">D130+D128</f>
        <v>7719992894.90741</v>
      </c>
      <c r="E131" s="155" t="n">
        <f aca="false">E130+E128</f>
        <v>395214478.276397</v>
      </c>
      <c r="F131" s="155" t="n">
        <f aca="false">F130+F128</f>
        <v>208076721.600674</v>
      </c>
      <c r="G131" s="155" t="n">
        <f aca="false">G130+G128</f>
        <v>241857165.845694</v>
      </c>
      <c r="H131" s="155" t="n">
        <f aca="false">H130+H128</f>
        <v>2194127767.77907</v>
      </c>
      <c r="I131" s="155" t="n">
        <f aca="false">I130+I128</f>
        <v>34381668.4124086</v>
      </c>
      <c r="J131" s="155" t="n">
        <f aca="false">J130+J128</f>
        <v>4262444341.79274</v>
      </c>
      <c r="K131" s="155" t="n">
        <f aca="false">K130+K128</f>
        <v>383967030.498144</v>
      </c>
      <c r="L131" s="155" t="n">
        <f aca="false">L130+L128</f>
        <v>0</v>
      </c>
      <c r="M131" s="155" t="n">
        <f aca="false">M130+M128</f>
        <v>799527593.376158</v>
      </c>
      <c r="N131" s="155" t="n">
        <f aca="false">N130+N128</f>
        <v>3059698072.6407</v>
      </c>
      <c r="O131" s="155" t="n">
        <f aca="false">O130+O128</f>
        <v>11579294850.222</v>
      </c>
      <c r="P131" s="194" t="n">
        <f aca="false">(O131-D131)</f>
        <v>3859301955.31458</v>
      </c>
      <c r="Q131" s="197" t="n">
        <v>82290570927</v>
      </c>
      <c r="R131" s="152" t="n">
        <f aca="false">D131/$Q131*100</f>
        <v>9.38138210482926</v>
      </c>
      <c r="S131" s="152" t="n">
        <f aca="false">E131/$Q131*100</f>
        <v>0.480267026737476</v>
      </c>
      <c r="T131" s="152" t="n">
        <f aca="false">F131/$Q131*100</f>
        <v>0.252856091842234</v>
      </c>
      <c r="U131" s="152" t="n">
        <f aca="false">G131/$Q131*100</f>
        <v>0.293906292204784</v>
      </c>
      <c r="V131" s="152" t="n">
        <f aca="false">H131/$Q131*100</f>
        <v>2.6663173472517</v>
      </c>
      <c r="W131" s="152" t="n">
        <f aca="false">I131/$Q131*100</f>
        <v>0.0417808116107356</v>
      </c>
      <c r="X131" s="152" t="n">
        <f aca="false">J131/$Q131*100</f>
        <v>5.1797481701445</v>
      </c>
      <c r="Y131" s="152" t="n">
        <f aca="false">K131/$Q131*100</f>
        <v>0.466599060102233</v>
      </c>
      <c r="Z131" s="152" t="n">
        <f aca="false">L131/$Q131*100</f>
        <v>0</v>
      </c>
      <c r="AA131" s="154" t="n">
        <f aca="false">M131/$Q131*100</f>
        <v>0.971590772028327</v>
      </c>
      <c r="AB131" s="152" t="n">
        <f aca="false">N131/$Q131*100</f>
        <v>3.71816362211773</v>
      </c>
      <c r="AC131" s="152" t="n">
        <f aca="false">O131/$Q131*100</f>
        <v>14.0712292061918</v>
      </c>
      <c r="AD131" s="152"/>
      <c r="AE131" s="196"/>
      <c r="AF131" s="141" t="n">
        <f aca="false">(AC131-AG131)/AG131</f>
        <v>0.359148659381283</v>
      </c>
      <c r="AG131" s="152" t="n">
        <f aca="false">AA131+R131</f>
        <v>10.3529728768576</v>
      </c>
      <c r="AH131" s="152"/>
      <c r="AI131" s="141"/>
      <c r="AJ131" s="141"/>
      <c r="AK131" s="141"/>
      <c r="AL131" s="141"/>
      <c r="AM131" s="141"/>
      <c r="AN131" s="162"/>
      <c r="AO131" s="162"/>
      <c r="AP131" s="162"/>
      <c r="AQ131" s="158"/>
      <c r="AR131" s="158"/>
      <c r="AS131" s="163"/>
      <c r="AT131" s="163"/>
      <c r="AU131" s="162"/>
      <c r="AV131" s="163"/>
      <c r="AW131" s="162"/>
      <c r="AX131" s="163"/>
      <c r="AY131" s="162"/>
      <c r="AZ131" s="163"/>
      <c r="BA131" s="162"/>
      <c r="BB131" s="163"/>
      <c r="BC131" s="162"/>
      <c r="BD131" s="163"/>
      <c r="BE131" s="162"/>
      <c r="BF131" s="164"/>
      <c r="BG131" s="171"/>
      <c r="BH131" s="171"/>
      <c r="BI131" s="171"/>
      <c r="BJ131" s="171"/>
      <c r="BK131" s="171"/>
      <c r="BL131" s="171"/>
      <c r="BM131" s="171"/>
      <c r="BN131" s="171"/>
      <c r="BO131" s="171"/>
      <c r="BP131" s="171"/>
      <c r="BQ131" s="171"/>
      <c r="BR131" s="171"/>
      <c r="BS131" s="171"/>
      <c r="BT131" s="171"/>
      <c r="BU131" s="171"/>
      <c r="BV131" s="171"/>
      <c r="BW131" s="171"/>
      <c r="BX131" s="171"/>
      <c r="BY131" s="171"/>
      <c r="BZ131" s="171"/>
      <c r="CA131" s="171"/>
      <c r="CB131" s="171"/>
      <c r="CC131" s="171"/>
      <c r="CD131" s="171"/>
      <c r="CE131" s="171"/>
      <c r="CF131" s="171"/>
      <c r="CG131" s="171"/>
      <c r="CH131" s="171"/>
      <c r="CI131" s="171"/>
      <c r="CJ131" s="171"/>
      <c r="CK131" s="171"/>
      <c r="CL131" s="171"/>
      <c r="CM131" s="171"/>
      <c r="CN131" s="171"/>
      <c r="CO131" s="171"/>
      <c r="CP131" s="171"/>
      <c r="CQ131" s="171"/>
      <c r="CR131" s="171"/>
      <c r="CS131" s="171"/>
      <c r="CT131" s="171"/>
      <c r="CU131" s="171"/>
      <c r="CV131" s="171"/>
      <c r="CW131" s="171"/>
      <c r="CX131" s="171"/>
      <c r="CY131" s="171"/>
      <c r="CZ131" s="171"/>
      <c r="DA131" s="171"/>
      <c r="DB131" s="171"/>
      <c r="DC131" s="171"/>
      <c r="DD131" s="171"/>
      <c r="DE131" s="171"/>
      <c r="DF131" s="171"/>
      <c r="DG131" s="171"/>
      <c r="DH131" s="171"/>
      <c r="DI131" s="171"/>
      <c r="DJ131" s="171"/>
      <c r="DK131" s="171"/>
      <c r="DL131" s="171"/>
      <c r="DM131" s="171"/>
      <c r="DN131" s="171"/>
      <c r="DO131" s="171"/>
      <c r="DP131" s="171"/>
      <c r="DQ131" s="171"/>
      <c r="DR131" s="171"/>
      <c r="DS131" s="171"/>
      <c r="DT131" s="171"/>
      <c r="DU131" s="171"/>
      <c r="DV131" s="171"/>
      <c r="DW131" s="171"/>
      <c r="DX131" s="171"/>
      <c r="DY131" s="171"/>
      <c r="DZ131" s="171"/>
      <c r="EA131" s="171"/>
      <c r="EB131" s="171"/>
      <c r="EC131" s="171"/>
      <c r="ED131" s="171"/>
      <c r="EE131" s="171"/>
      <c r="EF131" s="171"/>
      <c r="EG131" s="171"/>
      <c r="EH131" s="171"/>
      <c r="EI131" s="171"/>
      <c r="EJ131" s="171"/>
      <c r="EK131" s="171"/>
      <c r="EL131" s="171"/>
      <c r="EM131" s="171"/>
      <c r="EN131" s="171"/>
      <c r="EO131" s="171"/>
      <c r="EP131" s="171"/>
      <c r="EQ131" s="171"/>
      <c r="ER131" s="171"/>
      <c r="ES131" s="171"/>
      <c r="ET131" s="171"/>
      <c r="EU131" s="171"/>
      <c r="EV131" s="171"/>
      <c r="EW131" s="171"/>
      <c r="EX131" s="171"/>
      <c r="EY131" s="171"/>
      <c r="EZ131" s="171"/>
      <c r="FA131" s="171"/>
      <c r="FB131" s="171"/>
      <c r="FC131" s="171"/>
      <c r="FD131" s="171"/>
      <c r="FE131" s="171"/>
      <c r="FF131" s="171"/>
      <c r="FG131" s="171"/>
      <c r="FH131" s="171"/>
      <c r="FI131" s="171"/>
      <c r="FJ131" s="171"/>
      <c r="FK131" s="171"/>
      <c r="FL131" s="171"/>
      <c r="FM131" s="171"/>
      <c r="FN131" s="171"/>
      <c r="FO131" s="171"/>
      <c r="FP131" s="171"/>
      <c r="FQ131" s="171"/>
      <c r="FR131" s="171"/>
      <c r="FS131" s="171"/>
      <c r="FT131" s="171"/>
      <c r="FU131" s="171"/>
      <c r="FV131" s="171"/>
      <c r="FW131" s="171"/>
      <c r="FX131" s="171"/>
      <c r="FY131" s="171"/>
      <c r="FZ131" s="171"/>
      <c r="GA131" s="171"/>
      <c r="GB131" s="171"/>
      <c r="GC131" s="171"/>
      <c r="GD131" s="171"/>
      <c r="GE131" s="171"/>
      <c r="GF131" s="171"/>
      <c r="GG131" s="171"/>
      <c r="GH131" s="171"/>
      <c r="GI131" s="171"/>
      <c r="GJ131" s="171"/>
      <c r="GK131" s="171"/>
      <c r="GL131" s="171"/>
      <c r="GM131" s="171"/>
      <c r="GN131" s="171"/>
      <c r="GO131" s="171"/>
      <c r="GP131" s="171"/>
      <c r="GQ131" s="171"/>
      <c r="GR131" s="171"/>
      <c r="GS131" s="171"/>
      <c r="GT131" s="171"/>
      <c r="GU131" s="171"/>
      <c r="GV131" s="171"/>
      <c r="GW131" s="171"/>
      <c r="GX131" s="171"/>
      <c r="GY131" s="171"/>
      <c r="GZ131" s="171"/>
      <c r="HA131" s="171"/>
      <c r="HB131" s="171"/>
      <c r="HC131" s="171"/>
      <c r="HD131" s="171"/>
      <c r="HE131" s="171"/>
      <c r="HF131" s="171"/>
      <c r="HG131" s="171"/>
      <c r="HH131" s="171"/>
      <c r="HI131" s="171"/>
      <c r="HJ131" s="171"/>
      <c r="HK131" s="171"/>
      <c r="HL131" s="171"/>
      <c r="HM131" s="171"/>
      <c r="HN131" s="171"/>
      <c r="HO131" s="171"/>
      <c r="HP131" s="171"/>
      <c r="HQ131" s="171"/>
      <c r="HR131" s="171"/>
      <c r="HS131" s="171"/>
      <c r="HT131" s="171"/>
      <c r="HU131" s="171"/>
      <c r="HV131" s="171"/>
      <c r="HW131" s="171"/>
      <c r="HX131" s="171"/>
      <c r="HY131" s="171"/>
      <c r="HZ131" s="171"/>
      <c r="IA131" s="171"/>
      <c r="IB131" s="171"/>
      <c r="IC131" s="171"/>
      <c r="ID131" s="171"/>
      <c r="IE131" s="171"/>
      <c r="IF131" s="171"/>
      <c r="IG131" s="171"/>
      <c r="IH131" s="171"/>
      <c r="II131" s="171"/>
      <c r="IJ131" s="171"/>
      <c r="IK131" s="171"/>
      <c r="IL131" s="171"/>
      <c r="IM131" s="171"/>
      <c r="IN131" s="171"/>
      <c r="IO131" s="171"/>
      <c r="IP131" s="171"/>
      <c r="IQ131" s="171"/>
      <c r="IR131" s="171"/>
      <c r="IS131" s="171"/>
      <c r="IT131" s="171"/>
      <c r="IU131" s="171"/>
      <c r="IV131" s="171"/>
      <c r="IW131" s="171"/>
    </row>
    <row r="132" customFormat="false" ht="12.75" hidden="false" customHeight="false" outlineLevel="0" collapsed="false">
      <c r="A132" s="84"/>
      <c r="B132" s="105"/>
      <c r="C132" s="106"/>
      <c r="D132" s="198"/>
      <c r="F132" s="198"/>
      <c r="G132" s="198"/>
      <c r="H132" s="198"/>
      <c r="I132" s="198"/>
      <c r="J132" s="199"/>
      <c r="K132" s="199"/>
      <c r="L132" s="199"/>
      <c r="M132" s="199"/>
      <c r="N132" s="199"/>
      <c r="O132" s="199"/>
      <c r="P132" s="105"/>
      <c r="Q132" s="200"/>
      <c r="R132" s="201"/>
      <c r="S132" s="201"/>
      <c r="T132" s="202"/>
      <c r="U132" s="201"/>
      <c r="V132" s="201"/>
      <c r="W132" s="201"/>
      <c r="X132" s="201"/>
      <c r="Y132" s="201"/>
      <c r="Z132" s="201"/>
      <c r="AA132" s="203"/>
      <c r="AB132" s="201"/>
      <c r="AC132" s="201"/>
      <c r="AD132" s="201"/>
      <c r="AE132" s="204"/>
      <c r="AG132" s="152"/>
      <c r="AH132" s="201"/>
      <c r="AI132" s="106"/>
      <c r="AJ132" s="106"/>
      <c r="AK132" s="106"/>
      <c r="AL132" s="106"/>
      <c r="AM132" s="106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5"/>
      <c r="BZ132" s="105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5"/>
      <c r="CM132" s="105"/>
      <c r="CN132" s="105"/>
      <c r="CO132" s="105"/>
      <c r="CP132" s="105"/>
      <c r="CQ132" s="105"/>
      <c r="CR132" s="105"/>
      <c r="CS132" s="105"/>
      <c r="CT132" s="105"/>
      <c r="CU132" s="105"/>
      <c r="CV132" s="105"/>
      <c r="CW132" s="105"/>
      <c r="CX132" s="105"/>
      <c r="CY132" s="105"/>
      <c r="CZ132" s="105"/>
      <c r="DA132" s="105"/>
      <c r="DB132" s="105"/>
      <c r="DC132" s="105"/>
      <c r="DD132" s="105"/>
      <c r="DE132" s="105"/>
      <c r="DF132" s="105"/>
      <c r="DG132" s="105"/>
      <c r="DH132" s="105"/>
      <c r="DI132" s="105"/>
      <c r="DJ132" s="105"/>
      <c r="DK132" s="105"/>
      <c r="DL132" s="105"/>
      <c r="DM132" s="105"/>
      <c r="DN132" s="105"/>
      <c r="DO132" s="105"/>
      <c r="DP132" s="105"/>
      <c r="DQ132" s="105"/>
      <c r="DR132" s="105"/>
      <c r="DS132" s="105"/>
      <c r="DT132" s="105"/>
      <c r="DU132" s="105"/>
      <c r="DV132" s="105"/>
      <c r="DW132" s="105"/>
      <c r="DX132" s="105"/>
      <c r="DY132" s="105"/>
      <c r="DZ132" s="105"/>
      <c r="EA132" s="105"/>
      <c r="EB132" s="105"/>
      <c r="EC132" s="105"/>
      <c r="ED132" s="105"/>
      <c r="EE132" s="105"/>
      <c r="EF132" s="105"/>
      <c r="EG132" s="105"/>
      <c r="EH132" s="105"/>
      <c r="EI132" s="105"/>
      <c r="EJ132" s="105"/>
      <c r="EK132" s="105"/>
      <c r="EL132" s="105"/>
      <c r="EM132" s="105"/>
      <c r="EN132" s="105"/>
      <c r="EO132" s="105"/>
      <c r="EP132" s="105"/>
      <c r="EQ132" s="105"/>
      <c r="ER132" s="105"/>
      <c r="ES132" s="105"/>
      <c r="ET132" s="105"/>
      <c r="EU132" s="105"/>
      <c r="EV132" s="105"/>
      <c r="EW132" s="105"/>
      <c r="EX132" s="105"/>
      <c r="EY132" s="105"/>
      <c r="EZ132" s="105"/>
      <c r="FA132" s="105"/>
      <c r="FB132" s="105"/>
      <c r="FC132" s="105"/>
      <c r="FD132" s="105"/>
      <c r="FE132" s="105"/>
      <c r="FF132" s="105"/>
      <c r="FG132" s="105"/>
      <c r="FH132" s="105"/>
      <c r="FI132" s="105"/>
      <c r="FJ132" s="105"/>
      <c r="FK132" s="105"/>
      <c r="FL132" s="105"/>
      <c r="FM132" s="105"/>
      <c r="FN132" s="105"/>
      <c r="FO132" s="105"/>
      <c r="FP132" s="105"/>
      <c r="FQ132" s="105"/>
      <c r="FR132" s="105"/>
      <c r="FS132" s="105"/>
      <c r="FT132" s="105"/>
      <c r="FU132" s="105"/>
      <c r="FV132" s="105"/>
      <c r="FW132" s="105"/>
      <c r="FX132" s="105"/>
      <c r="FY132" s="105"/>
      <c r="FZ132" s="105"/>
      <c r="GA132" s="105"/>
      <c r="GB132" s="105"/>
      <c r="GC132" s="105"/>
      <c r="GD132" s="105"/>
      <c r="GE132" s="105"/>
      <c r="GF132" s="105"/>
      <c r="GG132" s="105"/>
      <c r="GH132" s="105"/>
      <c r="GI132" s="105"/>
      <c r="GJ132" s="105"/>
      <c r="GK132" s="105"/>
      <c r="GL132" s="105"/>
      <c r="GM132" s="105"/>
      <c r="GN132" s="105"/>
      <c r="GO132" s="105"/>
      <c r="GP132" s="105"/>
      <c r="GQ132" s="105"/>
      <c r="GR132" s="105"/>
      <c r="GS132" s="105"/>
      <c r="GT132" s="105"/>
      <c r="GU132" s="105"/>
      <c r="GV132" s="105"/>
      <c r="GW132" s="105"/>
      <c r="GX132" s="105"/>
      <c r="GY132" s="105"/>
      <c r="GZ132" s="105"/>
      <c r="HA132" s="105"/>
      <c r="HB132" s="105"/>
      <c r="HC132" s="105"/>
      <c r="HD132" s="105"/>
      <c r="HE132" s="105"/>
      <c r="HF132" s="105"/>
      <c r="HG132" s="105"/>
      <c r="HH132" s="105"/>
      <c r="HI132" s="105"/>
      <c r="HJ132" s="105"/>
      <c r="HK132" s="105"/>
      <c r="HL132" s="105"/>
      <c r="HM132" s="105"/>
      <c r="HN132" s="105"/>
      <c r="HO132" s="105"/>
      <c r="HP132" s="105"/>
      <c r="HQ132" s="105"/>
      <c r="HR132" s="105"/>
      <c r="HS132" s="105"/>
      <c r="HT132" s="105"/>
      <c r="HU132" s="105"/>
      <c r="HV132" s="105"/>
      <c r="HW132" s="105"/>
      <c r="HX132" s="105"/>
      <c r="HY132" s="105"/>
      <c r="HZ132" s="105"/>
      <c r="IA132" s="105"/>
      <c r="IB132" s="105"/>
      <c r="IC132" s="105"/>
      <c r="ID132" s="105"/>
      <c r="IE132" s="105"/>
      <c r="IF132" s="105"/>
      <c r="IG132" s="105"/>
      <c r="IH132" s="105"/>
      <c r="II132" s="105"/>
      <c r="IJ132" s="105"/>
      <c r="IK132" s="105"/>
      <c r="IL132" s="105"/>
      <c r="IM132" s="105"/>
      <c r="IN132" s="105"/>
      <c r="IO132" s="105"/>
      <c r="IP132" s="105"/>
      <c r="IQ132" s="105"/>
      <c r="IR132" s="105"/>
      <c r="IS132" s="105"/>
      <c r="IT132" s="105"/>
      <c r="IU132" s="105"/>
      <c r="IV132" s="105"/>
      <c r="IW132" s="105"/>
    </row>
    <row r="133" customFormat="false" ht="12.75" hidden="false" customHeight="false" outlineLevel="0" collapsed="false">
      <c r="A133" s="106"/>
      <c r="B133" s="101"/>
      <c r="C133" s="106"/>
      <c r="D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43"/>
      <c r="P133" s="143"/>
      <c r="Q133" s="200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3"/>
      <c r="AB133" s="201"/>
      <c r="AC133" s="201"/>
      <c r="AD133" s="201"/>
      <c r="AE133" s="204"/>
      <c r="AG133" s="152"/>
      <c r="AH133" s="201"/>
      <c r="AI133" s="106"/>
      <c r="AJ133" s="106"/>
      <c r="AK133" s="106"/>
      <c r="AL133" s="106"/>
      <c r="AM133" s="106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5"/>
      <c r="BZ133" s="105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5"/>
      <c r="CM133" s="105"/>
      <c r="CN133" s="105"/>
      <c r="CO133" s="105"/>
      <c r="CP133" s="105"/>
      <c r="CQ133" s="105"/>
      <c r="CR133" s="105"/>
      <c r="CS133" s="105"/>
      <c r="CT133" s="105"/>
      <c r="CU133" s="105"/>
      <c r="CV133" s="105"/>
      <c r="CW133" s="105"/>
      <c r="CX133" s="105"/>
      <c r="CY133" s="105"/>
      <c r="CZ133" s="105"/>
      <c r="DA133" s="105"/>
      <c r="DB133" s="105"/>
      <c r="DC133" s="105"/>
      <c r="DD133" s="105"/>
      <c r="DE133" s="105"/>
      <c r="DF133" s="105"/>
      <c r="DG133" s="105"/>
      <c r="DH133" s="105"/>
      <c r="DI133" s="105"/>
      <c r="DJ133" s="105"/>
      <c r="DK133" s="105"/>
      <c r="DL133" s="105"/>
      <c r="DM133" s="105"/>
      <c r="DN133" s="105"/>
      <c r="DO133" s="105"/>
      <c r="DP133" s="105"/>
      <c r="DQ133" s="105"/>
      <c r="DR133" s="105"/>
      <c r="DS133" s="105"/>
      <c r="DT133" s="105"/>
      <c r="DU133" s="105"/>
      <c r="DV133" s="105"/>
      <c r="DW133" s="105"/>
      <c r="DX133" s="105"/>
      <c r="DY133" s="105"/>
      <c r="DZ133" s="105"/>
      <c r="EA133" s="105"/>
      <c r="EB133" s="105"/>
      <c r="EC133" s="105"/>
      <c r="ED133" s="105"/>
      <c r="EE133" s="105"/>
      <c r="EF133" s="105"/>
      <c r="EG133" s="105"/>
      <c r="EH133" s="105"/>
      <c r="EI133" s="105"/>
      <c r="EJ133" s="105"/>
      <c r="EK133" s="105"/>
      <c r="EL133" s="105"/>
      <c r="EM133" s="105"/>
      <c r="EN133" s="105"/>
      <c r="EO133" s="105"/>
      <c r="EP133" s="105"/>
      <c r="EQ133" s="105"/>
      <c r="ER133" s="105"/>
      <c r="ES133" s="105"/>
      <c r="ET133" s="105"/>
      <c r="EU133" s="105"/>
      <c r="EV133" s="105"/>
      <c r="EW133" s="105"/>
      <c r="EX133" s="105"/>
      <c r="EY133" s="105"/>
      <c r="EZ133" s="105"/>
      <c r="FA133" s="105"/>
      <c r="FB133" s="105"/>
      <c r="FC133" s="105"/>
      <c r="FD133" s="105"/>
      <c r="FE133" s="105"/>
      <c r="FF133" s="105"/>
      <c r="FG133" s="105"/>
      <c r="FH133" s="105"/>
      <c r="FI133" s="105"/>
      <c r="FJ133" s="105"/>
      <c r="FK133" s="105"/>
      <c r="FL133" s="105"/>
      <c r="FM133" s="105"/>
      <c r="FN133" s="105"/>
      <c r="FO133" s="105"/>
      <c r="FP133" s="105"/>
      <c r="FQ133" s="105"/>
      <c r="FR133" s="105"/>
      <c r="FS133" s="105"/>
      <c r="FT133" s="105"/>
      <c r="FU133" s="105"/>
      <c r="FV133" s="105"/>
      <c r="FW133" s="105"/>
      <c r="FX133" s="105"/>
      <c r="FY133" s="105"/>
      <c r="FZ133" s="105"/>
      <c r="GA133" s="105"/>
      <c r="GB133" s="105"/>
      <c r="GC133" s="105"/>
      <c r="GD133" s="105"/>
      <c r="GE133" s="105"/>
      <c r="GF133" s="105"/>
      <c r="GG133" s="105"/>
      <c r="GH133" s="105"/>
      <c r="GI133" s="105"/>
      <c r="GJ133" s="105"/>
      <c r="GK133" s="105"/>
      <c r="GL133" s="105"/>
      <c r="GM133" s="105"/>
      <c r="GN133" s="105"/>
      <c r="GO133" s="105"/>
      <c r="GP133" s="105"/>
      <c r="GQ133" s="105"/>
      <c r="GR133" s="105"/>
      <c r="GS133" s="105"/>
      <c r="GT133" s="105"/>
      <c r="GU133" s="105"/>
      <c r="GV133" s="105"/>
      <c r="GW133" s="105"/>
      <c r="GX133" s="105"/>
      <c r="GY133" s="105"/>
      <c r="GZ133" s="105"/>
      <c r="HA133" s="105"/>
      <c r="HB133" s="105"/>
      <c r="HC133" s="105"/>
      <c r="HD133" s="105"/>
      <c r="HE133" s="105"/>
      <c r="HF133" s="105"/>
      <c r="HG133" s="105"/>
      <c r="HH133" s="105"/>
      <c r="HI133" s="105"/>
      <c r="HJ133" s="105"/>
      <c r="HK133" s="105"/>
      <c r="HL133" s="105"/>
      <c r="HM133" s="105"/>
      <c r="HN133" s="105"/>
      <c r="HO133" s="105"/>
      <c r="HP133" s="105"/>
      <c r="HQ133" s="105"/>
      <c r="HR133" s="105"/>
      <c r="HS133" s="105"/>
      <c r="HT133" s="105"/>
      <c r="HU133" s="105"/>
      <c r="HV133" s="105"/>
      <c r="HW133" s="105"/>
      <c r="HX133" s="105"/>
      <c r="HY133" s="105"/>
      <c r="HZ133" s="105"/>
      <c r="IA133" s="105"/>
      <c r="IB133" s="105"/>
      <c r="IC133" s="105"/>
      <c r="ID133" s="105"/>
      <c r="IE133" s="105"/>
      <c r="IF133" s="105"/>
      <c r="IG133" s="105"/>
      <c r="IH133" s="105"/>
      <c r="II133" s="105"/>
      <c r="IJ133" s="105"/>
      <c r="IK133" s="105"/>
      <c r="IL133" s="105"/>
      <c r="IM133" s="105"/>
      <c r="IN133" s="105"/>
      <c r="IO133" s="105"/>
      <c r="IP133" s="105"/>
      <c r="IQ133" s="105"/>
      <c r="IR133" s="105"/>
      <c r="IS133" s="105"/>
      <c r="IT133" s="105"/>
      <c r="IU133" s="105"/>
      <c r="IV133" s="105"/>
      <c r="IW133" s="105"/>
    </row>
    <row r="134" customFormat="false" ht="12.75" hidden="false" customHeight="false" outlineLevel="0" collapsed="false">
      <c r="A134" s="106"/>
      <c r="B134" s="105" t="s">
        <v>420</v>
      </c>
      <c r="C134" s="106"/>
      <c r="D134" s="205"/>
      <c r="E134" s="205"/>
      <c r="F134" s="205"/>
      <c r="G134" s="205"/>
      <c r="H134" s="205"/>
      <c r="I134" s="205"/>
      <c r="J134" s="205"/>
      <c r="K134" s="206"/>
      <c r="L134" s="206"/>
      <c r="M134" s="206"/>
      <c r="N134" s="206"/>
      <c r="O134" s="143"/>
      <c r="P134" s="143"/>
      <c r="Q134" s="200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3"/>
      <c r="AB134" s="201"/>
      <c r="AC134" s="201"/>
      <c r="AD134" s="201"/>
      <c r="AE134" s="204"/>
      <c r="AG134" s="152"/>
      <c r="AH134" s="201"/>
      <c r="AI134" s="106"/>
      <c r="AJ134" s="106"/>
      <c r="AK134" s="106"/>
      <c r="AL134" s="106"/>
      <c r="AM134" s="106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5"/>
      <c r="BZ134" s="105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5"/>
      <c r="CM134" s="105"/>
      <c r="CN134" s="105"/>
      <c r="CO134" s="105"/>
      <c r="CP134" s="105"/>
      <c r="CQ134" s="105"/>
      <c r="CR134" s="105"/>
      <c r="CS134" s="105"/>
      <c r="CT134" s="105"/>
      <c r="CU134" s="105"/>
      <c r="CV134" s="105"/>
      <c r="CW134" s="105"/>
      <c r="CX134" s="105"/>
      <c r="CY134" s="105"/>
      <c r="CZ134" s="105"/>
      <c r="DA134" s="105"/>
      <c r="DB134" s="105"/>
      <c r="DC134" s="105"/>
      <c r="DD134" s="105"/>
      <c r="DE134" s="105"/>
      <c r="DF134" s="105"/>
      <c r="DG134" s="105"/>
      <c r="DH134" s="105"/>
      <c r="DI134" s="105"/>
      <c r="DJ134" s="105"/>
      <c r="DK134" s="105"/>
      <c r="DL134" s="105"/>
      <c r="DM134" s="105"/>
      <c r="DN134" s="105"/>
      <c r="DO134" s="105"/>
      <c r="DP134" s="105"/>
      <c r="DQ134" s="105"/>
      <c r="DR134" s="105"/>
      <c r="DS134" s="105"/>
      <c r="DT134" s="105"/>
      <c r="DU134" s="105"/>
      <c r="DV134" s="105"/>
      <c r="DW134" s="105"/>
      <c r="DX134" s="105"/>
      <c r="DY134" s="105"/>
      <c r="DZ134" s="105"/>
      <c r="EA134" s="105"/>
      <c r="EB134" s="105"/>
      <c r="EC134" s="105"/>
      <c r="ED134" s="105"/>
      <c r="EE134" s="105"/>
      <c r="EF134" s="105"/>
      <c r="EG134" s="105"/>
      <c r="EH134" s="105"/>
      <c r="EI134" s="105"/>
      <c r="EJ134" s="105"/>
      <c r="EK134" s="105"/>
      <c r="EL134" s="105"/>
      <c r="EM134" s="105"/>
      <c r="EN134" s="105"/>
      <c r="EO134" s="105"/>
      <c r="EP134" s="105"/>
      <c r="EQ134" s="105"/>
      <c r="ER134" s="105"/>
      <c r="ES134" s="105"/>
      <c r="ET134" s="105"/>
      <c r="EU134" s="105"/>
      <c r="EV134" s="105"/>
      <c r="EW134" s="105"/>
      <c r="EX134" s="105"/>
      <c r="EY134" s="105"/>
      <c r="EZ134" s="105"/>
      <c r="FA134" s="105"/>
      <c r="FB134" s="105"/>
      <c r="FC134" s="105"/>
      <c r="FD134" s="105"/>
      <c r="FE134" s="105"/>
      <c r="FF134" s="105"/>
      <c r="FG134" s="105"/>
      <c r="FH134" s="105"/>
      <c r="FI134" s="105"/>
      <c r="FJ134" s="105"/>
      <c r="FK134" s="105"/>
      <c r="FL134" s="105"/>
      <c r="FM134" s="105"/>
      <c r="FN134" s="105"/>
      <c r="FO134" s="105"/>
      <c r="FP134" s="105"/>
      <c r="FQ134" s="105"/>
      <c r="FR134" s="105"/>
      <c r="FS134" s="105"/>
      <c r="FT134" s="105"/>
      <c r="FU134" s="105"/>
      <c r="FV134" s="105"/>
      <c r="FW134" s="105"/>
      <c r="FX134" s="105"/>
      <c r="FY134" s="105"/>
      <c r="FZ134" s="105"/>
      <c r="GA134" s="105"/>
      <c r="GB134" s="105"/>
      <c r="GC134" s="105"/>
      <c r="GD134" s="105"/>
      <c r="GE134" s="105"/>
      <c r="GF134" s="105"/>
      <c r="GG134" s="105"/>
      <c r="GH134" s="105"/>
      <c r="GI134" s="105"/>
      <c r="GJ134" s="105"/>
      <c r="GK134" s="105"/>
      <c r="GL134" s="105"/>
      <c r="GM134" s="105"/>
      <c r="GN134" s="105"/>
      <c r="GO134" s="105"/>
      <c r="GP134" s="105"/>
      <c r="GQ134" s="105"/>
      <c r="GR134" s="105"/>
      <c r="GS134" s="105"/>
      <c r="GT134" s="105"/>
      <c r="GU134" s="105"/>
      <c r="GV134" s="105"/>
      <c r="GW134" s="105"/>
      <c r="GX134" s="105"/>
      <c r="GY134" s="105"/>
      <c r="GZ134" s="105"/>
      <c r="HA134" s="105"/>
      <c r="HB134" s="105"/>
      <c r="HC134" s="105"/>
      <c r="HD134" s="105"/>
      <c r="HE134" s="105"/>
      <c r="HF134" s="105"/>
      <c r="HG134" s="105"/>
      <c r="HH134" s="105"/>
      <c r="HI134" s="105"/>
      <c r="HJ134" s="105"/>
      <c r="HK134" s="105"/>
      <c r="HL134" s="105"/>
      <c r="HM134" s="105"/>
      <c r="HN134" s="105"/>
      <c r="HO134" s="105"/>
      <c r="HP134" s="105"/>
      <c r="HQ134" s="105"/>
      <c r="HR134" s="105"/>
      <c r="HS134" s="105"/>
      <c r="HT134" s="105"/>
      <c r="HU134" s="105"/>
      <c r="HV134" s="105"/>
      <c r="HW134" s="105"/>
      <c r="HX134" s="105"/>
      <c r="HY134" s="105"/>
      <c r="HZ134" s="105"/>
      <c r="IA134" s="105"/>
      <c r="IB134" s="105"/>
      <c r="IC134" s="105"/>
      <c r="ID134" s="105"/>
      <c r="IE134" s="105"/>
      <c r="IF134" s="105"/>
      <c r="IG134" s="105"/>
      <c r="IH134" s="105"/>
      <c r="II134" s="105"/>
      <c r="IJ134" s="105"/>
      <c r="IK134" s="105"/>
      <c r="IL134" s="105"/>
      <c r="IM134" s="105"/>
      <c r="IN134" s="105"/>
      <c r="IO134" s="105"/>
      <c r="IP134" s="105"/>
      <c r="IQ134" s="105"/>
      <c r="IR134" s="105"/>
      <c r="IS134" s="105"/>
      <c r="IT134" s="105"/>
      <c r="IU134" s="105"/>
      <c r="IV134" s="105"/>
      <c r="IW134" s="105"/>
    </row>
    <row r="135" customFormat="false" ht="12.75" hidden="false" customHeight="false" outlineLevel="0" collapsed="false">
      <c r="A135" s="106"/>
      <c r="B135" s="105"/>
      <c r="C135" s="106" t="s">
        <v>236</v>
      </c>
      <c r="D135" s="198"/>
      <c r="F135" s="198"/>
      <c r="G135" s="198"/>
      <c r="H135" s="198"/>
      <c r="I135" s="198"/>
      <c r="J135" s="199"/>
      <c r="K135" s="199"/>
      <c r="L135" s="199"/>
      <c r="M135" s="199" t="n">
        <f aca="false">SUM(M47,M66,M121)</f>
        <v>75337447.4801549</v>
      </c>
      <c r="N135" s="199"/>
      <c r="O135" s="143"/>
      <c r="P135" s="143"/>
      <c r="Q135" s="207" t="n">
        <f aca="false">SUM(Q47,Q66,Q121)</f>
        <v>7533744748.01547</v>
      </c>
      <c r="R135" s="208"/>
      <c r="S135" s="105"/>
      <c r="T135" s="105"/>
      <c r="U135" s="105"/>
      <c r="V135" s="105"/>
      <c r="W135" s="105"/>
      <c r="X135" s="105"/>
      <c r="Y135" s="105"/>
      <c r="Z135" s="105"/>
      <c r="AA135" s="154" t="n">
        <f aca="false">M135/$Q135*100</f>
        <v>1</v>
      </c>
      <c r="AB135" s="105"/>
      <c r="AC135" s="105"/>
      <c r="AD135" s="105"/>
      <c r="AE135" s="204"/>
      <c r="AG135" s="152"/>
      <c r="AH135" s="105"/>
      <c r="AI135" s="106"/>
      <c r="AJ135" s="106"/>
      <c r="AK135" s="106"/>
      <c r="AL135" s="106"/>
      <c r="AM135" s="106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5"/>
      <c r="BZ135" s="105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5"/>
      <c r="CM135" s="105"/>
      <c r="CN135" s="105"/>
      <c r="CO135" s="105"/>
      <c r="CP135" s="105"/>
      <c r="CQ135" s="105"/>
      <c r="CR135" s="105"/>
      <c r="CS135" s="105"/>
      <c r="CT135" s="105"/>
      <c r="CU135" s="105"/>
      <c r="CV135" s="105"/>
      <c r="CW135" s="105"/>
      <c r="CX135" s="105"/>
      <c r="CY135" s="105"/>
      <c r="CZ135" s="105"/>
      <c r="DA135" s="105"/>
      <c r="DB135" s="105"/>
      <c r="DC135" s="105"/>
      <c r="DD135" s="105"/>
      <c r="DE135" s="105"/>
      <c r="DF135" s="105"/>
      <c r="DG135" s="105"/>
      <c r="DH135" s="105"/>
      <c r="DI135" s="105"/>
      <c r="DJ135" s="105"/>
      <c r="DK135" s="105"/>
      <c r="DL135" s="105"/>
      <c r="DM135" s="105"/>
      <c r="DN135" s="105"/>
      <c r="DO135" s="105"/>
      <c r="DP135" s="105"/>
      <c r="DQ135" s="105"/>
      <c r="DR135" s="105"/>
      <c r="DS135" s="105"/>
      <c r="DT135" s="105"/>
      <c r="DU135" s="105"/>
      <c r="DV135" s="105"/>
      <c r="DW135" s="105"/>
      <c r="DX135" s="105"/>
      <c r="DY135" s="105"/>
      <c r="DZ135" s="105"/>
      <c r="EA135" s="105"/>
      <c r="EB135" s="105"/>
      <c r="EC135" s="105"/>
      <c r="ED135" s="105"/>
      <c r="EE135" s="105"/>
      <c r="EF135" s="105"/>
      <c r="EG135" s="105"/>
      <c r="EH135" s="105"/>
      <c r="EI135" s="105"/>
      <c r="EJ135" s="105"/>
      <c r="EK135" s="105"/>
      <c r="EL135" s="105"/>
      <c r="EM135" s="105"/>
      <c r="EN135" s="105"/>
      <c r="EO135" s="105"/>
      <c r="EP135" s="105"/>
      <c r="EQ135" s="105"/>
      <c r="ER135" s="105"/>
      <c r="ES135" s="105"/>
      <c r="ET135" s="105"/>
      <c r="EU135" s="105"/>
      <c r="EV135" s="105"/>
      <c r="EW135" s="105"/>
      <c r="EX135" s="105"/>
      <c r="EY135" s="105"/>
      <c r="EZ135" s="105"/>
      <c r="FA135" s="105"/>
      <c r="FB135" s="105"/>
      <c r="FC135" s="105"/>
      <c r="FD135" s="105"/>
      <c r="FE135" s="105"/>
      <c r="FF135" s="105"/>
      <c r="FG135" s="105"/>
      <c r="FH135" s="105"/>
      <c r="FI135" s="105"/>
      <c r="FJ135" s="105"/>
      <c r="FK135" s="105"/>
      <c r="FL135" s="105"/>
      <c r="FM135" s="105"/>
      <c r="FN135" s="105"/>
      <c r="FO135" s="105"/>
      <c r="FP135" s="105"/>
      <c r="FQ135" s="105"/>
      <c r="FR135" s="105"/>
      <c r="FS135" s="105"/>
      <c r="FT135" s="105"/>
      <c r="FU135" s="105"/>
      <c r="FV135" s="105"/>
      <c r="FW135" s="105"/>
      <c r="FX135" s="105"/>
      <c r="FY135" s="105"/>
      <c r="FZ135" s="105"/>
      <c r="GA135" s="105"/>
      <c r="GB135" s="105"/>
      <c r="GC135" s="105"/>
      <c r="GD135" s="105"/>
      <c r="GE135" s="105"/>
      <c r="GF135" s="105"/>
      <c r="GG135" s="105"/>
      <c r="GH135" s="105"/>
      <c r="GI135" s="105"/>
      <c r="GJ135" s="105"/>
      <c r="GK135" s="105"/>
      <c r="GL135" s="105"/>
      <c r="GM135" s="105"/>
      <c r="GN135" s="105"/>
      <c r="GO135" s="105"/>
      <c r="GP135" s="105"/>
      <c r="GQ135" s="105"/>
      <c r="GR135" s="105"/>
      <c r="GS135" s="105"/>
      <c r="GT135" s="105"/>
      <c r="GU135" s="105"/>
      <c r="GV135" s="105"/>
      <c r="GW135" s="105"/>
      <c r="GX135" s="105"/>
      <c r="GY135" s="105"/>
      <c r="GZ135" s="105"/>
      <c r="HA135" s="105"/>
      <c r="HB135" s="105"/>
      <c r="HC135" s="105"/>
      <c r="HD135" s="105"/>
      <c r="HE135" s="105"/>
      <c r="HF135" s="105"/>
      <c r="HG135" s="105"/>
      <c r="HH135" s="105"/>
      <c r="HI135" s="105"/>
      <c r="HJ135" s="105"/>
      <c r="HK135" s="105"/>
      <c r="HL135" s="105"/>
      <c r="HM135" s="105"/>
      <c r="HN135" s="105"/>
      <c r="HO135" s="105"/>
      <c r="HP135" s="105"/>
      <c r="HQ135" s="105"/>
      <c r="HR135" s="105"/>
      <c r="HS135" s="105"/>
      <c r="HT135" s="105"/>
      <c r="HU135" s="105"/>
      <c r="HV135" s="105"/>
      <c r="HW135" s="105"/>
      <c r="HX135" s="105"/>
      <c r="HY135" s="105"/>
      <c r="HZ135" s="105"/>
      <c r="IA135" s="105"/>
      <c r="IB135" s="105"/>
      <c r="IC135" s="105"/>
      <c r="ID135" s="105"/>
      <c r="IE135" s="105"/>
      <c r="IF135" s="105"/>
      <c r="IG135" s="105"/>
      <c r="IH135" s="105"/>
      <c r="II135" s="105"/>
      <c r="IJ135" s="105"/>
      <c r="IK135" s="105"/>
      <c r="IL135" s="105"/>
      <c r="IM135" s="105"/>
      <c r="IN135" s="105"/>
      <c r="IO135" s="105"/>
      <c r="IP135" s="105"/>
      <c r="IQ135" s="105"/>
      <c r="IR135" s="105"/>
      <c r="IS135" s="105"/>
      <c r="IT135" s="105"/>
      <c r="IU135" s="105"/>
      <c r="IV135" s="105"/>
      <c r="IW135" s="105"/>
    </row>
    <row r="136" customFormat="false" ht="12.75" hidden="false" customHeight="false" outlineLevel="0" collapsed="false">
      <c r="A136" s="106"/>
      <c r="B136" s="105"/>
      <c r="C136" s="106" t="s">
        <v>234</v>
      </c>
      <c r="D136" s="198"/>
      <c r="F136" s="198"/>
      <c r="G136" s="198"/>
      <c r="H136" s="198"/>
      <c r="I136" s="198"/>
      <c r="J136" s="199"/>
      <c r="K136" s="199"/>
      <c r="L136" s="199"/>
      <c r="M136" s="199" t="n">
        <f aca="false">SUM(M23,M47,M67,M122)</f>
        <v>63813219.906443</v>
      </c>
      <c r="N136" s="199"/>
      <c r="O136" s="209"/>
      <c r="P136" s="210"/>
      <c r="Q136" s="207" t="n">
        <f aca="false">SUM(Q23,Q47,Q67,Q122)</f>
        <v>6381321990.6443</v>
      </c>
      <c r="R136" s="208"/>
      <c r="S136" s="105"/>
      <c r="T136" s="105"/>
      <c r="U136" s="105"/>
      <c r="V136" s="105"/>
      <c r="W136" s="105"/>
      <c r="X136" s="105"/>
      <c r="Y136" s="105"/>
      <c r="Z136" s="105"/>
      <c r="AA136" s="154" t="n">
        <f aca="false">M136/$Q136*100</f>
        <v>1</v>
      </c>
      <c r="AB136" s="105"/>
      <c r="AC136" s="105"/>
      <c r="AD136" s="105"/>
      <c r="AE136" s="204"/>
      <c r="AG136" s="152"/>
      <c r="AH136" s="105"/>
      <c r="AI136" s="106"/>
      <c r="AJ136" s="106"/>
      <c r="AK136" s="106"/>
      <c r="AL136" s="106"/>
      <c r="AM136" s="106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5"/>
      <c r="BZ136" s="105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5"/>
      <c r="CM136" s="105"/>
      <c r="CN136" s="105"/>
      <c r="CO136" s="105"/>
      <c r="CP136" s="105"/>
      <c r="CQ136" s="105"/>
      <c r="CR136" s="105"/>
      <c r="CS136" s="105"/>
      <c r="CT136" s="105"/>
      <c r="CU136" s="105"/>
      <c r="CV136" s="105"/>
      <c r="CW136" s="105"/>
      <c r="CX136" s="105"/>
      <c r="CY136" s="105"/>
      <c r="CZ136" s="105"/>
      <c r="DA136" s="105"/>
      <c r="DB136" s="105"/>
      <c r="DC136" s="105"/>
      <c r="DD136" s="105"/>
      <c r="DE136" s="105"/>
      <c r="DF136" s="105"/>
      <c r="DG136" s="105"/>
      <c r="DH136" s="105"/>
      <c r="DI136" s="105"/>
      <c r="DJ136" s="105"/>
      <c r="DK136" s="105"/>
      <c r="DL136" s="105"/>
      <c r="DM136" s="105"/>
      <c r="DN136" s="105"/>
      <c r="DO136" s="105"/>
      <c r="DP136" s="105"/>
      <c r="DQ136" s="105"/>
      <c r="DR136" s="105"/>
      <c r="DS136" s="105"/>
      <c r="DT136" s="105"/>
      <c r="DU136" s="105"/>
      <c r="DV136" s="105"/>
      <c r="DW136" s="105"/>
      <c r="DX136" s="105"/>
      <c r="DY136" s="105"/>
      <c r="DZ136" s="105"/>
      <c r="EA136" s="105"/>
      <c r="EB136" s="105"/>
      <c r="EC136" s="105"/>
      <c r="ED136" s="105"/>
      <c r="EE136" s="105"/>
      <c r="EF136" s="105"/>
      <c r="EG136" s="105"/>
      <c r="EH136" s="105"/>
      <c r="EI136" s="105"/>
      <c r="EJ136" s="105"/>
      <c r="EK136" s="105"/>
      <c r="EL136" s="105"/>
      <c r="EM136" s="105"/>
      <c r="EN136" s="105"/>
      <c r="EO136" s="105"/>
      <c r="EP136" s="105"/>
      <c r="EQ136" s="105"/>
      <c r="ER136" s="105"/>
      <c r="ES136" s="105"/>
      <c r="ET136" s="105"/>
      <c r="EU136" s="105"/>
      <c r="EV136" s="105"/>
      <c r="EW136" s="105"/>
      <c r="EX136" s="105"/>
      <c r="EY136" s="105"/>
      <c r="EZ136" s="105"/>
      <c r="FA136" s="105"/>
      <c r="FB136" s="105"/>
      <c r="FC136" s="105"/>
      <c r="FD136" s="105"/>
      <c r="FE136" s="105"/>
      <c r="FF136" s="105"/>
      <c r="FG136" s="105"/>
      <c r="FH136" s="105"/>
      <c r="FI136" s="105"/>
      <c r="FJ136" s="105"/>
      <c r="FK136" s="105"/>
      <c r="FL136" s="105"/>
      <c r="FM136" s="105"/>
      <c r="FN136" s="105"/>
      <c r="FO136" s="105"/>
      <c r="FP136" s="105"/>
      <c r="FQ136" s="105"/>
      <c r="FR136" s="105"/>
      <c r="FS136" s="105"/>
      <c r="FT136" s="105"/>
      <c r="FU136" s="105"/>
      <c r="FV136" s="105"/>
      <c r="FW136" s="105"/>
      <c r="FX136" s="105"/>
      <c r="FY136" s="105"/>
      <c r="FZ136" s="105"/>
      <c r="GA136" s="105"/>
      <c r="GB136" s="105"/>
      <c r="GC136" s="105"/>
      <c r="GD136" s="105"/>
      <c r="GE136" s="105"/>
      <c r="GF136" s="105"/>
      <c r="GG136" s="105"/>
      <c r="GH136" s="105"/>
      <c r="GI136" s="105"/>
      <c r="GJ136" s="105"/>
      <c r="GK136" s="105"/>
      <c r="GL136" s="105"/>
      <c r="GM136" s="105"/>
      <c r="GN136" s="105"/>
      <c r="GO136" s="105"/>
      <c r="GP136" s="105"/>
      <c r="GQ136" s="105"/>
      <c r="GR136" s="105"/>
      <c r="GS136" s="105"/>
      <c r="GT136" s="105"/>
      <c r="GU136" s="105"/>
      <c r="GV136" s="105"/>
      <c r="GW136" s="105"/>
      <c r="GX136" s="105"/>
      <c r="GY136" s="105"/>
      <c r="GZ136" s="105"/>
      <c r="HA136" s="105"/>
      <c r="HB136" s="105"/>
      <c r="HC136" s="105"/>
      <c r="HD136" s="105"/>
      <c r="HE136" s="105"/>
      <c r="HF136" s="105"/>
      <c r="HG136" s="105"/>
      <c r="HH136" s="105"/>
      <c r="HI136" s="105"/>
      <c r="HJ136" s="105"/>
      <c r="HK136" s="105"/>
      <c r="HL136" s="105"/>
      <c r="HM136" s="105"/>
      <c r="HN136" s="105"/>
      <c r="HO136" s="105"/>
      <c r="HP136" s="105"/>
      <c r="HQ136" s="105"/>
      <c r="HR136" s="105"/>
      <c r="HS136" s="105"/>
      <c r="HT136" s="105"/>
      <c r="HU136" s="105"/>
      <c r="HV136" s="105"/>
      <c r="HW136" s="105"/>
      <c r="HX136" s="105"/>
      <c r="HY136" s="105"/>
      <c r="HZ136" s="105"/>
      <c r="IA136" s="105"/>
      <c r="IB136" s="105"/>
      <c r="IC136" s="105"/>
      <c r="ID136" s="105"/>
      <c r="IE136" s="105"/>
      <c r="IF136" s="105"/>
      <c r="IG136" s="105"/>
      <c r="IH136" s="105"/>
      <c r="II136" s="105"/>
      <c r="IJ136" s="105"/>
      <c r="IK136" s="105"/>
      <c r="IL136" s="105"/>
      <c r="IM136" s="105"/>
      <c r="IN136" s="105"/>
      <c r="IO136" s="105"/>
      <c r="IP136" s="105"/>
      <c r="IQ136" s="105"/>
      <c r="IR136" s="105"/>
      <c r="IS136" s="105"/>
      <c r="IT136" s="105"/>
      <c r="IU136" s="105"/>
      <c r="IV136" s="105"/>
      <c r="IW136" s="105"/>
    </row>
    <row r="137" customFormat="false" ht="12.75" hidden="false" customHeight="false" outlineLevel="0" collapsed="false">
      <c r="A137" s="106"/>
      <c r="B137" s="105"/>
      <c r="C137" s="106" t="s">
        <v>231</v>
      </c>
      <c r="D137" s="198"/>
      <c r="F137" s="198"/>
      <c r="G137" s="198"/>
      <c r="H137" s="198"/>
      <c r="I137" s="198"/>
      <c r="J137" s="199"/>
      <c r="K137" s="199"/>
      <c r="L137" s="199"/>
      <c r="M137" s="199" t="n">
        <f aca="false">SUM(M13,M20,M24,M50,M53,M68,M90,M123)</f>
        <v>652428910.242524</v>
      </c>
      <c r="N137" s="199"/>
      <c r="O137" s="209"/>
      <c r="P137" s="204"/>
      <c r="Q137" s="207" t="n">
        <f aca="false">SUM(Q13,Q20,Q24,Q50,Q53,Q68,Q90,Q123)</f>
        <v>67281102612.9235</v>
      </c>
      <c r="R137" s="208"/>
      <c r="S137" s="105"/>
      <c r="T137" s="105"/>
      <c r="U137" s="105"/>
      <c r="V137" s="105"/>
      <c r="W137" s="105"/>
      <c r="X137" s="105"/>
      <c r="Y137" s="105"/>
      <c r="Z137" s="105"/>
      <c r="AA137" s="154" t="n">
        <f aca="false">M137/$Q137*100</f>
        <v>0.96970603171596</v>
      </c>
      <c r="AB137" s="105"/>
      <c r="AC137" s="105"/>
      <c r="AD137" s="105"/>
      <c r="AE137" s="204"/>
      <c r="AG137" s="152"/>
      <c r="AH137" s="105"/>
      <c r="AI137" s="106"/>
      <c r="AJ137" s="106"/>
      <c r="AK137" s="106"/>
      <c r="AL137" s="106"/>
      <c r="AM137" s="106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5"/>
      <c r="BZ137" s="105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5"/>
      <c r="CM137" s="105"/>
      <c r="CN137" s="105"/>
      <c r="CO137" s="105"/>
      <c r="CP137" s="105"/>
      <c r="CQ137" s="105"/>
      <c r="CR137" s="105"/>
      <c r="CS137" s="105"/>
      <c r="CT137" s="105"/>
      <c r="CU137" s="105"/>
      <c r="CV137" s="105"/>
      <c r="CW137" s="105"/>
      <c r="CX137" s="105"/>
      <c r="CY137" s="105"/>
      <c r="CZ137" s="105"/>
      <c r="DA137" s="105"/>
      <c r="DB137" s="105"/>
      <c r="DC137" s="105"/>
      <c r="DD137" s="105"/>
      <c r="DE137" s="105"/>
      <c r="DF137" s="105"/>
      <c r="DG137" s="105"/>
      <c r="DH137" s="105"/>
      <c r="DI137" s="105"/>
      <c r="DJ137" s="105"/>
      <c r="DK137" s="105"/>
      <c r="DL137" s="105"/>
      <c r="DM137" s="105"/>
      <c r="DN137" s="105"/>
      <c r="DO137" s="105"/>
      <c r="DP137" s="105"/>
      <c r="DQ137" s="105"/>
      <c r="DR137" s="105"/>
      <c r="DS137" s="105"/>
      <c r="DT137" s="105"/>
      <c r="DU137" s="105"/>
      <c r="DV137" s="105"/>
      <c r="DW137" s="105"/>
      <c r="DX137" s="105"/>
      <c r="DY137" s="105"/>
      <c r="DZ137" s="105"/>
      <c r="EA137" s="105"/>
      <c r="EB137" s="105"/>
      <c r="EC137" s="105"/>
      <c r="ED137" s="105"/>
      <c r="EE137" s="105"/>
      <c r="EF137" s="105"/>
      <c r="EG137" s="105"/>
      <c r="EH137" s="105"/>
      <c r="EI137" s="105"/>
      <c r="EJ137" s="105"/>
      <c r="EK137" s="105"/>
      <c r="EL137" s="105"/>
      <c r="EM137" s="105"/>
      <c r="EN137" s="105"/>
      <c r="EO137" s="105"/>
      <c r="EP137" s="105"/>
      <c r="EQ137" s="105"/>
      <c r="ER137" s="105"/>
      <c r="ES137" s="105"/>
      <c r="ET137" s="105"/>
      <c r="EU137" s="105"/>
      <c r="EV137" s="105"/>
      <c r="EW137" s="105"/>
      <c r="EX137" s="105"/>
      <c r="EY137" s="105"/>
      <c r="EZ137" s="105"/>
      <c r="FA137" s="105"/>
      <c r="FB137" s="105"/>
      <c r="FC137" s="105"/>
      <c r="FD137" s="105"/>
      <c r="FE137" s="105"/>
      <c r="FF137" s="105"/>
      <c r="FG137" s="105"/>
      <c r="FH137" s="105"/>
      <c r="FI137" s="105"/>
      <c r="FJ137" s="105"/>
      <c r="FK137" s="105"/>
      <c r="FL137" s="105"/>
      <c r="FM137" s="105"/>
      <c r="FN137" s="105"/>
      <c r="FO137" s="105"/>
      <c r="FP137" s="105"/>
      <c r="FQ137" s="105"/>
      <c r="FR137" s="105"/>
      <c r="FS137" s="105"/>
      <c r="FT137" s="105"/>
      <c r="FU137" s="105"/>
      <c r="FV137" s="105"/>
      <c r="FW137" s="105"/>
      <c r="FX137" s="105"/>
      <c r="FY137" s="105"/>
      <c r="FZ137" s="105"/>
      <c r="GA137" s="105"/>
      <c r="GB137" s="105"/>
      <c r="GC137" s="105"/>
      <c r="GD137" s="105"/>
      <c r="GE137" s="105"/>
      <c r="GF137" s="105"/>
      <c r="GG137" s="105"/>
      <c r="GH137" s="105"/>
      <c r="GI137" s="105"/>
      <c r="GJ137" s="105"/>
      <c r="GK137" s="105"/>
      <c r="GL137" s="105"/>
      <c r="GM137" s="105"/>
      <c r="GN137" s="105"/>
      <c r="GO137" s="105"/>
      <c r="GP137" s="105"/>
      <c r="GQ137" s="105"/>
      <c r="GR137" s="105"/>
      <c r="GS137" s="105"/>
      <c r="GT137" s="105"/>
      <c r="GU137" s="105"/>
      <c r="GV137" s="105"/>
      <c r="GW137" s="105"/>
      <c r="GX137" s="105"/>
      <c r="GY137" s="105"/>
      <c r="GZ137" s="105"/>
      <c r="HA137" s="105"/>
      <c r="HB137" s="105"/>
      <c r="HC137" s="105"/>
      <c r="HD137" s="105"/>
      <c r="HE137" s="105"/>
      <c r="HF137" s="105"/>
      <c r="HG137" s="105"/>
      <c r="HH137" s="105"/>
      <c r="HI137" s="105"/>
      <c r="HJ137" s="105"/>
      <c r="HK137" s="105"/>
      <c r="HL137" s="105"/>
      <c r="HM137" s="105"/>
      <c r="HN137" s="105"/>
      <c r="HO137" s="105"/>
      <c r="HP137" s="105"/>
      <c r="HQ137" s="105"/>
      <c r="HR137" s="105"/>
      <c r="HS137" s="105"/>
      <c r="HT137" s="105"/>
      <c r="HU137" s="105"/>
      <c r="HV137" s="105"/>
      <c r="HW137" s="105"/>
      <c r="HX137" s="105"/>
      <c r="HY137" s="105"/>
      <c r="HZ137" s="105"/>
      <c r="IA137" s="105"/>
      <c r="IB137" s="105"/>
      <c r="IC137" s="105"/>
      <c r="ID137" s="105"/>
      <c r="IE137" s="105"/>
      <c r="IF137" s="105"/>
      <c r="IG137" s="105"/>
      <c r="IH137" s="105"/>
      <c r="II137" s="105"/>
      <c r="IJ137" s="105"/>
      <c r="IK137" s="105"/>
      <c r="IL137" s="105"/>
      <c r="IM137" s="105"/>
      <c r="IN137" s="105"/>
      <c r="IO137" s="105"/>
      <c r="IP137" s="105"/>
      <c r="IQ137" s="105"/>
      <c r="IR137" s="105"/>
      <c r="IS137" s="105"/>
      <c r="IT137" s="105"/>
      <c r="IU137" s="105"/>
      <c r="IV137" s="105"/>
      <c r="IW137" s="105"/>
    </row>
    <row r="138" customFormat="false" ht="12.75" hidden="false" customHeight="false" outlineLevel="0" collapsed="false">
      <c r="A138" s="106"/>
      <c r="B138" s="105" t="s">
        <v>380</v>
      </c>
      <c r="C138" s="106"/>
      <c r="D138" s="198"/>
      <c r="F138" s="198"/>
      <c r="G138" s="198"/>
      <c r="H138" s="198"/>
      <c r="I138" s="198"/>
      <c r="J138" s="199"/>
      <c r="K138" s="199"/>
      <c r="L138" s="199"/>
      <c r="M138" s="199" t="n">
        <f aca="false">SUM(M135:M137)</f>
        <v>791579577.629122</v>
      </c>
      <c r="N138" s="199"/>
      <c r="O138" s="209"/>
      <c r="P138" s="204"/>
      <c r="Q138" s="207" t="n">
        <f aca="false">SUM(Q135:Q137)</f>
        <v>81196169351.5833</v>
      </c>
      <c r="R138" s="105"/>
      <c r="S138" s="105"/>
      <c r="T138" s="105"/>
      <c r="U138" s="105"/>
      <c r="V138" s="105"/>
      <c r="W138" s="105"/>
      <c r="X138" s="105"/>
      <c r="Y138" s="105"/>
      <c r="Z138" s="105"/>
      <c r="AA138" s="154" t="n">
        <f aca="false">M138/$Q138*100</f>
        <v>0.974897687847249</v>
      </c>
      <c r="AB138" s="105"/>
      <c r="AC138" s="105"/>
      <c r="AD138" s="105"/>
      <c r="AE138" s="204"/>
      <c r="AG138" s="152"/>
      <c r="AH138" s="105"/>
      <c r="AI138" s="106"/>
      <c r="AJ138" s="106"/>
      <c r="AK138" s="106"/>
      <c r="AL138" s="106"/>
      <c r="AM138" s="106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5"/>
      <c r="BZ138" s="105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5"/>
      <c r="CM138" s="105"/>
      <c r="CN138" s="105"/>
      <c r="CO138" s="105"/>
      <c r="CP138" s="105"/>
      <c r="CQ138" s="105"/>
      <c r="CR138" s="105"/>
      <c r="CS138" s="105"/>
      <c r="CT138" s="105"/>
      <c r="CU138" s="105"/>
      <c r="CV138" s="105"/>
      <c r="CW138" s="105"/>
      <c r="CX138" s="105"/>
      <c r="CY138" s="105"/>
      <c r="CZ138" s="105"/>
      <c r="DA138" s="105"/>
      <c r="DB138" s="105"/>
      <c r="DC138" s="105"/>
      <c r="DD138" s="105"/>
      <c r="DE138" s="105"/>
      <c r="DF138" s="105"/>
      <c r="DG138" s="105"/>
      <c r="DH138" s="105"/>
      <c r="DI138" s="105"/>
      <c r="DJ138" s="105"/>
      <c r="DK138" s="105"/>
      <c r="DL138" s="105"/>
      <c r="DM138" s="105"/>
      <c r="DN138" s="105"/>
      <c r="DO138" s="105"/>
      <c r="DP138" s="105"/>
      <c r="DQ138" s="105"/>
      <c r="DR138" s="105"/>
      <c r="DS138" s="105"/>
      <c r="DT138" s="105"/>
      <c r="DU138" s="105"/>
      <c r="DV138" s="105"/>
      <c r="DW138" s="105"/>
      <c r="DX138" s="105"/>
      <c r="DY138" s="105"/>
      <c r="DZ138" s="105"/>
      <c r="EA138" s="105"/>
      <c r="EB138" s="105"/>
      <c r="EC138" s="105"/>
      <c r="ED138" s="105"/>
      <c r="EE138" s="105"/>
      <c r="EF138" s="105"/>
      <c r="EG138" s="105"/>
      <c r="EH138" s="105"/>
      <c r="EI138" s="105"/>
      <c r="EJ138" s="105"/>
      <c r="EK138" s="105"/>
      <c r="EL138" s="105"/>
      <c r="EM138" s="105"/>
      <c r="EN138" s="105"/>
      <c r="EO138" s="105"/>
      <c r="EP138" s="105"/>
      <c r="EQ138" s="105"/>
      <c r="ER138" s="105"/>
      <c r="ES138" s="105"/>
      <c r="ET138" s="105"/>
      <c r="EU138" s="105"/>
      <c r="EV138" s="105"/>
      <c r="EW138" s="105"/>
      <c r="EX138" s="105"/>
      <c r="EY138" s="105"/>
      <c r="EZ138" s="105"/>
      <c r="FA138" s="105"/>
      <c r="FB138" s="105"/>
      <c r="FC138" s="105"/>
      <c r="FD138" s="105"/>
      <c r="FE138" s="105"/>
      <c r="FF138" s="105"/>
      <c r="FG138" s="105"/>
      <c r="FH138" s="105"/>
      <c r="FI138" s="105"/>
      <c r="FJ138" s="105"/>
      <c r="FK138" s="105"/>
      <c r="FL138" s="105"/>
      <c r="FM138" s="105"/>
      <c r="FN138" s="105"/>
      <c r="FO138" s="105"/>
      <c r="FP138" s="105"/>
      <c r="FQ138" s="105"/>
      <c r="FR138" s="105"/>
      <c r="FS138" s="105"/>
      <c r="FT138" s="105"/>
      <c r="FU138" s="105"/>
      <c r="FV138" s="105"/>
      <c r="FW138" s="105"/>
      <c r="FX138" s="105"/>
      <c r="FY138" s="105"/>
      <c r="FZ138" s="105"/>
      <c r="GA138" s="105"/>
      <c r="GB138" s="105"/>
      <c r="GC138" s="105"/>
      <c r="GD138" s="105"/>
      <c r="GE138" s="105"/>
      <c r="GF138" s="105"/>
      <c r="GG138" s="105"/>
      <c r="GH138" s="105"/>
      <c r="GI138" s="105"/>
      <c r="GJ138" s="105"/>
      <c r="GK138" s="105"/>
      <c r="GL138" s="105"/>
      <c r="GM138" s="105"/>
      <c r="GN138" s="105"/>
      <c r="GO138" s="105"/>
      <c r="GP138" s="105"/>
      <c r="GQ138" s="105"/>
      <c r="GR138" s="105"/>
      <c r="GS138" s="105"/>
      <c r="GT138" s="105"/>
      <c r="GU138" s="105"/>
      <c r="GV138" s="105"/>
      <c r="GW138" s="105"/>
      <c r="GX138" s="105"/>
      <c r="GY138" s="105"/>
      <c r="GZ138" s="105"/>
      <c r="HA138" s="105"/>
      <c r="HB138" s="105"/>
      <c r="HC138" s="105"/>
      <c r="HD138" s="105"/>
      <c r="HE138" s="105"/>
      <c r="HF138" s="105"/>
      <c r="HG138" s="105"/>
      <c r="HH138" s="105"/>
      <c r="HI138" s="105"/>
      <c r="HJ138" s="105"/>
      <c r="HK138" s="105"/>
      <c r="HL138" s="105"/>
      <c r="HM138" s="105"/>
      <c r="HN138" s="105"/>
      <c r="HO138" s="105"/>
      <c r="HP138" s="105"/>
      <c r="HQ138" s="105"/>
      <c r="HR138" s="105"/>
      <c r="HS138" s="105"/>
      <c r="HT138" s="105"/>
      <c r="HU138" s="105"/>
      <c r="HV138" s="105"/>
      <c r="HW138" s="105"/>
      <c r="HX138" s="105"/>
      <c r="HY138" s="105"/>
      <c r="HZ138" s="105"/>
      <c r="IA138" s="105"/>
      <c r="IB138" s="105"/>
      <c r="IC138" s="105"/>
      <c r="ID138" s="105"/>
      <c r="IE138" s="105"/>
      <c r="IF138" s="105"/>
      <c r="IG138" s="105"/>
      <c r="IH138" s="105"/>
      <c r="II138" s="105"/>
      <c r="IJ138" s="105"/>
      <c r="IK138" s="105"/>
      <c r="IL138" s="105"/>
      <c r="IM138" s="105"/>
      <c r="IN138" s="105"/>
      <c r="IO138" s="105"/>
      <c r="IP138" s="105"/>
      <c r="IQ138" s="105"/>
      <c r="IR138" s="105"/>
      <c r="IS138" s="105"/>
      <c r="IT138" s="105"/>
      <c r="IU138" s="105"/>
      <c r="IV138" s="105"/>
      <c r="IW138" s="105"/>
    </row>
    <row r="139" customFormat="false" ht="12.75" hidden="false" customHeight="false" outlineLevel="0" collapsed="false">
      <c r="A139" s="106"/>
      <c r="B139" s="105"/>
      <c r="C139" s="106"/>
      <c r="D139" s="198"/>
      <c r="F139" s="198"/>
      <c r="G139" s="198"/>
      <c r="H139" s="198"/>
      <c r="I139" s="198"/>
      <c r="J139" s="199"/>
      <c r="K139" s="199"/>
      <c r="L139" s="199"/>
      <c r="M139" s="199"/>
      <c r="N139" s="199"/>
      <c r="O139" s="199"/>
      <c r="P139" s="105"/>
      <c r="Q139" s="207"/>
      <c r="R139" s="105"/>
      <c r="S139" s="105"/>
      <c r="T139" s="105"/>
      <c r="U139" s="105"/>
      <c r="V139" s="105"/>
      <c r="W139" s="105"/>
      <c r="X139" s="105"/>
      <c r="Y139" s="105"/>
      <c r="Z139" s="105"/>
      <c r="AA139" s="203"/>
      <c r="AB139" s="105"/>
      <c r="AC139" s="105"/>
      <c r="AD139" s="105"/>
      <c r="AE139" s="204"/>
      <c r="AG139" s="152"/>
      <c r="AH139" s="105"/>
      <c r="AI139" s="106"/>
      <c r="AJ139" s="106"/>
      <c r="AK139" s="106"/>
      <c r="AL139" s="106"/>
      <c r="AM139" s="106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  <c r="CP139" s="105"/>
      <c r="CQ139" s="105"/>
      <c r="CR139" s="105"/>
      <c r="CS139" s="105"/>
      <c r="CT139" s="105"/>
      <c r="CU139" s="105"/>
      <c r="CV139" s="105"/>
      <c r="CW139" s="105"/>
      <c r="CX139" s="105"/>
      <c r="CY139" s="105"/>
      <c r="CZ139" s="105"/>
      <c r="DA139" s="105"/>
      <c r="DB139" s="105"/>
      <c r="DC139" s="105"/>
      <c r="DD139" s="105"/>
      <c r="DE139" s="105"/>
      <c r="DF139" s="105"/>
      <c r="DG139" s="105"/>
      <c r="DH139" s="105"/>
      <c r="DI139" s="105"/>
      <c r="DJ139" s="105"/>
      <c r="DK139" s="105"/>
      <c r="DL139" s="105"/>
      <c r="DM139" s="105"/>
      <c r="DN139" s="105"/>
      <c r="DO139" s="105"/>
      <c r="DP139" s="105"/>
      <c r="DQ139" s="105"/>
      <c r="DR139" s="105"/>
      <c r="DS139" s="105"/>
      <c r="DT139" s="105"/>
      <c r="DU139" s="105"/>
      <c r="DV139" s="105"/>
      <c r="DW139" s="105"/>
      <c r="DX139" s="105"/>
      <c r="DY139" s="105"/>
      <c r="DZ139" s="105"/>
      <c r="EA139" s="105"/>
      <c r="EB139" s="105"/>
      <c r="EC139" s="105"/>
      <c r="ED139" s="105"/>
      <c r="EE139" s="105"/>
      <c r="EF139" s="105"/>
      <c r="EG139" s="105"/>
      <c r="EH139" s="105"/>
      <c r="EI139" s="105"/>
      <c r="EJ139" s="105"/>
      <c r="EK139" s="105"/>
      <c r="EL139" s="105"/>
      <c r="EM139" s="105"/>
      <c r="EN139" s="105"/>
      <c r="EO139" s="105"/>
      <c r="EP139" s="105"/>
      <c r="EQ139" s="105"/>
      <c r="ER139" s="105"/>
      <c r="ES139" s="105"/>
      <c r="ET139" s="105"/>
      <c r="EU139" s="105"/>
      <c r="EV139" s="105"/>
      <c r="EW139" s="105"/>
      <c r="EX139" s="105"/>
      <c r="EY139" s="105"/>
      <c r="EZ139" s="105"/>
      <c r="FA139" s="105"/>
      <c r="FB139" s="105"/>
      <c r="FC139" s="105"/>
      <c r="FD139" s="105"/>
      <c r="FE139" s="105"/>
      <c r="FF139" s="105"/>
      <c r="FG139" s="105"/>
      <c r="FH139" s="105"/>
      <c r="FI139" s="105"/>
      <c r="FJ139" s="105"/>
      <c r="FK139" s="105"/>
      <c r="FL139" s="105"/>
      <c r="FM139" s="105"/>
      <c r="FN139" s="105"/>
      <c r="FO139" s="105"/>
      <c r="FP139" s="105"/>
      <c r="FQ139" s="105"/>
      <c r="FR139" s="105"/>
      <c r="FS139" s="105"/>
      <c r="FT139" s="105"/>
      <c r="FU139" s="105"/>
      <c r="FV139" s="105"/>
      <c r="FW139" s="105"/>
      <c r="FX139" s="105"/>
      <c r="FY139" s="105"/>
      <c r="FZ139" s="105"/>
      <c r="GA139" s="105"/>
      <c r="GB139" s="105"/>
      <c r="GC139" s="105"/>
      <c r="GD139" s="105"/>
      <c r="GE139" s="105"/>
      <c r="GF139" s="105"/>
      <c r="GG139" s="105"/>
      <c r="GH139" s="105"/>
      <c r="GI139" s="105"/>
      <c r="GJ139" s="105"/>
      <c r="GK139" s="105"/>
      <c r="GL139" s="105"/>
      <c r="GM139" s="105"/>
      <c r="GN139" s="105"/>
      <c r="GO139" s="105"/>
      <c r="GP139" s="105"/>
      <c r="GQ139" s="105"/>
      <c r="GR139" s="105"/>
      <c r="GS139" s="105"/>
      <c r="GT139" s="105"/>
      <c r="GU139" s="105"/>
      <c r="GV139" s="105"/>
      <c r="GW139" s="105"/>
      <c r="GX139" s="105"/>
      <c r="GY139" s="105"/>
      <c r="GZ139" s="105"/>
      <c r="HA139" s="105"/>
      <c r="HB139" s="105"/>
      <c r="HC139" s="105"/>
      <c r="HD139" s="105"/>
      <c r="HE139" s="105"/>
      <c r="HF139" s="105"/>
      <c r="HG139" s="105"/>
      <c r="HH139" s="105"/>
      <c r="HI139" s="105"/>
      <c r="HJ139" s="105"/>
      <c r="HK139" s="105"/>
      <c r="HL139" s="105"/>
      <c r="HM139" s="105"/>
      <c r="HN139" s="105"/>
      <c r="HO139" s="105"/>
      <c r="HP139" s="105"/>
      <c r="HQ139" s="105"/>
      <c r="HR139" s="105"/>
      <c r="HS139" s="105"/>
      <c r="HT139" s="105"/>
      <c r="HU139" s="105"/>
      <c r="HV139" s="105"/>
      <c r="HW139" s="105"/>
      <c r="HX139" s="105"/>
      <c r="HY139" s="105"/>
      <c r="HZ139" s="105"/>
      <c r="IA139" s="105"/>
      <c r="IB139" s="105"/>
      <c r="IC139" s="105"/>
      <c r="ID139" s="105"/>
      <c r="IE139" s="105"/>
      <c r="IF139" s="105"/>
      <c r="IG139" s="105"/>
      <c r="IH139" s="105"/>
      <c r="II139" s="105"/>
      <c r="IJ139" s="105"/>
      <c r="IK139" s="105"/>
      <c r="IL139" s="105"/>
      <c r="IM139" s="105"/>
      <c r="IN139" s="105"/>
      <c r="IO139" s="105"/>
      <c r="IP139" s="105"/>
      <c r="IQ139" s="105"/>
      <c r="IR139" s="105"/>
      <c r="IS139" s="105"/>
      <c r="IT139" s="105"/>
      <c r="IU139" s="105"/>
      <c r="IV139" s="105"/>
      <c r="IW139" s="105"/>
    </row>
    <row r="140" customFormat="false" ht="12.75" hidden="false" customHeight="false" outlineLevel="0" collapsed="false">
      <c r="A140" s="106"/>
      <c r="B140" s="105"/>
      <c r="C140" s="106"/>
      <c r="D140" s="198"/>
      <c r="F140" s="198"/>
      <c r="G140" s="198"/>
      <c r="H140" s="198"/>
      <c r="I140" s="198"/>
      <c r="J140" s="199"/>
      <c r="K140" s="199"/>
      <c r="L140" s="199"/>
      <c r="M140" s="199"/>
      <c r="N140" s="199"/>
      <c r="O140" s="199"/>
      <c r="P140" s="105"/>
      <c r="Q140" s="207"/>
      <c r="R140" s="105"/>
      <c r="S140" s="105"/>
      <c r="T140" s="105"/>
      <c r="U140" s="105"/>
      <c r="V140" s="105"/>
      <c r="W140" s="105"/>
      <c r="X140" s="105"/>
      <c r="Y140" s="105"/>
      <c r="Z140" s="105"/>
      <c r="AA140" s="203"/>
      <c r="AB140" s="105"/>
      <c r="AC140" s="105"/>
      <c r="AD140" s="105"/>
      <c r="AE140" s="204"/>
      <c r="AG140" s="152"/>
      <c r="AH140" s="105"/>
      <c r="AI140" s="106"/>
      <c r="AJ140" s="106"/>
      <c r="AK140" s="106"/>
      <c r="AL140" s="106"/>
      <c r="AM140" s="106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  <c r="CP140" s="105"/>
      <c r="CQ140" s="105"/>
      <c r="CR140" s="105"/>
      <c r="CS140" s="105"/>
      <c r="CT140" s="105"/>
      <c r="CU140" s="105"/>
      <c r="CV140" s="105"/>
      <c r="CW140" s="105"/>
      <c r="CX140" s="105"/>
      <c r="CY140" s="105"/>
      <c r="CZ140" s="105"/>
      <c r="DA140" s="105"/>
      <c r="DB140" s="105"/>
      <c r="DC140" s="105"/>
      <c r="DD140" s="105"/>
      <c r="DE140" s="105"/>
      <c r="DF140" s="105"/>
      <c r="DG140" s="105"/>
      <c r="DH140" s="105"/>
      <c r="DI140" s="105"/>
      <c r="DJ140" s="105"/>
      <c r="DK140" s="105"/>
      <c r="DL140" s="105"/>
      <c r="DM140" s="105"/>
      <c r="DN140" s="105"/>
      <c r="DO140" s="105"/>
      <c r="DP140" s="105"/>
      <c r="DQ140" s="105"/>
      <c r="DR140" s="105"/>
      <c r="DS140" s="105"/>
      <c r="DT140" s="105"/>
      <c r="DU140" s="105"/>
      <c r="DV140" s="105"/>
      <c r="DW140" s="105"/>
      <c r="DX140" s="105"/>
      <c r="DY140" s="105"/>
      <c r="DZ140" s="105"/>
      <c r="EA140" s="105"/>
      <c r="EB140" s="105"/>
      <c r="EC140" s="105"/>
      <c r="ED140" s="105"/>
      <c r="EE140" s="105"/>
      <c r="EF140" s="105"/>
      <c r="EG140" s="105"/>
      <c r="EH140" s="105"/>
      <c r="EI140" s="105"/>
      <c r="EJ140" s="105"/>
      <c r="EK140" s="105"/>
      <c r="EL140" s="105"/>
      <c r="EM140" s="105"/>
      <c r="EN140" s="105"/>
      <c r="EO140" s="105"/>
      <c r="EP140" s="105"/>
      <c r="EQ140" s="105"/>
      <c r="ER140" s="105"/>
      <c r="ES140" s="105"/>
      <c r="ET140" s="105"/>
      <c r="EU140" s="105"/>
      <c r="EV140" s="105"/>
      <c r="EW140" s="105"/>
      <c r="EX140" s="105"/>
      <c r="EY140" s="105"/>
      <c r="EZ140" s="105"/>
      <c r="FA140" s="105"/>
      <c r="FB140" s="105"/>
      <c r="FC140" s="105"/>
      <c r="FD140" s="105"/>
      <c r="FE140" s="105"/>
      <c r="FF140" s="105"/>
      <c r="FG140" s="105"/>
      <c r="FH140" s="105"/>
      <c r="FI140" s="105"/>
      <c r="FJ140" s="105"/>
      <c r="FK140" s="105"/>
      <c r="FL140" s="105"/>
      <c r="FM140" s="105"/>
      <c r="FN140" s="105"/>
      <c r="FO140" s="105"/>
      <c r="FP140" s="105"/>
      <c r="FQ140" s="105"/>
      <c r="FR140" s="105"/>
      <c r="FS140" s="105"/>
      <c r="FT140" s="105"/>
      <c r="FU140" s="105"/>
      <c r="FV140" s="105"/>
      <c r="FW140" s="105"/>
      <c r="FX140" s="105"/>
      <c r="FY140" s="105"/>
      <c r="FZ140" s="105"/>
      <c r="GA140" s="105"/>
      <c r="GB140" s="105"/>
      <c r="GC140" s="105"/>
      <c r="GD140" s="105"/>
      <c r="GE140" s="105"/>
      <c r="GF140" s="105"/>
      <c r="GG140" s="105"/>
      <c r="GH140" s="105"/>
      <c r="GI140" s="105"/>
      <c r="GJ140" s="105"/>
      <c r="GK140" s="105"/>
      <c r="GL140" s="105"/>
      <c r="GM140" s="105"/>
      <c r="GN140" s="105"/>
      <c r="GO140" s="105"/>
      <c r="GP140" s="105"/>
      <c r="GQ140" s="105"/>
      <c r="GR140" s="105"/>
      <c r="GS140" s="105"/>
      <c r="GT140" s="105"/>
      <c r="GU140" s="105"/>
      <c r="GV140" s="105"/>
      <c r="GW140" s="105"/>
      <c r="GX140" s="105"/>
      <c r="GY140" s="105"/>
      <c r="GZ140" s="105"/>
      <c r="HA140" s="105"/>
      <c r="HB140" s="105"/>
      <c r="HC140" s="105"/>
      <c r="HD140" s="105"/>
      <c r="HE140" s="105"/>
      <c r="HF140" s="105"/>
      <c r="HG140" s="105"/>
      <c r="HH140" s="105"/>
      <c r="HI140" s="105"/>
      <c r="HJ140" s="105"/>
      <c r="HK140" s="105"/>
      <c r="HL140" s="105"/>
      <c r="HM140" s="105"/>
      <c r="HN140" s="105"/>
      <c r="HO140" s="105"/>
      <c r="HP140" s="105"/>
      <c r="HQ140" s="105"/>
      <c r="HR140" s="105"/>
      <c r="HS140" s="105"/>
      <c r="HT140" s="105"/>
      <c r="HU140" s="105"/>
      <c r="HV140" s="105"/>
      <c r="HW140" s="105"/>
      <c r="HX140" s="105"/>
      <c r="HY140" s="105"/>
      <c r="HZ140" s="105"/>
      <c r="IA140" s="105"/>
      <c r="IB140" s="105"/>
      <c r="IC140" s="105"/>
      <c r="ID140" s="105"/>
      <c r="IE140" s="105"/>
      <c r="IF140" s="105"/>
      <c r="IG140" s="105"/>
      <c r="IH140" s="105"/>
      <c r="II140" s="105"/>
      <c r="IJ140" s="105"/>
      <c r="IK140" s="105"/>
      <c r="IL140" s="105"/>
      <c r="IM140" s="105"/>
      <c r="IN140" s="105"/>
      <c r="IO140" s="105"/>
      <c r="IP140" s="105"/>
      <c r="IQ140" s="105"/>
      <c r="IR140" s="105"/>
      <c r="IS140" s="105"/>
      <c r="IT140" s="105"/>
      <c r="IU140" s="105"/>
      <c r="IV140" s="105"/>
      <c r="IW140" s="105"/>
    </row>
    <row r="141" customFormat="false" ht="12.75" hidden="false" customHeight="false" outlineLevel="0" collapsed="false">
      <c r="A141" s="106"/>
      <c r="B141" s="105"/>
      <c r="C141" s="106"/>
      <c r="D141" s="198"/>
      <c r="F141" s="198"/>
      <c r="G141" s="198"/>
      <c r="H141" s="198"/>
      <c r="I141" s="198"/>
      <c r="J141" s="199"/>
      <c r="K141" s="199"/>
      <c r="L141" s="199"/>
      <c r="M141" s="199"/>
      <c r="N141" s="199"/>
      <c r="O141" s="199"/>
      <c r="P141" s="105"/>
      <c r="Q141" s="207"/>
      <c r="R141" s="105"/>
      <c r="S141" s="105"/>
      <c r="T141" s="105"/>
      <c r="U141" s="105"/>
      <c r="V141" s="105"/>
      <c r="W141" s="105"/>
      <c r="X141" s="105"/>
      <c r="Y141" s="105"/>
      <c r="Z141" s="105"/>
      <c r="AA141" s="203"/>
      <c r="AB141" s="105"/>
      <c r="AC141" s="105"/>
      <c r="AD141" s="105"/>
      <c r="AE141" s="204"/>
      <c r="AG141" s="152"/>
      <c r="AH141" s="105"/>
      <c r="AI141" s="106"/>
      <c r="AJ141" s="106"/>
      <c r="AK141" s="106"/>
      <c r="AL141" s="106"/>
      <c r="AM141" s="106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5"/>
      <c r="CM141" s="105"/>
      <c r="CN141" s="105"/>
      <c r="CO141" s="105"/>
      <c r="CP141" s="105"/>
      <c r="CQ141" s="105"/>
      <c r="CR141" s="105"/>
      <c r="CS141" s="105"/>
      <c r="CT141" s="105"/>
      <c r="CU141" s="105"/>
      <c r="CV141" s="105"/>
      <c r="CW141" s="105"/>
      <c r="CX141" s="105"/>
      <c r="CY141" s="105"/>
      <c r="CZ141" s="105"/>
      <c r="DA141" s="105"/>
      <c r="DB141" s="105"/>
      <c r="DC141" s="105"/>
      <c r="DD141" s="105"/>
      <c r="DE141" s="105"/>
      <c r="DF141" s="105"/>
      <c r="DG141" s="105"/>
      <c r="DH141" s="105"/>
      <c r="DI141" s="105"/>
      <c r="DJ141" s="105"/>
      <c r="DK141" s="105"/>
      <c r="DL141" s="105"/>
      <c r="DM141" s="105"/>
      <c r="DN141" s="105"/>
      <c r="DO141" s="105"/>
      <c r="DP141" s="105"/>
      <c r="DQ141" s="105"/>
      <c r="DR141" s="105"/>
      <c r="DS141" s="105"/>
      <c r="DT141" s="105"/>
      <c r="DU141" s="105"/>
      <c r="DV141" s="105"/>
      <c r="DW141" s="105"/>
      <c r="DX141" s="105"/>
      <c r="DY141" s="105"/>
      <c r="DZ141" s="105"/>
      <c r="EA141" s="105"/>
      <c r="EB141" s="105"/>
      <c r="EC141" s="105"/>
      <c r="ED141" s="105"/>
      <c r="EE141" s="105"/>
      <c r="EF141" s="105"/>
      <c r="EG141" s="105"/>
      <c r="EH141" s="105"/>
      <c r="EI141" s="105"/>
      <c r="EJ141" s="105"/>
      <c r="EK141" s="105"/>
      <c r="EL141" s="105"/>
      <c r="EM141" s="105"/>
      <c r="EN141" s="105"/>
      <c r="EO141" s="105"/>
      <c r="EP141" s="105"/>
      <c r="EQ141" s="105"/>
      <c r="ER141" s="105"/>
      <c r="ES141" s="105"/>
      <c r="ET141" s="105"/>
      <c r="EU141" s="105"/>
      <c r="EV141" s="105"/>
      <c r="EW141" s="105"/>
      <c r="EX141" s="105"/>
      <c r="EY141" s="105"/>
      <c r="EZ141" s="105"/>
      <c r="FA141" s="105"/>
      <c r="FB141" s="105"/>
      <c r="FC141" s="105"/>
      <c r="FD141" s="105"/>
      <c r="FE141" s="105"/>
      <c r="FF141" s="105"/>
      <c r="FG141" s="105"/>
      <c r="FH141" s="105"/>
      <c r="FI141" s="105"/>
      <c r="FJ141" s="105"/>
      <c r="FK141" s="105"/>
      <c r="FL141" s="105"/>
      <c r="FM141" s="105"/>
      <c r="FN141" s="105"/>
      <c r="FO141" s="105"/>
      <c r="FP141" s="105"/>
      <c r="FQ141" s="105"/>
      <c r="FR141" s="105"/>
      <c r="FS141" s="105"/>
      <c r="FT141" s="105"/>
      <c r="FU141" s="105"/>
      <c r="FV141" s="105"/>
      <c r="FW141" s="105"/>
      <c r="FX141" s="105"/>
      <c r="FY141" s="105"/>
      <c r="FZ141" s="105"/>
      <c r="GA141" s="105"/>
      <c r="GB141" s="105"/>
      <c r="GC141" s="105"/>
      <c r="GD141" s="105"/>
      <c r="GE141" s="105"/>
      <c r="GF141" s="105"/>
      <c r="GG141" s="105"/>
      <c r="GH141" s="105"/>
      <c r="GI141" s="105"/>
      <c r="GJ141" s="105"/>
      <c r="GK141" s="105"/>
      <c r="GL141" s="105"/>
      <c r="GM141" s="105"/>
      <c r="GN141" s="105"/>
      <c r="GO141" s="105"/>
      <c r="GP141" s="105"/>
      <c r="GQ141" s="105"/>
      <c r="GR141" s="105"/>
      <c r="GS141" s="105"/>
      <c r="GT141" s="105"/>
      <c r="GU141" s="105"/>
      <c r="GV141" s="105"/>
      <c r="GW141" s="105"/>
      <c r="GX141" s="105"/>
      <c r="GY141" s="105"/>
      <c r="GZ141" s="105"/>
      <c r="HA141" s="105"/>
      <c r="HB141" s="105"/>
      <c r="HC141" s="105"/>
      <c r="HD141" s="105"/>
      <c r="HE141" s="105"/>
      <c r="HF141" s="105"/>
      <c r="HG141" s="105"/>
      <c r="HH141" s="105"/>
      <c r="HI141" s="105"/>
      <c r="HJ141" s="105"/>
      <c r="HK141" s="105"/>
      <c r="HL141" s="105"/>
      <c r="HM141" s="105"/>
      <c r="HN141" s="105"/>
      <c r="HO141" s="105"/>
      <c r="HP141" s="105"/>
      <c r="HQ141" s="105"/>
      <c r="HR141" s="105"/>
      <c r="HS141" s="105"/>
      <c r="HT141" s="105"/>
      <c r="HU141" s="105"/>
      <c r="HV141" s="105"/>
      <c r="HW141" s="105"/>
      <c r="HX141" s="105"/>
      <c r="HY141" s="105"/>
      <c r="HZ141" s="105"/>
      <c r="IA141" s="105"/>
      <c r="IB141" s="105"/>
      <c r="IC141" s="105"/>
      <c r="ID141" s="105"/>
      <c r="IE141" s="105"/>
      <c r="IF141" s="105"/>
      <c r="IG141" s="105"/>
      <c r="IH141" s="105"/>
      <c r="II141" s="105"/>
      <c r="IJ141" s="105"/>
      <c r="IK141" s="105"/>
      <c r="IL141" s="105"/>
      <c r="IM141" s="105"/>
      <c r="IN141" s="105"/>
      <c r="IO141" s="105"/>
      <c r="IP141" s="105"/>
      <c r="IQ141" s="105"/>
      <c r="IR141" s="105"/>
      <c r="IS141" s="105"/>
      <c r="IT141" s="105"/>
      <c r="IU141" s="105"/>
      <c r="IV141" s="105"/>
      <c r="IW141" s="105"/>
    </row>
    <row r="142" customFormat="false" ht="12.75" hidden="false" customHeight="false" outlineLevel="0" collapsed="false">
      <c r="A142" s="106"/>
      <c r="B142" s="105"/>
      <c r="C142" s="106"/>
      <c r="D142" s="198"/>
      <c r="F142" s="198"/>
      <c r="G142" s="198"/>
      <c r="H142" s="198"/>
      <c r="I142" s="198"/>
      <c r="J142" s="199"/>
      <c r="K142" s="199"/>
      <c r="L142" s="199"/>
      <c r="M142" s="199"/>
      <c r="N142" s="199"/>
      <c r="O142" s="199"/>
      <c r="P142" s="105"/>
      <c r="Q142" s="207"/>
      <c r="R142" s="105"/>
      <c r="S142" s="105"/>
      <c r="T142" s="105"/>
      <c r="U142" s="105"/>
      <c r="V142" s="105"/>
      <c r="W142" s="105"/>
      <c r="X142" s="105"/>
      <c r="Y142" s="105"/>
      <c r="Z142" s="105"/>
      <c r="AA142" s="203"/>
      <c r="AB142" s="105"/>
      <c r="AC142" s="105"/>
      <c r="AD142" s="105"/>
      <c r="AE142" s="204"/>
      <c r="AG142" s="152"/>
      <c r="AH142" s="105"/>
      <c r="AI142" s="106"/>
      <c r="AJ142" s="106"/>
      <c r="AK142" s="106"/>
      <c r="AL142" s="106"/>
      <c r="AM142" s="106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5"/>
      <c r="BZ142" s="105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5"/>
      <c r="CM142" s="105"/>
      <c r="CN142" s="105"/>
      <c r="CO142" s="105"/>
      <c r="CP142" s="105"/>
      <c r="CQ142" s="105"/>
      <c r="CR142" s="105"/>
      <c r="CS142" s="105"/>
      <c r="CT142" s="105"/>
      <c r="CU142" s="105"/>
      <c r="CV142" s="105"/>
      <c r="CW142" s="105"/>
      <c r="CX142" s="105"/>
      <c r="CY142" s="105"/>
      <c r="CZ142" s="105"/>
      <c r="DA142" s="105"/>
      <c r="DB142" s="105"/>
      <c r="DC142" s="105"/>
      <c r="DD142" s="105"/>
      <c r="DE142" s="105"/>
      <c r="DF142" s="105"/>
      <c r="DG142" s="105"/>
      <c r="DH142" s="105"/>
      <c r="DI142" s="105"/>
      <c r="DJ142" s="105"/>
      <c r="DK142" s="105"/>
      <c r="DL142" s="105"/>
      <c r="DM142" s="105"/>
      <c r="DN142" s="105"/>
      <c r="DO142" s="105"/>
      <c r="DP142" s="105"/>
      <c r="DQ142" s="105"/>
      <c r="DR142" s="105"/>
      <c r="DS142" s="105"/>
      <c r="DT142" s="105"/>
      <c r="DU142" s="105"/>
      <c r="DV142" s="105"/>
      <c r="DW142" s="105"/>
      <c r="DX142" s="105"/>
      <c r="DY142" s="105"/>
      <c r="DZ142" s="105"/>
      <c r="EA142" s="105"/>
      <c r="EB142" s="105"/>
      <c r="EC142" s="105"/>
      <c r="ED142" s="105"/>
      <c r="EE142" s="105"/>
      <c r="EF142" s="105"/>
      <c r="EG142" s="105"/>
      <c r="EH142" s="105"/>
      <c r="EI142" s="105"/>
      <c r="EJ142" s="105"/>
      <c r="EK142" s="105"/>
      <c r="EL142" s="105"/>
      <c r="EM142" s="105"/>
      <c r="EN142" s="105"/>
      <c r="EO142" s="105"/>
      <c r="EP142" s="105"/>
      <c r="EQ142" s="105"/>
      <c r="ER142" s="105"/>
      <c r="ES142" s="105"/>
      <c r="ET142" s="105"/>
      <c r="EU142" s="105"/>
      <c r="EV142" s="105"/>
      <c r="EW142" s="105"/>
      <c r="EX142" s="105"/>
      <c r="EY142" s="105"/>
      <c r="EZ142" s="105"/>
      <c r="FA142" s="105"/>
      <c r="FB142" s="105"/>
      <c r="FC142" s="105"/>
      <c r="FD142" s="105"/>
      <c r="FE142" s="105"/>
      <c r="FF142" s="105"/>
      <c r="FG142" s="105"/>
      <c r="FH142" s="105"/>
      <c r="FI142" s="105"/>
      <c r="FJ142" s="105"/>
      <c r="FK142" s="105"/>
      <c r="FL142" s="105"/>
      <c r="FM142" s="105"/>
      <c r="FN142" s="105"/>
      <c r="FO142" s="105"/>
      <c r="FP142" s="105"/>
      <c r="FQ142" s="105"/>
      <c r="FR142" s="105"/>
      <c r="FS142" s="105"/>
      <c r="FT142" s="105"/>
      <c r="FU142" s="105"/>
      <c r="FV142" s="105"/>
      <c r="FW142" s="105"/>
      <c r="FX142" s="105"/>
      <c r="FY142" s="105"/>
      <c r="FZ142" s="105"/>
      <c r="GA142" s="105"/>
      <c r="GB142" s="105"/>
      <c r="GC142" s="105"/>
      <c r="GD142" s="105"/>
      <c r="GE142" s="105"/>
      <c r="GF142" s="105"/>
      <c r="GG142" s="105"/>
      <c r="GH142" s="105"/>
      <c r="GI142" s="105"/>
      <c r="GJ142" s="105"/>
      <c r="GK142" s="105"/>
      <c r="GL142" s="105"/>
      <c r="GM142" s="105"/>
      <c r="GN142" s="105"/>
      <c r="GO142" s="105"/>
      <c r="GP142" s="105"/>
      <c r="GQ142" s="105"/>
      <c r="GR142" s="105"/>
      <c r="GS142" s="105"/>
      <c r="GT142" s="105"/>
      <c r="GU142" s="105"/>
      <c r="GV142" s="105"/>
      <c r="GW142" s="105"/>
      <c r="GX142" s="105"/>
      <c r="GY142" s="105"/>
      <c r="GZ142" s="105"/>
      <c r="HA142" s="105"/>
      <c r="HB142" s="105"/>
      <c r="HC142" s="105"/>
      <c r="HD142" s="105"/>
      <c r="HE142" s="105"/>
      <c r="HF142" s="105"/>
      <c r="HG142" s="105"/>
      <c r="HH142" s="105"/>
      <c r="HI142" s="105"/>
      <c r="HJ142" s="105"/>
      <c r="HK142" s="105"/>
      <c r="HL142" s="105"/>
      <c r="HM142" s="105"/>
      <c r="HN142" s="105"/>
      <c r="HO142" s="105"/>
      <c r="HP142" s="105"/>
      <c r="HQ142" s="105"/>
      <c r="HR142" s="105"/>
      <c r="HS142" s="105"/>
      <c r="HT142" s="105"/>
      <c r="HU142" s="105"/>
      <c r="HV142" s="105"/>
      <c r="HW142" s="105"/>
      <c r="HX142" s="105"/>
      <c r="HY142" s="105"/>
      <c r="HZ142" s="105"/>
      <c r="IA142" s="105"/>
      <c r="IB142" s="105"/>
      <c r="IC142" s="105"/>
      <c r="ID142" s="105"/>
      <c r="IE142" s="105"/>
      <c r="IF142" s="105"/>
      <c r="IG142" s="105"/>
      <c r="IH142" s="105"/>
      <c r="II142" s="105"/>
      <c r="IJ142" s="105"/>
      <c r="IK142" s="105"/>
      <c r="IL142" s="105"/>
      <c r="IM142" s="105"/>
      <c r="IN142" s="105"/>
      <c r="IO142" s="105"/>
      <c r="IP142" s="105"/>
      <c r="IQ142" s="105"/>
      <c r="IR142" s="105"/>
      <c r="IS142" s="105"/>
      <c r="IT142" s="105"/>
      <c r="IU142" s="105"/>
      <c r="IV142" s="105"/>
      <c r="IW142" s="105"/>
    </row>
    <row r="143" customFormat="false" ht="12.75" hidden="false" customHeight="false" outlineLevel="0" collapsed="false">
      <c r="A143" s="106"/>
      <c r="B143" s="105"/>
      <c r="C143" s="106"/>
      <c r="D143" s="198"/>
      <c r="F143" s="198"/>
      <c r="G143" s="198"/>
      <c r="H143" s="198"/>
      <c r="I143" s="198"/>
      <c r="J143" s="199"/>
      <c r="K143" s="199"/>
      <c r="L143" s="199"/>
      <c r="M143" s="199"/>
      <c r="N143" s="199"/>
      <c r="O143" s="199"/>
      <c r="P143" s="105"/>
      <c r="Q143" s="207"/>
      <c r="R143" s="105"/>
      <c r="S143" s="105"/>
      <c r="T143" s="105"/>
      <c r="U143" s="105"/>
      <c r="V143" s="105"/>
      <c r="W143" s="105"/>
      <c r="X143" s="105"/>
      <c r="Y143" s="105"/>
      <c r="Z143" s="105"/>
      <c r="AA143" s="203"/>
      <c r="AB143" s="105"/>
      <c r="AC143" s="105"/>
      <c r="AD143" s="105"/>
      <c r="AE143" s="204"/>
      <c r="AG143" s="152"/>
      <c r="AH143" s="105"/>
      <c r="AI143" s="106"/>
      <c r="AJ143" s="106"/>
      <c r="AK143" s="106"/>
      <c r="AL143" s="106"/>
      <c r="AM143" s="106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5"/>
      <c r="BZ143" s="105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5"/>
      <c r="CM143" s="105"/>
      <c r="CN143" s="105"/>
      <c r="CO143" s="105"/>
      <c r="CP143" s="105"/>
      <c r="CQ143" s="105"/>
      <c r="CR143" s="105"/>
      <c r="CS143" s="105"/>
      <c r="CT143" s="105"/>
      <c r="CU143" s="105"/>
      <c r="CV143" s="105"/>
      <c r="CW143" s="105"/>
      <c r="CX143" s="105"/>
      <c r="CY143" s="105"/>
      <c r="CZ143" s="105"/>
      <c r="DA143" s="105"/>
      <c r="DB143" s="105"/>
      <c r="DC143" s="105"/>
      <c r="DD143" s="105"/>
      <c r="DE143" s="105"/>
      <c r="DF143" s="105"/>
      <c r="DG143" s="105"/>
      <c r="DH143" s="105"/>
      <c r="DI143" s="105"/>
      <c r="DJ143" s="105"/>
      <c r="DK143" s="105"/>
      <c r="DL143" s="105"/>
      <c r="DM143" s="105"/>
      <c r="DN143" s="105"/>
      <c r="DO143" s="105"/>
      <c r="DP143" s="105"/>
      <c r="DQ143" s="105"/>
      <c r="DR143" s="105"/>
      <c r="DS143" s="105"/>
      <c r="DT143" s="105"/>
      <c r="DU143" s="105"/>
      <c r="DV143" s="105"/>
      <c r="DW143" s="105"/>
      <c r="DX143" s="105"/>
      <c r="DY143" s="105"/>
      <c r="DZ143" s="105"/>
      <c r="EA143" s="105"/>
      <c r="EB143" s="105"/>
      <c r="EC143" s="105"/>
      <c r="ED143" s="105"/>
      <c r="EE143" s="105"/>
      <c r="EF143" s="105"/>
      <c r="EG143" s="105"/>
      <c r="EH143" s="105"/>
      <c r="EI143" s="105"/>
      <c r="EJ143" s="105"/>
      <c r="EK143" s="105"/>
      <c r="EL143" s="105"/>
      <c r="EM143" s="105"/>
      <c r="EN143" s="105"/>
      <c r="EO143" s="105"/>
      <c r="EP143" s="105"/>
      <c r="EQ143" s="105"/>
      <c r="ER143" s="105"/>
      <c r="ES143" s="105"/>
      <c r="ET143" s="105"/>
      <c r="EU143" s="105"/>
      <c r="EV143" s="105"/>
      <c r="EW143" s="105"/>
      <c r="EX143" s="105"/>
      <c r="EY143" s="105"/>
      <c r="EZ143" s="105"/>
      <c r="FA143" s="105"/>
      <c r="FB143" s="105"/>
      <c r="FC143" s="105"/>
      <c r="FD143" s="105"/>
      <c r="FE143" s="105"/>
      <c r="FF143" s="105"/>
      <c r="FG143" s="105"/>
      <c r="FH143" s="105"/>
      <c r="FI143" s="105"/>
      <c r="FJ143" s="105"/>
      <c r="FK143" s="105"/>
      <c r="FL143" s="105"/>
      <c r="FM143" s="105"/>
      <c r="FN143" s="105"/>
      <c r="FO143" s="105"/>
      <c r="FP143" s="105"/>
      <c r="FQ143" s="105"/>
      <c r="FR143" s="105"/>
      <c r="FS143" s="105"/>
      <c r="FT143" s="105"/>
      <c r="FU143" s="105"/>
      <c r="FV143" s="105"/>
      <c r="FW143" s="105"/>
      <c r="FX143" s="105"/>
      <c r="FY143" s="105"/>
      <c r="FZ143" s="105"/>
      <c r="GA143" s="105"/>
      <c r="GB143" s="105"/>
      <c r="GC143" s="105"/>
      <c r="GD143" s="105"/>
      <c r="GE143" s="105"/>
      <c r="GF143" s="105"/>
      <c r="GG143" s="105"/>
      <c r="GH143" s="105"/>
      <c r="GI143" s="105"/>
      <c r="GJ143" s="105"/>
      <c r="GK143" s="105"/>
      <c r="GL143" s="105"/>
      <c r="GM143" s="105"/>
      <c r="GN143" s="105"/>
      <c r="GO143" s="105"/>
      <c r="GP143" s="105"/>
      <c r="GQ143" s="105"/>
      <c r="GR143" s="105"/>
      <c r="GS143" s="105"/>
      <c r="GT143" s="105"/>
      <c r="GU143" s="105"/>
      <c r="GV143" s="105"/>
      <c r="GW143" s="105"/>
      <c r="GX143" s="105"/>
      <c r="GY143" s="105"/>
      <c r="GZ143" s="105"/>
      <c r="HA143" s="105"/>
      <c r="HB143" s="105"/>
      <c r="HC143" s="105"/>
      <c r="HD143" s="105"/>
      <c r="HE143" s="105"/>
      <c r="HF143" s="105"/>
      <c r="HG143" s="105"/>
      <c r="HH143" s="105"/>
      <c r="HI143" s="105"/>
      <c r="HJ143" s="105"/>
      <c r="HK143" s="105"/>
      <c r="HL143" s="105"/>
      <c r="HM143" s="105"/>
      <c r="HN143" s="105"/>
      <c r="HO143" s="105"/>
      <c r="HP143" s="105"/>
      <c r="HQ143" s="105"/>
      <c r="HR143" s="105"/>
      <c r="HS143" s="105"/>
      <c r="HT143" s="105"/>
      <c r="HU143" s="105"/>
      <c r="HV143" s="105"/>
      <c r="HW143" s="105"/>
      <c r="HX143" s="105"/>
      <c r="HY143" s="105"/>
      <c r="HZ143" s="105"/>
      <c r="IA143" s="105"/>
      <c r="IB143" s="105"/>
      <c r="IC143" s="105"/>
      <c r="ID143" s="105"/>
      <c r="IE143" s="105"/>
      <c r="IF143" s="105"/>
      <c r="IG143" s="105"/>
      <c r="IH143" s="105"/>
      <c r="II143" s="105"/>
      <c r="IJ143" s="105"/>
      <c r="IK143" s="105"/>
      <c r="IL143" s="105"/>
      <c r="IM143" s="105"/>
      <c r="IN143" s="105"/>
      <c r="IO143" s="105"/>
      <c r="IP143" s="105"/>
      <c r="IQ143" s="105"/>
      <c r="IR143" s="105"/>
      <c r="IS143" s="105"/>
      <c r="IT143" s="105"/>
      <c r="IU143" s="105"/>
      <c r="IV143" s="105"/>
      <c r="IW143" s="105"/>
    </row>
    <row r="144" customFormat="false" ht="12.75" hidden="false" customHeight="false" outlineLevel="0" collapsed="false">
      <c r="A144" s="106"/>
      <c r="B144" s="105"/>
      <c r="C144" s="106"/>
      <c r="D144" s="198"/>
      <c r="F144" s="198"/>
      <c r="G144" s="198"/>
      <c r="H144" s="198"/>
      <c r="I144" s="198"/>
      <c r="J144" s="199"/>
      <c r="K144" s="199"/>
      <c r="L144" s="199"/>
      <c r="M144" s="199"/>
      <c r="N144" s="199"/>
      <c r="O144" s="199"/>
      <c r="P144" s="105"/>
      <c r="Q144" s="207"/>
      <c r="R144" s="105"/>
      <c r="S144" s="105"/>
      <c r="T144" s="105"/>
      <c r="U144" s="105"/>
      <c r="V144" s="105"/>
      <c r="W144" s="105"/>
      <c r="X144" s="105"/>
      <c r="Y144" s="105"/>
      <c r="Z144" s="105"/>
      <c r="AA144" s="203"/>
      <c r="AB144" s="105"/>
      <c r="AC144" s="105"/>
      <c r="AD144" s="105"/>
      <c r="AE144" s="204"/>
      <c r="AG144" s="152"/>
      <c r="AH144" s="105"/>
      <c r="AI144" s="106"/>
      <c r="AJ144" s="106"/>
      <c r="AK144" s="106"/>
      <c r="AL144" s="106"/>
      <c r="AM144" s="106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5"/>
      <c r="BZ144" s="105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5"/>
      <c r="CM144" s="105"/>
      <c r="CN144" s="105"/>
      <c r="CO144" s="105"/>
      <c r="CP144" s="105"/>
      <c r="CQ144" s="105"/>
      <c r="CR144" s="105"/>
      <c r="CS144" s="105"/>
      <c r="CT144" s="105"/>
      <c r="CU144" s="105"/>
      <c r="CV144" s="105"/>
      <c r="CW144" s="105"/>
      <c r="CX144" s="105"/>
      <c r="CY144" s="105"/>
      <c r="CZ144" s="105"/>
      <c r="DA144" s="105"/>
      <c r="DB144" s="105"/>
      <c r="DC144" s="105"/>
      <c r="DD144" s="105"/>
      <c r="DE144" s="105"/>
      <c r="DF144" s="105"/>
      <c r="DG144" s="105"/>
      <c r="DH144" s="105"/>
      <c r="DI144" s="105"/>
      <c r="DJ144" s="105"/>
      <c r="DK144" s="105"/>
      <c r="DL144" s="105"/>
      <c r="DM144" s="105"/>
      <c r="DN144" s="105"/>
      <c r="DO144" s="105"/>
      <c r="DP144" s="105"/>
      <c r="DQ144" s="105"/>
      <c r="DR144" s="105"/>
      <c r="DS144" s="105"/>
      <c r="DT144" s="105"/>
      <c r="DU144" s="105"/>
      <c r="DV144" s="105"/>
      <c r="DW144" s="105"/>
      <c r="DX144" s="105"/>
      <c r="DY144" s="105"/>
      <c r="DZ144" s="105"/>
      <c r="EA144" s="105"/>
      <c r="EB144" s="105"/>
      <c r="EC144" s="105"/>
      <c r="ED144" s="105"/>
      <c r="EE144" s="105"/>
      <c r="EF144" s="105"/>
      <c r="EG144" s="105"/>
      <c r="EH144" s="105"/>
      <c r="EI144" s="105"/>
      <c r="EJ144" s="105"/>
      <c r="EK144" s="105"/>
      <c r="EL144" s="105"/>
      <c r="EM144" s="105"/>
      <c r="EN144" s="105"/>
      <c r="EO144" s="105"/>
      <c r="EP144" s="105"/>
      <c r="EQ144" s="105"/>
      <c r="ER144" s="105"/>
      <c r="ES144" s="105"/>
      <c r="ET144" s="105"/>
      <c r="EU144" s="105"/>
      <c r="EV144" s="105"/>
      <c r="EW144" s="105"/>
      <c r="EX144" s="105"/>
      <c r="EY144" s="105"/>
      <c r="EZ144" s="105"/>
      <c r="FA144" s="105"/>
      <c r="FB144" s="105"/>
      <c r="FC144" s="105"/>
      <c r="FD144" s="105"/>
      <c r="FE144" s="105"/>
      <c r="FF144" s="105"/>
      <c r="FG144" s="105"/>
      <c r="FH144" s="105"/>
      <c r="FI144" s="105"/>
      <c r="FJ144" s="105"/>
      <c r="FK144" s="105"/>
      <c r="FL144" s="105"/>
      <c r="FM144" s="105"/>
      <c r="FN144" s="105"/>
      <c r="FO144" s="105"/>
      <c r="FP144" s="105"/>
      <c r="FQ144" s="105"/>
      <c r="FR144" s="105"/>
      <c r="FS144" s="105"/>
      <c r="FT144" s="105"/>
      <c r="FU144" s="105"/>
      <c r="FV144" s="105"/>
      <c r="FW144" s="105"/>
      <c r="FX144" s="105"/>
      <c r="FY144" s="105"/>
      <c r="FZ144" s="105"/>
      <c r="GA144" s="105"/>
      <c r="GB144" s="105"/>
      <c r="GC144" s="105"/>
      <c r="GD144" s="105"/>
      <c r="GE144" s="105"/>
      <c r="GF144" s="105"/>
      <c r="GG144" s="105"/>
      <c r="GH144" s="105"/>
      <c r="GI144" s="105"/>
      <c r="GJ144" s="105"/>
      <c r="GK144" s="105"/>
      <c r="GL144" s="105"/>
      <c r="GM144" s="105"/>
      <c r="GN144" s="105"/>
      <c r="GO144" s="105"/>
      <c r="GP144" s="105"/>
      <c r="GQ144" s="105"/>
      <c r="GR144" s="105"/>
      <c r="GS144" s="105"/>
      <c r="GT144" s="105"/>
      <c r="GU144" s="105"/>
      <c r="GV144" s="105"/>
      <c r="GW144" s="105"/>
      <c r="GX144" s="105"/>
      <c r="GY144" s="105"/>
      <c r="GZ144" s="105"/>
      <c r="HA144" s="105"/>
      <c r="HB144" s="105"/>
      <c r="HC144" s="105"/>
      <c r="HD144" s="105"/>
      <c r="HE144" s="105"/>
      <c r="HF144" s="105"/>
      <c r="HG144" s="105"/>
      <c r="HH144" s="105"/>
      <c r="HI144" s="105"/>
      <c r="HJ144" s="105"/>
      <c r="HK144" s="105"/>
      <c r="HL144" s="105"/>
      <c r="HM144" s="105"/>
      <c r="HN144" s="105"/>
      <c r="HO144" s="105"/>
      <c r="HP144" s="105"/>
      <c r="HQ144" s="105"/>
      <c r="HR144" s="105"/>
      <c r="HS144" s="105"/>
      <c r="HT144" s="105"/>
      <c r="HU144" s="105"/>
      <c r="HV144" s="105"/>
      <c r="HW144" s="105"/>
      <c r="HX144" s="105"/>
      <c r="HY144" s="105"/>
      <c r="HZ144" s="105"/>
      <c r="IA144" s="105"/>
      <c r="IB144" s="105"/>
      <c r="IC144" s="105"/>
      <c r="ID144" s="105"/>
      <c r="IE144" s="105"/>
      <c r="IF144" s="105"/>
      <c r="IG144" s="105"/>
      <c r="IH144" s="105"/>
      <c r="II144" s="105"/>
      <c r="IJ144" s="105"/>
      <c r="IK144" s="105"/>
      <c r="IL144" s="105"/>
      <c r="IM144" s="105"/>
      <c r="IN144" s="105"/>
      <c r="IO144" s="105"/>
      <c r="IP144" s="105"/>
      <c r="IQ144" s="105"/>
      <c r="IR144" s="105"/>
      <c r="IS144" s="105"/>
      <c r="IT144" s="105"/>
      <c r="IU144" s="105"/>
      <c r="IV144" s="105"/>
      <c r="IW144" s="105"/>
    </row>
    <row r="145" customFormat="false" ht="12.75" hidden="false" customHeight="false" outlineLevel="0" collapsed="false">
      <c r="A145" s="106"/>
      <c r="B145" s="105"/>
      <c r="C145" s="106"/>
      <c r="D145" s="198"/>
      <c r="F145" s="198"/>
      <c r="G145" s="198"/>
      <c r="H145" s="198"/>
      <c r="I145" s="198"/>
      <c r="J145" s="199"/>
      <c r="K145" s="199"/>
      <c r="L145" s="199"/>
      <c r="M145" s="199"/>
      <c r="N145" s="199"/>
      <c r="O145" s="199"/>
      <c r="P145" s="105"/>
      <c r="Q145" s="207"/>
      <c r="R145" s="105"/>
      <c r="S145" s="105"/>
      <c r="T145" s="105"/>
      <c r="U145" s="105"/>
      <c r="V145" s="105"/>
      <c r="W145" s="105"/>
      <c r="X145" s="105"/>
      <c r="Y145" s="105"/>
      <c r="Z145" s="105"/>
      <c r="AA145" s="203"/>
      <c r="AB145" s="105"/>
      <c r="AC145" s="105"/>
      <c r="AD145" s="105"/>
      <c r="AE145" s="204"/>
      <c r="AG145" s="152"/>
      <c r="AH145" s="105"/>
      <c r="AI145" s="106"/>
      <c r="AJ145" s="106"/>
      <c r="AK145" s="106"/>
      <c r="AL145" s="106"/>
      <c r="AM145" s="106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5"/>
      <c r="BZ145" s="105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5"/>
      <c r="CM145" s="105"/>
      <c r="CN145" s="105"/>
      <c r="CO145" s="105"/>
      <c r="CP145" s="105"/>
      <c r="CQ145" s="105"/>
      <c r="CR145" s="105"/>
      <c r="CS145" s="105"/>
      <c r="CT145" s="105"/>
      <c r="CU145" s="105"/>
      <c r="CV145" s="105"/>
      <c r="CW145" s="105"/>
      <c r="CX145" s="105"/>
      <c r="CY145" s="105"/>
      <c r="CZ145" s="105"/>
      <c r="DA145" s="105"/>
      <c r="DB145" s="105"/>
      <c r="DC145" s="105"/>
      <c r="DD145" s="105"/>
      <c r="DE145" s="105"/>
      <c r="DF145" s="105"/>
      <c r="DG145" s="105"/>
      <c r="DH145" s="105"/>
      <c r="DI145" s="105"/>
      <c r="DJ145" s="105"/>
      <c r="DK145" s="105"/>
      <c r="DL145" s="105"/>
      <c r="DM145" s="105"/>
      <c r="DN145" s="105"/>
      <c r="DO145" s="105"/>
      <c r="DP145" s="105"/>
      <c r="DQ145" s="105"/>
      <c r="DR145" s="105"/>
      <c r="DS145" s="105"/>
      <c r="DT145" s="105"/>
      <c r="DU145" s="105"/>
      <c r="DV145" s="105"/>
      <c r="DW145" s="105"/>
      <c r="DX145" s="105"/>
      <c r="DY145" s="105"/>
      <c r="DZ145" s="105"/>
      <c r="EA145" s="105"/>
      <c r="EB145" s="105"/>
      <c r="EC145" s="105"/>
      <c r="ED145" s="105"/>
      <c r="EE145" s="105"/>
      <c r="EF145" s="105"/>
      <c r="EG145" s="105"/>
      <c r="EH145" s="105"/>
      <c r="EI145" s="105"/>
      <c r="EJ145" s="105"/>
      <c r="EK145" s="105"/>
      <c r="EL145" s="105"/>
      <c r="EM145" s="105"/>
      <c r="EN145" s="105"/>
      <c r="EO145" s="105"/>
      <c r="EP145" s="105"/>
      <c r="EQ145" s="105"/>
      <c r="ER145" s="105"/>
      <c r="ES145" s="105"/>
      <c r="ET145" s="105"/>
      <c r="EU145" s="105"/>
      <c r="EV145" s="105"/>
      <c r="EW145" s="105"/>
      <c r="EX145" s="105"/>
      <c r="EY145" s="105"/>
      <c r="EZ145" s="105"/>
      <c r="FA145" s="105"/>
      <c r="FB145" s="105"/>
      <c r="FC145" s="105"/>
      <c r="FD145" s="105"/>
      <c r="FE145" s="105"/>
      <c r="FF145" s="105"/>
      <c r="FG145" s="105"/>
      <c r="FH145" s="105"/>
      <c r="FI145" s="105"/>
      <c r="FJ145" s="105"/>
      <c r="FK145" s="105"/>
      <c r="FL145" s="105"/>
      <c r="FM145" s="105"/>
      <c r="FN145" s="105"/>
      <c r="FO145" s="105"/>
      <c r="FP145" s="105"/>
      <c r="FQ145" s="105"/>
      <c r="FR145" s="105"/>
      <c r="FS145" s="105"/>
      <c r="FT145" s="105"/>
      <c r="FU145" s="105"/>
      <c r="FV145" s="105"/>
      <c r="FW145" s="105"/>
      <c r="FX145" s="105"/>
      <c r="FY145" s="105"/>
      <c r="FZ145" s="105"/>
      <c r="GA145" s="105"/>
      <c r="GB145" s="105"/>
      <c r="GC145" s="105"/>
      <c r="GD145" s="105"/>
      <c r="GE145" s="105"/>
      <c r="GF145" s="105"/>
      <c r="GG145" s="105"/>
      <c r="GH145" s="105"/>
      <c r="GI145" s="105"/>
      <c r="GJ145" s="105"/>
      <c r="GK145" s="105"/>
      <c r="GL145" s="105"/>
      <c r="GM145" s="105"/>
      <c r="GN145" s="105"/>
      <c r="GO145" s="105"/>
      <c r="GP145" s="105"/>
      <c r="GQ145" s="105"/>
      <c r="GR145" s="105"/>
      <c r="GS145" s="105"/>
      <c r="GT145" s="105"/>
      <c r="GU145" s="105"/>
      <c r="GV145" s="105"/>
      <c r="GW145" s="105"/>
      <c r="GX145" s="105"/>
      <c r="GY145" s="105"/>
      <c r="GZ145" s="105"/>
      <c r="HA145" s="105"/>
      <c r="HB145" s="105"/>
      <c r="HC145" s="105"/>
      <c r="HD145" s="105"/>
      <c r="HE145" s="105"/>
      <c r="HF145" s="105"/>
      <c r="HG145" s="105"/>
      <c r="HH145" s="105"/>
      <c r="HI145" s="105"/>
      <c r="HJ145" s="105"/>
      <c r="HK145" s="105"/>
      <c r="HL145" s="105"/>
      <c r="HM145" s="105"/>
      <c r="HN145" s="105"/>
      <c r="HO145" s="105"/>
      <c r="HP145" s="105"/>
      <c r="HQ145" s="105"/>
      <c r="HR145" s="105"/>
      <c r="HS145" s="105"/>
      <c r="HT145" s="105"/>
      <c r="HU145" s="105"/>
      <c r="HV145" s="105"/>
      <c r="HW145" s="105"/>
      <c r="HX145" s="105"/>
      <c r="HY145" s="105"/>
      <c r="HZ145" s="105"/>
      <c r="IA145" s="105"/>
      <c r="IB145" s="105"/>
      <c r="IC145" s="105"/>
      <c r="ID145" s="105"/>
      <c r="IE145" s="105"/>
      <c r="IF145" s="105"/>
      <c r="IG145" s="105"/>
      <c r="IH145" s="105"/>
      <c r="II145" s="105"/>
      <c r="IJ145" s="105"/>
      <c r="IK145" s="105"/>
      <c r="IL145" s="105"/>
      <c r="IM145" s="105"/>
      <c r="IN145" s="105"/>
      <c r="IO145" s="105"/>
      <c r="IP145" s="105"/>
      <c r="IQ145" s="105"/>
      <c r="IR145" s="105"/>
      <c r="IS145" s="105"/>
      <c r="IT145" s="105"/>
      <c r="IU145" s="105"/>
      <c r="IV145" s="105"/>
      <c r="IW145" s="105"/>
    </row>
    <row r="146" customFormat="false" ht="12.75" hidden="false" customHeight="false" outlineLevel="0" collapsed="false">
      <c r="A146" s="106"/>
      <c r="B146" s="105"/>
      <c r="C146" s="106"/>
      <c r="D146" s="198"/>
      <c r="F146" s="198"/>
      <c r="G146" s="198"/>
      <c r="H146" s="198"/>
      <c r="I146" s="198"/>
      <c r="J146" s="199"/>
      <c r="K146" s="199"/>
      <c r="L146" s="199"/>
      <c r="M146" s="199"/>
      <c r="N146" s="199"/>
      <c r="O146" s="199"/>
      <c r="P146" s="105"/>
      <c r="Q146" s="207"/>
      <c r="R146" s="105"/>
      <c r="S146" s="105"/>
      <c r="T146" s="105"/>
      <c r="U146" s="105"/>
      <c r="V146" s="105"/>
      <c r="W146" s="105"/>
      <c r="X146" s="105"/>
      <c r="Y146" s="105"/>
      <c r="Z146" s="105"/>
      <c r="AA146" s="203"/>
      <c r="AB146" s="105"/>
      <c r="AC146" s="105"/>
      <c r="AD146" s="105"/>
      <c r="AE146" s="204"/>
      <c r="AG146" s="105"/>
      <c r="AH146" s="105"/>
      <c r="AI146" s="106"/>
      <c r="AJ146" s="106"/>
      <c r="AK146" s="106"/>
      <c r="AL146" s="106"/>
      <c r="AM146" s="106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5"/>
      <c r="BZ146" s="105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5"/>
      <c r="CM146" s="105"/>
      <c r="CN146" s="105"/>
      <c r="CO146" s="105"/>
      <c r="CP146" s="105"/>
      <c r="CQ146" s="105"/>
      <c r="CR146" s="105"/>
      <c r="CS146" s="105"/>
      <c r="CT146" s="105"/>
      <c r="CU146" s="105"/>
      <c r="CV146" s="105"/>
      <c r="CW146" s="105"/>
      <c r="CX146" s="105"/>
      <c r="CY146" s="105"/>
      <c r="CZ146" s="105"/>
      <c r="DA146" s="105"/>
      <c r="DB146" s="105"/>
      <c r="DC146" s="105"/>
      <c r="DD146" s="105"/>
      <c r="DE146" s="105"/>
      <c r="DF146" s="105"/>
      <c r="DG146" s="105"/>
      <c r="DH146" s="105"/>
      <c r="DI146" s="105"/>
      <c r="DJ146" s="105"/>
      <c r="DK146" s="105"/>
      <c r="DL146" s="105"/>
      <c r="DM146" s="105"/>
      <c r="DN146" s="105"/>
      <c r="DO146" s="105"/>
      <c r="DP146" s="105"/>
      <c r="DQ146" s="105"/>
      <c r="DR146" s="105"/>
      <c r="DS146" s="105"/>
      <c r="DT146" s="105"/>
      <c r="DU146" s="105"/>
      <c r="DV146" s="105"/>
      <c r="DW146" s="105"/>
      <c r="DX146" s="105"/>
      <c r="DY146" s="105"/>
      <c r="DZ146" s="105"/>
      <c r="EA146" s="105"/>
      <c r="EB146" s="105"/>
      <c r="EC146" s="105"/>
      <c r="ED146" s="105"/>
      <c r="EE146" s="105"/>
      <c r="EF146" s="105"/>
      <c r="EG146" s="105"/>
      <c r="EH146" s="105"/>
      <c r="EI146" s="105"/>
      <c r="EJ146" s="105"/>
      <c r="EK146" s="105"/>
      <c r="EL146" s="105"/>
      <c r="EM146" s="105"/>
      <c r="EN146" s="105"/>
      <c r="EO146" s="105"/>
      <c r="EP146" s="105"/>
      <c r="EQ146" s="105"/>
      <c r="ER146" s="105"/>
      <c r="ES146" s="105"/>
      <c r="ET146" s="105"/>
      <c r="EU146" s="105"/>
      <c r="EV146" s="105"/>
      <c r="EW146" s="105"/>
      <c r="EX146" s="105"/>
      <c r="EY146" s="105"/>
      <c r="EZ146" s="105"/>
      <c r="FA146" s="105"/>
      <c r="FB146" s="105"/>
      <c r="FC146" s="105"/>
      <c r="FD146" s="105"/>
      <c r="FE146" s="105"/>
      <c r="FF146" s="105"/>
      <c r="FG146" s="105"/>
      <c r="FH146" s="105"/>
      <c r="FI146" s="105"/>
      <c r="FJ146" s="105"/>
      <c r="FK146" s="105"/>
      <c r="FL146" s="105"/>
      <c r="FM146" s="105"/>
      <c r="FN146" s="105"/>
      <c r="FO146" s="105"/>
      <c r="FP146" s="105"/>
      <c r="FQ146" s="105"/>
      <c r="FR146" s="105"/>
      <c r="FS146" s="105"/>
      <c r="FT146" s="105"/>
      <c r="FU146" s="105"/>
      <c r="FV146" s="105"/>
      <c r="FW146" s="105"/>
      <c r="FX146" s="105"/>
      <c r="FY146" s="105"/>
      <c r="FZ146" s="105"/>
      <c r="GA146" s="105"/>
      <c r="GB146" s="105"/>
      <c r="GC146" s="105"/>
      <c r="GD146" s="105"/>
      <c r="GE146" s="105"/>
      <c r="GF146" s="105"/>
      <c r="GG146" s="105"/>
      <c r="GH146" s="105"/>
      <c r="GI146" s="105"/>
      <c r="GJ146" s="105"/>
      <c r="GK146" s="105"/>
      <c r="GL146" s="105"/>
      <c r="GM146" s="105"/>
      <c r="GN146" s="105"/>
      <c r="GO146" s="105"/>
      <c r="GP146" s="105"/>
      <c r="GQ146" s="105"/>
      <c r="GR146" s="105"/>
      <c r="GS146" s="105"/>
      <c r="GT146" s="105"/>
      <c r="GU146" s="105"/>
      <c r="GV146" s="105"/>
      <c r="GW146" s="105"/>
      <c r="GX146" s="105"/>
      <c r="GY146" s="105"/>
      <c r="GZ146" s="105"/>
      <c r="HA146" s="105"/>
      <c r="HB146" s="105"/>
      <c r="HC146" s="105"/>
      <c r="HD146" s="105"/>
      <c r="HE146" s="105"/>
      <c r="HF146" s="105"/>
      <c r="HG146" s="105"/>
      <c r="HH146" s="105"/>
      <c r="HI146" s="105"/>
      <c r="HJ146" s="105"/>
      <c r="HK146" s="105"/>
      <c r="HL146" s="105"/>
      <c r="HM146" s="105"/>
      <c r="HN146" s="105"/>
      <c r="HO146" s="105"/>
      <c r="HP146" s="105"/>
      <c r="HQ146" s="105"/>
      <c r="HR146" s="105"/>
      <c r="HS146" s="105"/>
      <c r="HT146" s="105"/>
      <c r="HU146" s="105"/>
      <c r="HV146" s="105"/>
      <c r="HW146" s="105"/>
      <c r="HX146" s="105"/>
      <c r="HY146" s="105"/>
      <c r="HZ146" s="105"/>
      <c r="IA146" s="105"/>
      <c r="IB146" s="105"/>
      <c r="IC146" s="105"/>
      <c r="ID146" s="105"/>
      <c r="IE146" s="105"/>
      <c r="IF146" s="105"/>
      <c r="IG146" s="105"/>
      <c r="IH146" s="105"/>
      <c r="II146" s="105"/>
      <c r="IJ146" s="105"/>
      <c r="IK146" s="105"/>
      <c r="IL146" s="105"/>
      <c r="IM146" s="105"/>
      <c r="IN146" s="105"/>
      <c r="IO146" s="105"/>
      <c r="IP146" s="105"/>
      <c r="IQ146" s="105"/>
      <c r="IR146" s="105"/>
      <c r="IS146" s="105"/>
      <c r="IT146" s="105"/>
      <c r="IU146" s="105"/>
      <c r="IV146" s="105"/>
      <c r="IW146" s="105"/>
    </row>
    <row r="147" customFormat="false" ht="12.75" hidden="false" customHeight="false" outlineLevel="0" collapsed="false">
      <c r="A147" s="106"/>
      <c r="B147" s="105"/>
      <c r="C147" s="106"/>
      <c r="D147" s="198"/>
      <c r="F147" s="198"/>
      <c r="G147" s="198"/>
      <c r="H147" s="198"/>
      <c r="I147" s="198"/>
      <c r="J147" s="199"/>
      <c r="K147" s="199"/>
      <c r="L147" s="199"/>
      <c r="M147" s="199"/>
      <c r="N147" s="199"/>
      <c r="O147" s="199"/>
      <c r="P147" s="105"/>
      <c r="Q147" s="207"/>
      <c r="R147" s="105"/>
      <c r="S147" s="105"/>
      <c r="T147" s="105"/>
      <c r="U147" s="105"/>
      <c r="V147" s="105"/>
      <c r="W147" s="105"/>
      <c r="X147" s="105"/>
      <c r="Y147" s="105"/>
      <c r="Z147" s="105"/>
      <c r="AA147" s="203"/>
      <c r="AB147" s="105"/>
      <c r="AC147" s="105"/>
      <c r="AD147" s="105"/>
      <c r="AE147" s="204"/>
      <c r="AG147" s="105"/>
      <c r="AH147" s="105"/>
      <c r="AI147" s="106"/>
      <c r="AJ147" s="106"/>
      <c r="AK147" s="106"/>
      <c r="AL147" s="106"/>
      <c r="AM147" s="106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5"/>
      <c r="BZ147" s="105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5"/>
      <c r="CM147" s="105"/>
      <c r="CN147" s="105"/>
      <c r="CO147" s="105"/>
      <c r="CP147" s="105"/>
      <c r="CQ147" s="105"/>
      <c r="CR147" s="105"/>
      <c r="CS147" s="105"/>
      <c r="CT147" s="105"/>
      <c r="CU147" s="105"/>
      <c r="CV147" s="105"/>
      <c r="CW147" s="105"/>
      <c r="CX147" s="105"/>
      <c r="CY147" s="105"/>
      <c r="CZ147" s="105"/>
      <c r="DA147" s="105"/>
      <c r="DB147" s="105"/>
      <c r="DC147" s="105"/>
      <c r="DD147" s="105"/>
      <c r="DE147" s="105"/>
      <c r="DF147" s="105"/>
      <c r="DG147" s="105"/>
      <c r="DH147" s="105"/>
      <c r="DI147" s="105"/>
      <c r="DJ147" s="105"/>
      <c r="DK147" s="105"/>
      <c r="DL147" s="105"/>
      <c r="DM147" s="105"/>
      <c r="DN147" s="105"/>
      <c r="DO147" s="105"/>
      <c r="DP147" s="105"/>
      <c r="DQ147" s="105"/>
      <c r="DR147" s="105"/>
      <c r="DS147" s="105"/>
      <c r="DT147" s="105"/>
      <c r="DU147" s="105"/>
      <c r="DV147" s="105"/>
      <c r="DW147" s="105"/>
      <c r="DX147" s="105"/>
      <c r="DY147" s="105"/>
      <c r="DZ147" s="105"/>
      <c r="EA147" s="105"/>
      <c r="EB147" s="105"/>
      <c r="EC147" s="105"/>
      <c r="ED147" s="105"/>
      <c r="EE147" s="105"/>
      <c r="EF147" s="105"/>
      <c r="EG147" s="105"/>
      <c r="EH147" s="105"/>
      <c r="EI147" s="105"/>
      <c r="EJ147" s="105"/>
      <c r="EK147" s="105"/>
      <c r="EL147" s="105"/>
      <c r="EM147" s="105"/>
      <c r="EN147" s="105"/>
      <c r="EO147" s="105"/>
      <c r="EP147" s="105"/>
      <c r="EQ147" s="105"/>
      <c r="ER147" s="105"/>
      <c r="ES147" s="105"/>
      <c r="ET147" s="105"/>
      <c r="EU147" s="105"/>
      <c r="EV147" s="105"/>
      <c r="EW147" s="105"/>
      <c r="EX147" s="105"/>
      <c r="EY147" s="105"/>
      <c r="EZ147" s="105"/>
      <c r="FA147" s="105"/>
      <c r="FB147" s="105"/>
      <c r="FC147" s="105"/>
      <c r="FD147" s="105"/>
      <c r="FE147" s="105"/>
      <c r="FF147" s="105"/>
      <c r="FG147" s="105"/>
      <c r="FH147" s="105"/>
      <c r="FI147" s="105"/>
      <c r="FJ147" s="105"/>
      <c r="FK147" s="105"/>
      <c r="FL147" s="105"/>
      <c r="FM147" s="105"/>
      <c r="FN147" s="105"/>
      <c r="FO147" s="105"/>
      <c r="FP147" s="105"/>
      <c r="FQ147" s="105"/>
      <c r="FR147" s="105"/>
      <c r="FS147" s="105"/>
      <c r="FT147" s="105"/>
      <c r="FU147" s="105"/>
      <c r="FV147" s="105"/>
      <c r="FW147" s="105"/>
      <c r="FX147" s="105"/>
      <c r="FY147" s="105"/>
      <c r="FZ147" s="105"/>
      <c r="GA147" s="105"/>
      <c r="GB147" s="105"/>
      <c r="GC147" s="105"/>
      <c r="GD147" s="105"/>
      <c r="GE147" s="105"/>
      <c r="GF147" s="105"/>
      <c r="GG147" s="105"/>
      <c r="GH147" s="105"/>
      <c r="GI147" s="105"/>
      <c r="GJ147" s="105"/>
      <c r="GK147" s="105"/>
      <c r="GL147" s="105"/>
      <c r="GM147" s="105"/>
      <c r="GN147" s="105"/>
      <c r="GO147" s="105"/>
      <c r="GP147" s="105"/>
      <c r="GQ147" s="105"/>
      <c r="GR147" s="105"/>
      <c r="GS147" s="105"/>
      <c r="GT147" s="105"/>
      <c r="GU147" s="105"/>
      <c r="GV147" s="105"/>
      <c r="GW147" s="105"/>
      <c r="GX147" s="105"/>
      <c r="GY147" s="105"/>
      <c r="GZ147" s="105"/>
      <c r="HA147" s="105"/>
      <c r="HB147" s="105"/>
      <c r="HC147" s="105"/>
      <c r="HD147" s="105"/>
      <c r="HE147" s="105"/>
      <c r="HF147" s="105"/>
      <c r="HG147" s="105"/>
      <c r="HH147" s="105"/>
      <c r="HI147" s="105"/>
      <c r="HJ147" s="105"/>
      <c r="HK147" s="105"/>
      <c r="HL147" s="105"/>
      <c r="HM147" s="105"/>
      <c r="HN147" s="105"/>
      <c r="HO147" s="105"/>
      <c r="HP147" s="105"/>
      <c r="HQ147" s="105"/>
      <c r="HR147" s="105"/>
      <c r="HS147" s="105"/>
      <c r="HT147" s="105"/>
      <c r="HU147" s="105"/>
      <c r="HV147" s="105"/>
      <c r="HW147" s="105"/>
      <c r="HX147" s="105"/>
      <c r="HY147" s="105"/>
      <c r="HZ147" s="105"/>
      <c r="IA147" s="105"/>
      <c r="IB147" s="105"/>
      <c r="IC147" s="105"/>
      <c r="ID147" s="105"/>
      <c r="IE147" s="105"/>
      <c r="IF147" s="105"/>
      <c r="IG147" s="105"/>
      <c r="IH147" s="105"/>
      <c r="II147" s="105"/>
      <c r="IJ147" s="105"/>
      <c r="IK147" s="105"/>
      <c r="IL147" s="105"/>
      <c r="IM147" s="105"/>
      <c r="IN147" s="105"/>
      <c r="IO147" s="105"/>
      <c r="IP147" s="105"/>
      <c r="IQ147" s="105"/>
      <c r="IR147" s="105"/>
      <c r="IS147" s="105"/>
      <c r="IT147" s="105"/>
      <c r="IU147" s="105"/>
      <c r="IV147" s="105"/>
      <c r="IW147" s="105"/>
    </row>
    <row r="148" customFormat="false" ht="12.75" hidden="false" customHeight="false" outlineLevel="0" collapsed="false">
      <c r="A148" s="106"/>
      <c r="B148" s="105"/>
      <c r="C148" s="106"/>
      <c r="D148" s="198"/>
      <c r="F148" s="198"/>
      <c r="G148" s="198"/>
      <c r="H148" s="198"/>
      <c r="I148" s="198"/>
      <c r="J148" s="199"/>
      <c r="K148" s="199"/>
      <c r="L148" s="199"/>
      <c r="M148" s="199"/>
      <c r="N148" s="199"/>
      <c r="O148" s="199"/>
      <c r="P148" s="105"/>
      <c r="Q148" s="207"/>
      <c r="R148" s="105"/>
      <c r="S148" s="105"/>
      <c r="T148" s="105"/>
      <c r="U148" s="105"/>
      <c r="V148" s="105"/>
      <c r="W148" s="105"/>
      <c r="X148" s="105"/>
      <c r="Y148" s="105"/>
      <c r="Z148" s="105"/>
      <c r="AA148" s="203"/>
      <c r="AB148" s="105"/>
      <c r="AC148" s="105"/>
      <c r="AD148" s="105"/>
      <c r="AE148" s="204"/>
      <c r="AG148" s="105"/>
      <c r="AH148" s="105"/>
      <c r="AI148" s="106"/>
      <c r="AJ148" s="106"/>
      <c r="AK148" s="106"/>
      <c r="AL148" s="106"/>
      <c r="AM148" s="106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5"/>
      <c r="BZ148" s="105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5"/>
      <c r="CM148" s="105"/>
      <c r="CN148" s="105"/>
      <c r="CO148" s="105"/>
      <c r="CP148" s="105"/>
      <c r="CQ148" s="105"/>
      <c r="CR148" s="105"/>
      <c r="CS148" s="105"/>
      <c r="CT148" s="105"/>
      <c r="CU148" s="105"/>
      <c r="CV148" s="105"/>
      <c r="CW148" s="105"/>
      <c r="CX148" s="105"/>
      <c r="CY148" s="105"/>
      <c r="CZ148" s="105"/>
      <c r="DA148" s="105"/>
      <c r="DB148" s="105"/>
      <c r="DC148" s="105"/>
      <c r="DD148" s="105"/>
      <c r="DE148" s="105"/>
      <c r="DF148" s="105"/>
      <c r="DG148" s="105"/>
      <c r="DH148" s="105"/>
      <c r="DI148" s="105"/>
      <c r="DJ148" s="105"/>
      <c r="DK148" s="105"/>
      <c r="DL148" s="105"/>
      <c r="DM148" s="105"/>
      <c r="DN148" s="105"/>
      <c r="DO148" s="105"/>
      <c r="DP148" s="105"/>
      <c r="DQ148" s="105"/>
      <c r="DR148" s="105"/>
      <c r="DS148" s="105"/>
      <c r="DT148" s="105"/>
      <c r="DU148" s="105"/>
      <c r="DV148" s="105"/>
      <c r="DW148" s="105"/>
      <c r="DX148" s="105"/>
      <c r="DY148" s="105"/>
      <c r="DZ148" s="105"/>
      <c r="EA148" s="105"/>
      <c r="EB148" s="105"/>
      <c r="EC148" s="105"/>
      <c r="ED148" s="105"/>
      <c r="EE148" s="105"/>
      <c r="EF148" s="105"/>
      <c r="EG148" s="105"/>
      <c r="EH148" s="105"/>
      <c r="EI148" s="105"/>
      <c r="EJ148" s="105"/>
      <c r="EK148" s="105"/>
      <c r="EL148" s="105"/>
      <c r="EM148" s="105"/>
      <c r="EN148" s="105"/>
      <c r="EO148" s="105"/>
      <c r="EP148" s="105"/>
      <c r="EQ148" s="105"/>
      <c r="ER148" s="105"/>
      <c r="ES148" s="105"/>
      <c r="ET148" s="105"/>
      <c r="EU148" s="105"/>
      <c r="EV148" s="105"/>
      <c r="EW148" s="105"/>
      <c r="EX148" s="105"/>
      <c r="EY148" s="105"/>
      <c r="EZ148" s="105"/>
      <c r="FA148" s="105"/>
      <c r="FB148" s="105"/>
      <c r="FC148" s="105"/>
      <c r="FD148" s="105"/>
      <c r="FE148" s="105"/>
      <c r="FF148" s="105"/>
      <c r="FG148" s="105"/>
      <c r="FH148" s="105"/>
      <c r="FI148" s="105"/>
      <c r="FJ148" s="105"/>
      <c r="FK148" s="105"/>
      <c r="FL148" s="105"/>
      <c r="FM148" s="105"/>
      <c r="FN148" s="105"/>
      <c r="FO148" s="105"/>
      <c r="FP148" s="105"/>
      <c r="FQ148" s="105"/>
      <c r="FR148" s="105"/>
      <c r="FS148" s="105"/>
      <c r="FT148" s="105"/>
      <c r="FU148" s="105"/>
      <c r="FV148" s="105"/>
      <c r="FW148" s="105"/>
      <c r="FX148" s="105"/>
      <c r="FY148" s="105"/>
      <c r="FZ148" s="105"/>
      <c r="GA148" s="105"/>
      <c r="GB148" s="105"/>
      <c r="GC148" s="105"/>
      <c r="GD148" s="105"/>
      <c r="GE148" s="105"/>
      <c r="GF148" s="105"/>
      <c r="GG148" s="105"/>
      <c r="GH148" s="105"/>
      <c r="GI148" s="105"/>
      <c r="GJ148" s="105"/>
      <c r="GK148" s="105"/>
      <c r="GL148" s="105"/>
      <c r="GM148" s="105"/>
      <c r="GN148" s="105"/>
      <c r="GO148" s="105"/>
      <c r="GP148" s="105"/>
      <c r="GQ148" s="105"/>
      <c r="GR148" s="105"/>
      <c r="GS148" s="105"/>
      <c r="GT148" s="105"/>
      <c r="GU148" s="105"/>
      <c r="GV148" s="105"/>
      <c r="GW148" s="105"/>
      <c r="GX148" s="105"/>
      <c r="GY148" s="105"/>
      <c r="GZ148" s="105"/>
      <c r="HA148" s="105"/>
      <c r="HB148" s="105"/>
      <c r="HC148" s="105"/>
      <c r="HD148" s="105"/>
      <c r="HE148" s="105"/>
      <c r="HF148" s="105"/>
      <c r="HG148" s="105"/>
      <c r="HH148" s="105"/>
      <c r="HI148" s="105"/>
      <c r="HJ148" s="105"/>
      <c r="HK148" s="105"/>
      <c r="HL148" s="105"/>
      <c r="HM148" s="105"/>
      <c r="HN148" s="105"/>
      <c r="HO148" s="105"/>
      <c r="HP148" s="105"/>
      <c r="HQ148" s="105"/>
      <c r="HR148" s="105"/>
      <c r="HS148" s="105"/>
      <c r="HT148" s="105"/>
      <c r="HU148" s="105"/>
      <c r="HV148" s="105"/>
      <c r="HW148" s="105"/>
      <c r="HX148" s="105"/>
      <c r="HY148" s="105"/>
      <c r="HZ148" s="105"/>
      <c r="IA148" s="105"/>
      <c r="IB148" s="105"/>
      <c r="IC148" s="105"/>
      <c r="ID148" s="105"/>
      <c r="IE148" s="105"/>
      <c r="IF148" s="105"/>
      <c r="IG148" s="105"/>
      <c r="IH148" s="105"/>
      <c r="II148" s="105"/>
      <c r="IJ148" s="105"/>
      <c r="IK148" s="105"/>
      <c r="IL148" s="105"/>
      <c r="IM148" s="105"/>
      <c r="IN148" s="105"/>
      <c r="IO148" s="105"/>
      <c r="IP148" s="105"/>
      <c r="IQ148" s="105"/>
      <c r="IR148" s="105"/>
      <c r="IS148" s="105"/>
      <c r="IT148" s="105"/>
      <c r="IU148" s="105"/>
      <c r="IV148" s="105"/>
      <c r="IW148" s="105"/>
    </row>
    <row r="149" customFormat="false" ht="12.75" hidden="false" customHeight="false" outlineLevel="0" collapsed="false">
      <c r="A149" s="106"/>
      <c r="B149" s="105"/>
      <c r="C149" s="106"/>
      <c r="D149" s="198"/>
      <c r="F149" s="198"/>
      <c r="G149" s="198"/>
      <c r="H149" s="198"/>
      <c r="I149" s="198"/>
      <c r="J149" s="199"/>
      <c r="K149" s="199"/>
      <c r="L149" s="199"/>
      <c r="M149" s="199"/>
      <c r="N149" s="199"/>
      <c r="O149" s="199"/>
      <c r="P149" s="105"/>
      <c r="Q149" s="207"/>
      <c r="R149" s="105"/>
      <c r="S149" s="105"/>
      <c r="T149" s="105"/>
      <c r="U149" s="105"/>
      <c r="V149" s="105"/>
      <c r="W149" s="105"/>
      <c r="X149" s="105"/>
      <c r="Y149" s="105"/>
      <c r="Z149" s="105"/>
      <c r="AA149" s="203"/>
      <c r="AB149" s="105"/>
      <c r="AC149" s="105"/>
      <c r="AD149" s="105"/>
      <c r="AE149" s="204"/>
      <c r="AG149" s="105"/>
      <c r="AH149" s="105"/>
      <c r="AI149" s="106"/>
      <c r="AJ149" s="106"/>
      <c r="AK149" s="106"/>
      <c r="AL149" s="106"/>
      <c r="AM149" s="106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5"/>
      <c r="BZ149" s="105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5"/>
      <c r="CM149" s="105"/>
      <c r="CN149" s="105"/>
      <c r="CO149" s="105"/>
      <c r="CP149" s="105"/>
      <c r="CQ149" s="105"/>
      <c r="CR149" s="105"/>
      <c r="CS149" s="105"/>
      <c r="CT149" s="105"/>
      <c r="CU149" s="105"/>
      <c r="CV149" s="105"/>
      <c r="CW149" s="105"/>
      <c r="CX149" s="105"/>
      <c r="CY149" s="105"/>
      <c r="CZ149" s="105"/>
      <c r="DA149" s="105"/>
      <c r="DB149" s="105"/>
      <c r="DC149" s="105"/>
      <c r="DD149" s="105"/>
      <c r="DE149" s="105"/>
      <c r="DF149" s="105"/>
      <c r="DG149" s="105"/>
      <c r="DH149" s="105"/>
      <c r="DI149" s="105"/>
      <c r="DJ149" s="105"/>
      <c r="DK149" s="105"/>
      <c r="DL149" s="105"/>
      <c r="DM149" s="105"/>
      <c r="DN149" s="105"/>
      <c r="DO149" s="105"/>
      <c r="DP149" s="105"/>
      <c r="DQ149" s="105"/>
      <c r="DR149" s="105"/>
      <c r="DS149" s="105"/>
      <c r="DT149" s="105"/>
      <c r="DU149" s="105"/>
      <c r="DV149" s="105"/>
      <c r="DW149" s="105"/>
      <c r="DX149" s="105"/>
      <c r="DY149" s="105"/>
      <c r="DZ149" s="105"/>
      <c r="EA149" s="105"/>
      <c r="EB149" s="105"/>
      <c r="EC149" s="105"/>
      <c r="ED149" s="105"/>
      <c r="EE149" s="105"/>
      <c r="EF149" s="105"/>
      <c r="EG149" s="105"/>
      <c r="EH149" s="105"/>
      <c r="EI149" s="105"/>
      <c r="EJ149" s="105"/>
      <c r="EK149" s="105"/>
      <c r="EL149" s="105"/>
      <c r="EM149" s="105"/>
      <c r="EN149" s="105"/>
      <c r="EO149" s="105"/>
      <c r="EP149" s="105"/>
      <c r="EQ149" s="105"/>
      <c r="ER149" s="105"/>
      <c r="ES149" s="105"/>
      <c r="ET149" s="105"/>
      <c r="EU149" s="105"/>
      <c r="EV149" s="105"/>
      <c r="EW149" s="105"/>
      <c r="EX149" s="105"/>
      <c r="EY149" s="105"/>
      <c r="EZ149" s="105"/>
      <c r="FA149" s="105"/>
      <c r="FB149" s="105"/>
      <c r="FC149" s="105"/>
      <c r="FD149" s="105"/>
      <c r="FE149" s="105"/>
      <c r="FF149" s="105"/>
      <c r="FG149" s="105"/>
      <c r="FH149" s="105"/>
      <c r="FI149" s="105"/>
      <c r="FJ149" s="105"/>
      <c r="FK149" s="105"/>
      <c r="FL149" s="105"/>
      <c r="FM149" s="105"/>
      <c r="FN149" s="105"/>
      <c r="FO149" s="105"/>
      <c r="FP149" s="105"/>
      <c r="FQ149" s="105"/>
      <c r="FR149" s="105"/>
      <c r="FS149" s="105"/>
      <c r="FT149" s="105"/>
      <c r="FU149" s="105"/>
      <c r="FV149" s="105"/>
      <c r="FW149" s="105"/>
      <c r="FX149" s="105"/>
      <c r="FY149" s="105"/>
      <c r="FZ149" s="105"/>
      <c r="GA149" s="105"/>
      <c r="GB149" s="105"/>
      <c r="GC149" s="105"/>
      <c r="GD149" s="105"/>
      <c r="GE149" s="105"/>
      <c r="GF149" s="105"/>
      <c r="GG149" s="105"/>
      <c r="GH149" s="105"/>
      <c r="GI149" s="105"/>
      <c r="GJ149" s="105"/>
      <c r="GK149" s="105"/>
      <c r="GL149" s="105"/>
      <c r="GM149" s="105"/>
      <c r="GN149" s="105"/>
      <c r="GO149" s="105"/>
      <c r="GP149" s="105"/>
      <c r="GQ149" s="105"/>
      <c r="GR149" s="105"/>
      <c r="GS149" s="105"/>
      <c r="GT149" s="105"/>
      <c r="GU149" s="105"/>
      <c r="GV149" s="105"/>
      <c r="GW149" s="105"/>
      <c r="GX149" s="105"/>
      <c r="GY149" s="105"/>
      <c r="GZ149" s="105"/>
      <c r="HA149" s="105"/>
      <c r="HB149" s="105"/>
      <c r="HC149" s="105"/>
      <c r="HD149" s="105"/>
      <c r="HE149" s="105"/>
      <c r="HF149" s="105"/>
      <c r="HG149" s="105"/>
      <c r="HH149" s="105"/>
      <c r="HI149" s="105"/>
      <c r="HJ149" s="105"/>
      <c r="HK149" s="105"/>
      <c r="HL149" s="105"/>
      <c r="HM149" s="105"/>
      <c r="HN149" s="105"/>
      <c r="HO149" s="105"/>
      <c r="HP149" s="105"/>
      <c r="HQ149" s="105"/>
      <c r="HR149" s="105"/>
      <c r="HS149" s="105"/>
      <c r="HT149" s="105"/>
      <c r="HU149" s="105"/>
      <c r="HV149" s="105"/>
      <c r="HW149" s="105"/>
      <c r="HX149" s="105"/>
      <c r="HY149" s="105"/>
      <c r="HZ149" s="105"/>
      <c r="IA149" s="105"/>
      <c r="IB149" s="105"/>
      <c r="IC149" s="105"/>
      <c r="ID149" s="105"/>
      <c r="IE149" s="105"/>
      <c r="IF149" s="105"/>
      <c r="IG149" s="105"/>
      <c r="IH149" s="105"/>
      <c r="II149" s="105"/>
      <c r="IJ149" s="105"/>
      <c r="IK149" s="105"/>
      <c r="IL149" s="105"/>
      <c r="IM149" s="105"/>
      <c r="IN149" s="105"/>
      <c r="IO149" s="105"/>
      <c r="IP149" s="105"/>
      <c r="IQ149" s="105"/>
      <c r="IR149" s="105"/>
      <c r="IS149" s="105"/>
      <c r="IT149" s="105"/>
      <c r="IU149" s="105"/>
      <c r="IV149" s="105"/>
      <c r="IW149" s="105"/>
    </row>
    <row r="150" customFormat="false" ht="12.75" hidden="false" customHeight="false" outlineLevel="0" collapsed="false">
      <c r="A150" s="106"/>
      <c r="B150" s="105"/>
      <c r="C150" s="106"/>
      <c r="D150" s="198"/>
      <c r="F150" s="198"/>
      <c r="G150" s="198"/>
      <c r="H150" s="198"/>
      <c r="I150" s="198"/>
      <c r="J150" s="199"/>
      <c r="K150" s="199"/>
      <c r="L150" s="199"/>
      <c r="M150" s="199"/>
      <c r="N150" s="199"/>
      <c r="O150" s="199"/>
      <c r="P150" s="105"/>
      <c r="Q150" s="207"/>
      <c r="R150" s="105"/>
      <c r="S150" s="105"/>
      <c r="T150" s="105"/>
      <c r="U150" s="105"/>
      <c r="V150" s="105"/>
      <c r="W150" s="105"/>
      <c r="X150" s="105"/>
      <c r="Y150" s="105"/>
      <c r="Z150" s="105"/>
      <c r="AA150" s="203"/>
      <c r="AB150" s="105"/>
      <c r="AC150" s="105"/>
      <c r="AD150" s="105"/>
      <c r="AE150" s="204"/>
      <c r="AG150" s="105"/>
      <c r="AH150" s="105"/>
      <c r="AI150" s="106"/>
      <c r="AJ150" s="106"/>
      <c r="AK150" s="106"/>
      <c r="AL150" s="106"/>
      <c r="AM150" s="106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5"/>
      <c r="BZ150" s="105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5"/>
      <c r="CM150" s="105"/>
      <c r="CN150" s="105"/>
      <c r="CO150" s="105"/>
      <c r="CP150" s="105"/>
      <c r="CQ150" s="105"/>
      <c r="CR150" s="105"/>
      <c r="CS150" s="105"/>
      <c r="CT150" s="105"/>
      <c r="CU150" s="105"/>
      <c r="CV150" s="105"/>
      <c r="CW150" s="105"/>
      <c r="CX150" s="105"/>
      <c r="CY150" s="105"/>
      <c r="CZ150" s="105"/>
      <c r="DA150" s="105"/>
      <c r="DB150" s="105"/>
      <c r="DC150" s="105"/>
      <c r="DD150" s="105"/>
      <c r="DE150" s="105"/>
      <c r="DF150" s="105"/>
      <c r="DG150" s="105"/>
      <c r="DH150" s="105"/>
      <c r="DI150" s="105"/>
      <c r="DJ150" s="105"/>
      <c r="DK150" s="105"/>
      <c r="DL150" s="105"/>
      <c r="DM150" s="105"/>
      <c r="DN150" s="105"/>
      <c r="DO150" s="105"/>
      <c r="DP150" s="105"/>
      <c r="DQ150" s="105"/>
      <c r="DR150" s="105"/>
      <c r="DS150" s="105"/>
      <c r="DT150" s="105"/>
      <c r="DU150" s="105"/>
      <c r="DV150" s="105"/>
      <c r="DW150" s="105"/>
      <c r="DX150" s="105"/>
      <c r="DY150" s="105"/>
      <c r="DZ150" s="105"/>
      <c r="EA150" s="105"/>
      <c r="EB150" s="105"/>
      <c r="EC150" s="105"/>
      <c r="ED150" s="105"/>
      <c r="EE150" s="105"/>
      <c r="EF150" s="105"/>
      <c r="EG150" s="105"/>
      <c r="EH150" s="105"/>
      <c r="EI150" s="105"/>
      <c r="EJ150" s="105"/>
      <c r="EK150" s="105"/>
      <c r="EL150" s="105"/>
      <c r="EM150" s="105"/>
      <c r="EN150" s="105"/>
      <c r="EO150" s="105"/>
      <c r="EP150" s="105"/>
      <c r="EQ150" s="105"/>
      <c r="ER150" s="105"/>
      <c r="ES150" s="105"/>
      <c r="ET150" s="105"/>
      <c r="EU150" s="105"/>
      <c r="EV150" s="105"/>
      <c r="EW150" s="105"/>
      <c r="EX150" s="105"/>
      <c r="EY150" s="105"/>
      <c r="EZ150" s="105"/>
      <c r="FA150" s="105"/>
      <c r="FB150" s="105"/>
      <c r="FC150" s="105"/>
      <c r="FD150" s="105"/>
      <c r="FE150" s="105"/>
      <c r="FF150" s="105"/>
      <c r="FG150" s="105"/>
      <c r="FH150" s="105"/>
      <c r="FI150" s="105"/>
      <c r="FJ150" s="105"/>
      <c r="FK150" s="105"/>
      <c r="FL150" s="105"/>
      <c r="FM150" s="105"/>
      <c r="FN150" s="105"/>
      <c r="FO150" s="105"/>
      <c r="FP150" s="105"/>
      <c r="FQ150" s="105"/>
      <c r="FR150" s="105"/>
      <c r="FS150" s="105"/>
      <c r="FT150" s="105"/>
      <c r="FU150" s="105"/>
      <c r="FV150" s="105"/>
      <c r="FW150" s="105"/>
      <c r="FX150" s="105"/>
      <c r="FY150" s="105"/>
      <c r="FZ150" s="105"/>
      <c r="GA150" s="105"/>
      <c r="GB150" s="105"/>
      <c r="GC150" s="105"/>
      <c r="GD150" s="105"/>
      <c r="GE150" s="105"/>
      <c r="GF150" s="105"/>
      <c r="GG150" s="105"/>
      <c r="GH150" s="105"/>
      <c r="GI150" s="105"/>
      <c r="GJ150" s="105"/>
      <c r="GK150" s="105"/>
      <c r="GL150" s="105"/>
      <c r="GM150" s="105"/>
      <c r="GN150" s="105"/>
      <c r="GO150" s="105"/>
      <c r="GP150" s="105"/>
      <c r="GQ150" s="105"/>
      <c r="GR150" s="105"/>
      <c r="GS150" s="105"/>
      <c r="GT150" s="105"/>
      <c r="GU150" s="105"/>
      <c r="GV150" s="105"/>
      <c r="GW150" s="105"/>
      <c r="GX150" s="105"/>
      <c r="GY150" s="105"/>
      <c r="GZ150" s="105"/>
      <c r="HA150" s="105"/>
      <c r="HB150" s="105"/>
      <c r="HC150" s="105"/>
      <c r="HD150" s="105"/>
      <c r="HE150" s="105"/>
      <c r="HF150" s="105"/>
      <c r="HG150" s="105"/>
      <c r="HH150" s="105"/>
      <c r="HI150" s="105"/>
      <c r="HJ150" s="105"/>
      <c r="HK150" s="105"/>
      <c r="HL150" s="105"/>
      <c r="HM150" s="105"/>
      <c r="HN150" s="105"/>
      <c r="HO150" s="105"/>
      <c r="HP150" s="105"/>
      <c r="HQ150" s="105"/>
      <c r="HR150" s="105"/>
      <c r="HS150" s="105"/>
      <c r="HT150" s="105"/>
      <c r="HU150" s="105"/>
      <c r="HV150" s="105"/>
      <c r="HW150" s="105"/>
      <c r="HX150" s="105"/>
      <c r="HY150" s="105"/>
      <c r="HZ150" s="105"/>
      <c r="IA150" s="105"/>
      <c r="IB150" s="105"/>
      <c r="IC150" s="105"/>
      <c r="ID150" s="105"/>
      <c r="IE150" s="105"/>
      <c r="IF150" s="105"/>
      <c r="IG150" s="105"/>
      <c r="IH150" s="105"/>
      <c r="II150" s="105"/>
      <c r="IJ150" s="105"/>
      <c r="IK150" s="105"/>
      <c r="IL150" s="105"/>
      <c r="IM150" s="105"/>
      <c r="IN150" s="105"/>
      <c r="IO150" s="105"/>
      <c r="IP150" s="105"/>
      <c r="IQ150" s="105"/>
      <c r="IR150" s="105"/>
      <c r="IS150" s="105"/>
      <c r="IT150" s="105"/>
      <c r="IU150" s="105"/>
      <c r="IV150" s="105"/>
      <c r="IW150" s="105"/>
    </row>
    <row r="151" customFormat="false" ht="12.75" hidden="false" customHeight="false" outlineLevel="0" collapsed="false">
      <c r="A151" s="106"/>
      <c r="B151" s="105"/>
      <c r="C151" s="106"/>
      <c r="D151" s="198"/>
      <c r="F151" s="198"/>
      <c r="G151" s="198"/>
      <c r="H151" s="198"/>
      <c r="I151" s="198"/>
      <c r="J151" s="199"/>
      <c r="K151" s="199"/>
      <c r="L151" s="199"/>
      <c r="M151" s="199"/>
      <c r="N151" s="199"/>
      <c r="O151" s="199"/>
      <c r="P151" s="105"/>
      <c r="Q151" s="207"/>
      <c r="R151" s="105"/>
      <c r="S151" s="105"/>
      <c r="T151" s="105"/>
      <c r="U151" s="105"/>
      <c r="V151" s="105"/>
      <c r="W151" s="105"/>
      <c r="X151" s="105"/>
      <c r="Y151" s="105"/>
      <c r="Z151" s="105"/>
      <c r="AA151" s="203"/>
      <c r="AB151" s="105"/>
      <c r="AC151" s="105"/>
      <c r="AD151" s="105"/>
      <c r="AE151" s="204"/>
      <c r="AG151" s="105"/>
      <c r="AH151" s="105"/>
      <c r="AI151" s="106"/>
      <c r="AJ151" s="106"/>
      <c r="AK151" s="106"/>
      <c r="AL151" s="106"/>
      <c r="AM151" s="106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5"/>
      <c r="BZ151" s="105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5"/>
      <c r="CM151" s="105"/>
      <c r="CN151" s="105"/>
      <c r="CO151" s="105"/>
      <c r="CP151" s="105"/>
      <c r="CQ151" s="105"/>
      <c r="CR151" s="105"/>
      <c r="CS151" s="105"/>
      <c r="CT151" s="105"/>
      <c r="CU151" s="105"/>
      <c r="CV151" s="105"/>
      <c r="CW151" s="105"/>
      <c r="CX151" s="105"/>
      <c r="CY151" s="105"/>
      <c r="CZ151" s="105"/>
      <c r="DA151" s="105"/>
      <c r="DB151" s="105"/>
      <c r="DC151" s="105"/>
      <c r="DD151" s="105"/>
      <c r="DE151" s="105"/>
      <c r="DF151" s="105"/>
      <c r="DG151" s="105"/>
      <c r="DH151" s="105"/>
      <c r="DI151" s="105"/>
      <c r="DJ151" s="105"/>
      <c r="DK151" s="105"/>
      <c r="DL151" s="105"/>
      <c r="DM151" s="105"/>
      <c r="DN151" s="105"/>
      <c r="DO151" s="105"/>
      <c r="DP151" s="105"/>
      <c r="DQ151" s="105"/>
      <c r="DR151" s="105"/>
      <c r="DS151" s="105"/>
      <c r="DT151" s="105"/>
      <c r="DU151" s="105"/>
      <c r="DV151" s="105"/>
      <c r="DW151" s="105"/>
      <c r="DX151" s="105"/>
      <c r="DY151" s="105"/>
      <c r="DZ151" s="105"/>
      <c r="EA151" s="105"/>
      <c r="EB151" s="105"/>
      <c r="EC151" s="105"/>
      <c r="ED151" s="105"/>
      <c r="EE151" s="105"/>
      <c r="EF151" s="105"/>
      <c r="EG151" s="105"/>
      <c r="EH151" s="105"/>
      <c r="EI151" s="105"/>
      <c r="EJ151" s="105"/>
      <c r="EK151" s="105"/>
      <c r="EL151" s="105"/>
      <c r="EM151" s="105"/>
      <c r="EN151" s="105"/>
      <c r="EO151" s="105"/>
      <c r="EP151" s="105"/>
      <c r="EQ151" s="105"/>
      <c r="ER151" s="105"/>
      <c r="ES151" s="105"/>
      <c r="ET151" s="105"/>
      <c r="EU151" s="105"/>
      <c r="EV151" s="105"/>
      <c r="EW151" s="105"/>
      <c r="EX151" s="105"/>
      <c r="EY151" s="105"/>
      <c r="EZ151" s="105"/>
      <c r="FA151" s="105"/>
      <c r="FB151" s="105"/>
      <c r="FC151" s="105"/>
      <c r="FD151" s="105"/>
      <c r="FE151" s="105"/>
      <c r="FF151" s="105"/>
      <c r="FG151" s="105"/>
      <c r="FH151" s="105"/>
      <c r="FI151" s="105"/>
      <c r="FJ151" s="105"/>
      <c r="FK151" s="105"/>
      <c r="FL151" s="105"/>
      <c r="FM151" s="105"/>
      <c r="FN151" s="105"/>
      <c r="FO151" s="105"/>
      <c r="FP151" s="105"/>
      <c r="FQ151" s="105"/>
      <c r="FR151" s="105"/>
      <c r="FS151" s="105"/>
      <c r="FT151" s="105"/>
      <c r="FU151" s="105"/>
      <c r="FV151" s="105"/>
      <c r="FW151" s="105"/>
      <c r="FX151" s="105"/>
      <c r="FY151" s="105"/>
      <c r="FZ151" s="105"/>
      <c r="GA151" s="105"/>
      <c r="GB151" s="105"/>
      <c r="GC151" s="105"/>
      <c r="GD151" s="105"/>
      <c r="GE151" s="105"/>
      <c r="GF151" s="105"/>
      <c r="GG151" s="105"/>
      <c r="GH151" s="105"/>
      <c r="GI151" s="105"/>
      <c r="GJ151" s="105"/>
      <c r="GK151" s="105"/>
      <c r="GL151" s="105"/>
      <c r="GM151" s="105"/>
      <c r="GN151" s="105"/>
      <c r="GO151" s="105"/>
      <c r="GP151" s="105"/>
      <c r="GQ151" s="105"/>
      <c r="GR151" s="105"/>
      <c r="GS151" s="105"/>
      <c r="GT151" s="105"/>
      <c r="GU151" s="105"/>
      <c r="GV151" s="105"/>
      <c r="GW151" s="105"/>
      <c r="GX151" s="105"/>
      <c r="GY151" s="105"/>
      <c r="GZ151" s="105"/>
      <c r="HA151" s="105"/>
      <c r="HB151" s="105"/>
      <c r="HC151" s="105"/>
      <c r="HD151" s="105"/>
      <c r="HE151" s="105"/>
      <c r="HF151" s="105"/>
      <c r="HG151" s="105"/>
      <c r="HH151" s="105"/>
      <c r="HI151" s="105"/>
      <c r="HJ151" s="105"/>
      <c r="HK151" s="105"/>
      <c r="HL151" s="105"/>
      <c r="HM151" s="105"/>
      <c r="HN151" s="105"/>
      <c r="HO151" s="105"/>
      <c r="HP151" s="105"/>
      <c r="HQ151" s="105"/>
      <c r="HR151" s="105"/>
      <c r="HS151" s="105"/>
      <c r="HT151" s="105"/>
      <c r="HU151" s="105"/>
      <c r="HV151" s="105"/>
      <c r="HW151" s="105"/>
      <c r="HX151" s="105"/>
      <c r="HY151" s="105"/>
      <c r="HZ151" s="105"/>
      <c r="IA151" s="105"/>
      <c r="IB151" s="105"/>
      <c r="IC151" s="105"/>
      <c r="ID151" s="105"/>
      <c r="IE151" s="105"/>
      <c r="IF151" s="105"/>
      <c r="IG151" s="105"/>
      <c r="IH151" s="105"/>
      <c r="II151" s="105"/>
      <c r="IJ151" s="105"/>
      <c r="IK151" s="105"/>
      <c r="IL151" s="105"/>
      <c r="IM151" s="105"/>
      <c r="IN151" s="105"/>
      <c r="IO151" s="105"/>
      <c r="IP151" s="105"/>
      <c r="IQ151" s="105"/>
      <c r="IR151" s="105"/>
      <c r="IS151" s="105"/>
      <c r="IT151" s="105"/>
      <c r="IU151" s="105"/>
      <c r="IV151" s="105"/>
      <c r="IW151" s="105"/>
    </row>
    <row r="152" customFormat="false" ht="12.75" hidden="false" customHeight="false" outlineLevel="0" collapsed="false">
      <c r="A152" s="106"/>
      <c r="B152" s="105"/>
      <c r="C152" s="106"/>
      <c r="D152" s="198"/>
      <c r="F152" s="198"/>
      <c r="G152" s="198"/>
      <c r="H152" s="198"/>
      <c r="I152" s="198"/>
      <c r="J152" s="199"/>
      <c r="K152" s="199"/>
      <c r="L152" s="199"/>
      <c r="M152" s="199"/>
      <c r="N152" s="199"/>
      <c r="O152" s="199"/>
      <c r="P152" s="105"/>
      <c r="Q152" s="207"/>
      <c r="R152" s="105"/>
      <c r="S152" s="105"/>
      <c r="T152" s="105"/>
      <c r="U152" s="105"/>
      <c r="V152" s="105"/>
      <c r="W152" s="105"/>
      <c r="X152" s="105"/>
      <c r="Y152" s="105"/>
      <c r="Z152" s="105"/>
      <c r="AA152" s="203"/>
      <c r="AB152" s="105"/>
      <c r="AC152" s="105"/>
      <c r="AD152" s="105"/>
      <c r="AE152" s="204"/>
      <c r="AG152" s="105"/>
      <c r="AH152" s="105"/>
      <c r="AI152" s="106"/>
      <c r="AJ152" s="106"/>
      <c r="AK152" s="106"/>
      <c r="AL152" s="106"/>
      <c r="AM152" s="106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5"/>
      <c r="BZ152" s="105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5"/>
      <c r="CM152" s="105"/>
      <c r="CN152" s="105"/>
      <c r="CO152" s="105"/>
      <c r="CP152" s="105"/>
      <c r="CQ152" s="105"/>
      <c r="CR152" s="105"/>
      <c r="CS152" s="105"/>
      <c r="CT152" s="105"/>
      <c r="CU152" s="105"/>
      <c r="CV152" s="105"/>
      <c r="CW152" s="105"/>
      <c r="CX152" s="105"/>
      <c r="CY152" s="105"/>
      <c r="CZ152" s="105"/>
      <c r="DA152" s="105"/>
      <c r="DB152" s="105"/>
      <c r="DC152" s="105"/>
      <c r="DD152" s="105"/>
      <c r="DE152" s="105"/>
      <c r="DF152" s="105"/>
      <c r="DG152" s="105"/>
      <c r="DH152" s="105"/>
      <c r="DI152" s="105"/>
      <c r="DJ152" s="105"/>
      <c r="DK152" s="105"/>
      <c r="DL152" s="105"/>
      <c r="DM152" s="105"/>
      <c r="DN152" s="105"/>
      <c r="DO152" s="105"/>
      <c r="DP152" s="105"/>
      <c r="DQ152" s="105"/>
      <c r="DR152" s="105"/>
      <c r="DS152" s="105"/>
      <c r="DT152" s="105"/>
      <c r="DU152" s="105"/>
      <c r="DV152" s="105"/>
      <c r="DW152" s="105"/>
      <c r="DX152" s="105"/>
      <c r="DY152" s="105"/>
      <c r="DZ152" s="105"/>
      <c r="EA152" s="105"/>
      <c r="EB152" s="105"/>
      <c r="EC152" s="105"/>
      <c r="ED152" s="105"/>
      <c r="EE152" s="105"/>
      <c r="EF152" s="105"/>
      <c r="EG152" s="105"/>
      <c r="EH152" s="105"/>
      <c r="EI152" s="105"/>
      <c r="EJ152" s="105"/>
      <c r="EK152" s="105"/>
      <c r="EL152" s="105"/>
      <c r="EM152" s="105"/>
      <c r="EN152" s="105"/>
      <c r="EO152" s="105"/>
      <c r="EP152" s="105"/>
      <c r="EQ152" s="105"/>
      <c r="ER152" s="105"/>
      <c r="ES152" s="105"/>
      <c r="ET152" s="105"/>
      <c r="EU152" s="105"/>
      <c r="EV152" s="105"/>
      <c r="EW152" s="105"/>
      <c r="EX152" s="105"/>
      <c r="EY152" s="105"/>
      <c r="EZ152" s="105"/>
      <c r="FA152" s="105"/>
      <c r="FB152" s="105"/>
      <c r="FC152" s="105"/>
      <c r="FD152" s="105"/>
      <c r="FE152" s="105"/>
      <c r="FF152" s="105"/>
      <c r="FG152" s="105"/>
      <c r="FH152" s="105"/>
      <c r="FI152" s="105"/>
      <c r="FJ152" s="105"/>
      <c r="FK152" s="105"/>
      <c r="FL152" s="105"/>
      <c r="FM152" s="105"/>
      <c r="FN152" s="105"/>
      <c r="FO152" s="105"/>
      <c r="FP152" s="105"/>
      <c r="FQ152" s="105"/>
      <c r="FR152" s="105"/>
      <c r="FS152" s="105"/>
      <c r="FT152" s="105"/>
      <c r="FU152" s="105"/>
      <c r="FV152" s="105"/>
      <c r="FW152" s="105"/>
      <c r="FX152" s="105"/>
      <c r="FY152" s="105"/>
      <c r="FZ152" s="105"/>
      <c r="GA152" s="105"/>
      <c r="GB152" s="105"/>
      <c r="GC152" s="105"/>
      <c r="GD152" s="105"/>
      <c r="GE152" s="105"/>
      <c r="GF152" s="105"/>
      <c r="GG152" s="105"/>
      <c r="GH152" s="105"/>
      <c r="GI152" s="105"/>
      <c r="GJ152" s="105"/>
      <c r="GK152" s="105"/>
      <c r="GL152" s="105"/>
      <c r="GM152" s="105"/>
      <c r="GN152" s="105"/>
      <c r="GO152" s="105"/>
      <c r="GP152" s="105"/>
      <c r="GQ152" s="105"/>
      <c r="GR152" s="105"/>
      <c r="GS152" s="105"/>
      <c r="GT152" s="105"/>
      <c r="GU152" s="105"/>
      <c r="GV152" s="105"/>
      <c r="GW152" s="105"/>
      <c r="GX152" s="105"/>
      <c r="GY152" s="105"/>
      <c r="GZ152" s="105"/>
      <c r="HA152" s="105"/>
      <c r="HB152" s="105"/>
      <c r="HC152" s="105"/>
      <c r="HD152" s="105"/>
      <c r="HE152" s="105"/>
      <c r="HF152" s="105"/>
      <c r="HG152" s="105"/>
      <c r="HH152" s="105"/>
      <c r="HI152" s="105"/>
      <c r="HJ152" s="105"/>
      <c r="HK152" s="105"/>
      <c r="HL152" s="105"/>
      <c r="HM152" s="105"/>
      <c r="HN152" s="105"/>
      <c r="HO152" s="105"/>
      <c r="HP152" s="105"/>
      <c r="HQ152" s="105"/>
      <c r="HR152" s="105"/>
      <c r="HS152" s="105"/>
      <c r="HT152" s="105"/>
      <c r="HU152" s="105"/>
      <c r="HV152" s="105"/>
      <c r="HW152" s="105"/>
      <c r="HX152" s="105"/>
      <c r="HY152" s="105"/>
      <c r="HZ152" s="105"/>
      <c r="IA152" s="105"/>
      <c r="IB152" s="105"/>
      <c r="IC152" s="105"/>
      <c r="ID152" s="105"/>
      <c r="IE152" s="105"/>
      <c r="IF152" s="105"/>
      <c r="IG152" s="105"/>
      <c r="IH152" s="105"/>
      <c r="II152" s="105"/>
      <c r="IJ152" s="105"/>
      <c r="IK152" s="105"/>
      <c r="IL152" s="105"/>
      <c r="IM152" s="105"/>
      <c r="IN152" s="105"/>
      <c r="IO152" s="105"/>
      <c r="IP152" s="105"/>
      <c r="IQ152" s="105"/>
      <c r="IR152" s="105"/>
      <c r="IS152" s="105"/>
      <c r="IT152" s="105"/>
      <c r="IU152" s="105"/>
      <c r="IV152" s="105"/>
      <c r="IW152" s="105"/>
    </row>
    <row r="153" customFormat="false" ht="12.75" hidden="false" customHeight="false" outlineLevel="0" collapsed="false">
      <c r="A153" s="106"/>
      <c r="B153" s="105"/>
      <c r="C153" s="106"/>
      <c r="D153" s="198"/>
      <c r="F153" s="198"/>
      <c r="G153" s="198"/>
      <c r="H153" s="198"/>
      <c r="I153" s="198"/>
      <c r="J153" s="199"/>
      <c r="K153" s="199"/>
      <c r="L153" s="199"/>
      <c r="M153" s="199"/>
      <c r="N153" s="199"/>
      <c r="O153" s="199"/>
      <c r="P153" s="105"/>
      <c r="Q153" s="207"/>
      <c r="R153" s="105"/>
      <c r="S153" s="105"/>
      <c r="T153" s="105"/>
      <c r="U153" s="105"/>
      <c r="V153" s="105"/>
      <c r="W153" s="105"/>
      <c r="X153" s="105"/>
      <c r="Y153" s="105"/>
      <c r="Z153" s="105"/>
      <c r="AA153" s="203"/>
      <c r="AB153" s="105"/>
      <c r="AC153" s="105"/>
      <c r="AD153" s="105"/>
      <c r="AE153" s="204"/>
      <c r="AG153" s="105"/>
      <c r="AH153" s="105"/>
      <c r="AI153" s="106"/>
      <c r="AJ153" s="106"/>
      <c r="AK153" s="106"/>
      <c r="AL153" s="106"/>
      <c r="AM153" s="106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5"/>
      <c r="BZ153" s="105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5"/>
      <c r="CM153" s="105"/>
      <c r="CN153" s="105"/>
      <c r="CO153" s="105"/>
      <c r="CP153" s="105"/>
      <c r="CQ153" s="105"/>
      <c r="CR153" s="105"/>
      <c r="CS153" s="105"/>
      <c r="CT153" s="105"/>
      <c r="CU153" s="105"/>
      <c r="CV153" s="105"/>
      <c r="CW153" s="105"/>
      <c r="CX153" s="105"/>
      <c r="CY153" s="105"/>
      <c r="CZ153" s="105"/>
      <c r="DA153" s="105"/>
      <c r="DB153" s="105"/>
      <c r="DC153" s="105"/>
      <c r="DD153" s="105"/>
      <c r="DE153" s="105"/>
      <c r="DF153" s="105"/>
      <c r="DG153" s="105"/>
      <c r="DH153" s="105"/>
      <c r="DI153" s="105"/>
      <c r="DJ153" s="105"/>
      <c r="DK153" s="105"/>
      <c r="DL153" s="105"/>
      <c r="DM153" s="105"/>
      <c r="DN153" s="105"/>
      <c r="DO153" s="105"/>
      <c r="DP153" s="105"/>
      <c r="DQ153" s="105"/>
      <c r="DR153" s="105"/>
      <c r="DS153" s="105"/>
      <c r="DT153" s="105"/>
      <c r="DU153" s="105"/>
      <c r="DV153" s="105"/>
      <c r="DW153" s="105"/>
      <c r="DX153" s="105"/>
      <c r="DY153" s="105"/>
      <c r="DZ153" s="105"/>
      <c r="EA153" s="105"/>
      <c r="EB153" s="105"/>
      <c r="EC153" s="105"/>
      <c r="ED153" s="105"/>
      <c r="EE153" s="105"/>
      <c r="EF153" s="105"/>
      <c r="EG153" s="105"/>
      <c r="EH153" s="105"/>
      <c r="EI153" s="105"/>
      <c r="EJ153" s="105"/>
      <c r="EK153" s="105"/>
      <c r="EL153" s="105"/>
      <c r="EM153" s="105"/>
      <c r="EN153" s="105"/>
      <c r="EO153" s="105"/>
      <c r="EP153" s="105"/>
      <c r="EQ153" s="105"/>
      <c r="ER153" s="105"/>
      <c r="ES153" s="105"/>
      <c r="ET153" s="105"/>
      <c r="EU153" s="105"/>
      <c r="EV153" s="105"/>
      <c r="EW153" s="105"/>
      <c r="EX153" s="105"/>
      <c r="EY153" s="105"/>
      <c r="EZ153" s="105"/>
      <c r="FA153" s="105"/>
      <c r="FB153" s="105"/>
      <c r="FC153" s="105"/>
      <c r="FD153" s="105"/>
      <c r="FE153" s="105"/>
      <c r="FF153" s="105"/>
      <c r="FG153" s="105"/>
      <c r="FH153" s="105"/>
      <c r="FI153" s="105"/>
      <c r="FJ153" s="105"/>
      <c r="FK153" s="105"/>
      <c r="FL153" s="105"/>
      <c r="FM153" s="105"/>
      <c r="FN153" s="105"/>
      <c r="FO153" s="105"/>
      <c r="FP153" s="105"/>
      <c r="FQ153" s="105"/>
      <c r="FR153" s="105"/>
      <c r="FS153" s="105"/>
      <c r="FT153" s="105"/>
      <c r="FU153" s="105"/>
      <c r="FV153" s="105"/>
      <c r="FW153" s="105"/>
      <c r="FX153" s="105"/>
      <c r="FY153" s="105"/>
      <c r="FZ153" s="105"/>
      <c r="GA153" s="105"/>
      <c r="GB153" s="105"/>
      <c r="GC153" s="105"/>
      <c r="GD153" s="105"/>
      <c r="GE153" s="105"/>
      <c r="GF153" s="105"/>
      <c r="GG153" s="105"/>
      <c r="GH153" s="105"/>
      <c r="GI153" s="105"/>
      <c r="GJ153" s="105"/>
      <c r="GK153" s="105"/>
      <c r="GL153" s="105"/>
      <c r="GM153" s="105"/>
      <c r="GN153" s="105"/>
      <c r="GO153" s="105"/>
      <c r="GP153" s="105"/>
      <c r="GQ153" s="105"/>
      <c r="GR153" s="105"/>
      <c r="GS153" s="105"/>
      <c r="GT153" s="105"/>
      <c r="GU153" s="105"/>
      <c r="GV153" s="105"/>
      <c r="GW153" s="105"/>
      <c r="GX153" s="105"/>
      <c r="GY153" s="105"/>
      <c r="GZ153" s="105"/>
      <c r="HA153" s="105"/>
      <c r="HB153" s="105"/>
      <c r="HC153" s="105"/>
      <c r="HD153" s="105"/>
      <c r="HE153" s="105"/>
      <c r="HF153" s="105"/>
      <c r="HG153" s="105"/>
      <c r="HH153" s="105"/>
      <c r="HI153" s="105"/>
      <c r="HJ153" s="105"/>
      <c r="HK153" s="105"/>
      <c r="HL153" s="105"/>
      <c r="HM153" s="105"/>
      <c r="HN153" s="105"/>
      <c r="HO153" s="105"/>
      <c r="HP153" s="105"/>
      <c r="HQ153" s="105"/>
      <c r="HR153" s="105"/>
      <c r="HS153" s="105"/>
      <c r="HT153" s="105"/>
      <c r="HU153" s="105"/>
      <c r="HV153" s="105"/>
      <c r="HW153" s="105"/>
      <c r="HX153" s="105"/>
      <c r="HY153" s="105"/>
      <c r="HZ153" s="105"/>
      <c r="IA153" s="105"/>
      <c r="IB153" s="105"/>
      <c r="IC153" s="105"/>
      <c r="ID153" s="105"/>
      <c r="IE153" s="105"/>
      <c r="IF153" s="105"/>
      <c r="IG153" s="105"/>
      <c r="IH153" s="105"/>
      <c r="II153" s="105"/>
      <c r="IJ153" s="105"/>
      <c r="IK153" s="105"/>
      <c r="IL153" s="105"/>
      <c r="IM153" s="105"/>
      <c r="IN153" s="105"/>
      <c r="IO153" s="105"/>
      <c r="IP153" s="105"/>
      <c r="IQ153" s="105"/>
      <c r="IR153" s="105"/>
      <c r="IS153" s="105"/>
      <c r="IT153" s="105"/>
      <c r="IU153" s="105"/>
      <c r="IV153" s="105"/>
      <c r="IW153" s="105"/>
    </row>
    <row r="154" customFormat="false" ht="12.75" hidden="false" customHeight="false" outlineLevel="0" collapsed="false">
      <c r="AE154" s="204"/>
    </row>
    <row r="155" customFormat="false" ht="12.75" hidden="false" customHeight="false" outlineLevel="0" collapsed="false">
      <c r="AE155" s="204"/>
    </row>
    <row r="156" customFormat="false" ht="12.75" hidden="false" customHeight="false" outlineLevel="0" collapsed="false">
      <c r="AE156" s="204"/>
    </row>
    <row r="157" customFormat="false" ht="12.75" hidden="false" customHeight="false" outlineLevel="0" collapsed="false">
      <c r="AE157" s="204"/>
    </row>
    <row r="158" customFormat="false" ht="12.75" hidden="false" customHeight="false" outlineLevel="0" collapsed="false">
      <c r="AE158" s="204"/>
    </row>
    <row r="159" customFormat="false" ht="12.75" hidden="false" customHeight="false" outlineLevel="0" collapsed="false">
      <c r="AE159" s="204"/>
    </row>
    <row r="160" customFormat="false" ht="12.75" hidden="false" customHeight="false" outlineLevel="0" collapsed="false">
      <c r="AE160" s="204"/>
    </row>
    <row r="161" customFormat="false" ht="12.75" hidden="false" customHeight="false" outlineLevel="0" collapsed="false">
      <c r="AE161" s="204"/>
    </row>
    <row r="162" customFormat="false" ht="12.75" hidden="false" customHeight="false" outlineLevel="0" collapsed="false">
      <c r="AE162" s="204"/>
    </row>
    <row r="163" customFormat="false" ht="12.75" hidden="false" customHeight="false" outlineLevel="0" collapsed="false">
      <c r="AE163" s="204"/>
    </row>
    <row r="164" customFormat="false" ht="12.75" hidden="false" customHeight="false" outlineLevel="0" collapsed="false">
      <c r="AE164" s="204"/>
    </row>
    <row r="165" customFormat="false" ht="12.75" hidden="false" customHeight="false" outlineLevel="0" collapsed="false">
      <c r="AE165" s="204"/>
    </row>
    <row r="166" customFormat="false" ht="12.75" hidden="false" customHeight="false" outlineLevel="0" collapsed="false">
      <c r="AE166" s="204"/>
    </row>
    <row r="167" customFormat="false" ht="12.75" hidden="false" customHeight="false" outlineLevel="0" collapsed="false">
      <c r="AE167" s="204"/>
    </row>
    <row r="168" customFormat="false" ht="12.75" hidden="false" customHeight="false" outlineLevel="0" collapsed="false">
      <c r="AE168" s="204"/>
    </row>
    <row r="169" customFormat="false" ht="12.75" hidden="false" customHeight="false" outlineLevel="0" collapsed="false">
      <c r="AE169" s="204"/>
    </row>
    <row r="170" customFormat="false" ht="12.75" hidden="false" customHeight="false" outlineLevel="0" collapsed="false">
      <c r="AE170" s="204"/>
    </row>
    <row r="171" customFormat="false" ht="12.75" hidden="false" customHeight="false" outlineLevel="0" collapsed="false">
      <c r="AE171" s="204"/>
    </row>
    <row r="172" customFormat="false" ht="12.75" hidden="false" customHeight="false" outlineLevel="0" collapsed="false">
      <c r="AE172" s="204"/>
    </row>
    <row r="173" customFormat="false" ht="12.75" hidden="false" customHeight="false" outlineLevel="0" collapsed="false">
      <c r="AE173" s="204"/>
    </row>
    <row r="174" customFormat="false" ht="12.75" hidden="false" customHeight="false" outlineLevel="0" collapsed="false">
      <c r="AE174" s="204"/>
    </row>
    <row r="175" customFormat="false" ht="12.75" hidden="false" customHeight="false" outlineLevel="0" collapsed="false">
      <c r="AE175" s="204"/>
    </row>
    <row r="176" customFormat="false" ht="12.75" hidden="false" customHeight="false" outlineLevel="0" collapsed="false">
      <c r="AE176" s="204"/>
    </row>
    <row r="177" customFormat="false" ht="12.75" hidden="false" customHeight="false" outlineLevel="0" collapsed="false">
      <c r="AE177" s="204"/>
    </row>
    <row r="178" customFormat="false" ht="12.75" hidden="false" customHeight="false" outlineLevel="0" collapsed="false">
      <c r="AE178" s="204"/>
    </row>
    <row r="179" customFormat="false" ht="12.75" hidden="false" customHeight="false" outlineLevel="0" collapsed="false">
      <c r="AE179" s="204"/>
    </row>
    <row r="180" customFormat="false" ht="12.75" hidden="false" customHeight="false" outlineLevel="0" collapsed="false">
      <c r="AE180" s="204"/>
    </row>
    <row r="181" customFormat="false" ht="12.75" hidden="false" customHeight="false" outlineLevel="0" collapsed="false">
      <c r="AE181" s="204"/>
    </row>
    <row r="182" customFormat="false" ht="12.75" hidden="false" customHeight="false" outlineLevel="0" collapsed="false">
      <c r="AE182" s="204"/>
    </row>
    <row r="183" customFormat="false" ht="12.75" hidden="false" customHeight="false" outlineLevel="0" collapsed="false">
      <c r="AE183" s="204"/>
    </row>
    <row r="184" customFormat="false" ht="12.75" hidden="false" customHeight="false" outlineLevel="0" collapsed="false">
      <c r="AE184" s="204"/>
    </row>
    <row r="185" customFormat="false" ht="12.75" hidden="false" customHeight="false" outlineLevel="0" collapsed="false">
      <c r="AE185" s="204"/>
    </row>
    <row r="186" customFormat="false" ht="12.75" hidden="false" customHeight="false" outlineLevel="0" collapsed="false">
      <c r="AE186" s="204"/>
    </row>
    <row r="187" customFormat="false" ht="12.75" hidden="false" customHeight="false" outlineLevel="0" collapsed="false">
      <c r="AE187" s="204"/>
    </row>
    <row r="188" customFormat="false" ht="12.75" hidden="false" customHeight="false" outlineLevel="0" collapsed="false">
      <c r="AE188" s="204"/>
    </row>
    <row r="189" customFormat="false" ht="12.75" hidden="false" customHeight="false" outlineLevel="0" collapsed="false">
      <c r="AE189" s="204"/>
    </row>
    <row r="190" customFormat="false" ht="12.75" hidden="false" customHeight="false" outlineLevel="0" collapsed="false">
      <c r="AE190" s="204"/>
    </row>
    <row r="191" customFormat="false" ht="12.75" hidden="false" customHeight="false" outlineLevel="0" collapsed="false">
      <c r="AE191" s="204"/>
    </row>
    <row r="192" customFormat="false" ht="12.75" hidden="false" customHeight="false" outlineLevel="0" collapsed="false">
      <c r="AE192" s="204"/>
    </row>
    <row r="193" customFormat="false" ht="12.75" hidden="false" customHeight="false" outlineLevel="0" collapsed="false">
      <c r="AE193" s="204"/>
    </row>
    <row r="194" customFormat="false" ht="12.75" hidden="false" customHeight="false" outlineLevel="0" collapsed="false">
      <c r="AE194" s="204"/>
    </row>
    <row r="195" customFormat="false" ht="12.75" hidden="false" customHeight="false" outlineLevel="0" collapsed="false">
      <c r="AE195" s="204"/>
    </row>
    <row r="196" customFormat="false" ht="12.75" hidden="false" customHeight="false" outlineLevel="0" collapsed="false">
      <c r="AE196" s="204"/>
    </row>
    <row r="197" customFormat="false" ht="12.75" hidden="false" customHeight="false" outlineLevel="0" collapsed="false">
      <c r="AE197" s="204"/>
    </row>
    <row r="198" customFormat="false" ht="12.75" hidden="false" customHeight="false" outlineLevel="0" collapsed="false">
      <c r="AE198" s="204"/>
    </row>
    <row r="199" customFormat="false" ht="12.75" hidden="false" customHeight="false" outlineLevel="0" collapsed="false">
      <c r="AE199" s="204"/>
    </row>
    <row r="200" customFormat="false" ht="12.75" hidden="false" customHeight="false" outlineLevel="0" collapsed="false">
      <c r="AE200" s="204"/>
    </row>
    <row r="201" customFormat="false" ht="12.75" hidden="false" customHeight="false" outlineLevel="0" collapsed="false">
      <c r="AE201" s="204"/>
    </row>
    <row r="202" customFormat="false" ht="12.75" hidden="false" customHeight="false" outlineLevel="0" collapsed="false">
      <c r="AE202" s="204"/>
    </row>
    <row r="203" customFormat="false" ht="12.75" hidden="false" customHeight="false" outlineLevel="0" collapsed="false">
      <c r="AE203" s="204"/>
    </row>
    <row r="204" customFormat="false" ht="12.75" hidden="false" customHeight="false" outlineLevel="0" collapsed="false">
      <c r="AE204" s="204"/>
    </row>
    <row r="205" customFormat="false" ht="12.75" hidden="false" customHeight="false" outlineLevel="0" collapsed="false">
      <c r="AE205" s="204"/>
    </row>
    <row r="206" customFormat="false" ht="12.75" hidden="false" customHeight="false" outlineLevel="0" collapsed="false">
      <c r="AE206" s="204"/>
    </row>
    <row r="207" customFormat="false" ht="12.75" hidden="false" customHeight="false" outlineLevel="0" collapsed="false">
      <c r="AE207" s="204"/>
    </row>
    <row r="208" customFormat="false" ht="12.75" hidden="false" customHeight="false" outlineLevel="0" collapsed="false">
      <c r="AE208" s="204"/>
    </row>
    <row r="209" customFormat="false" ht="12.75" hidden="false" customHeight="false" outlineLevel="0" collapsed="false">
      <c r="AE209" s="204"/>
    </row>
    <row r="210" customFormat="false" ht="12.75" hidden="false" customHeight="false" outlineLevel="0" collapsed="false">
      <c r="AE210" s="204"/>
    </row>
    <row r="211" customFormat="false" ht="12.75" hidden="false" customHeight="false" outlineLevel="0" collapsed="false">
      <c r="AE211" s="204"/>
    </row>
    <row r="212" customFormat="false" ht="12.75" hidden="false" customHeight="false" outlineLevel="0" collapsed="false">
      <c r="AE212" s="204"/>
    </row>
    <row r="213" customFormat="false" ht="12.75" hidden="false" customHeight="false" outlineLevel="0" collapsed="false">
      <c r="AE213" s="204"/>
    </row>
    <row r="214" customFormat="false" ht="12.75" hidden="false" customHeight="false" outlineLevel="0" collapsed="false">
      <c r="AE214" s="204"/>
    </row>
  </sheetData>
  <mergeCells count="1">
    <mergeCell ref="G2:I2"/>
  </mergeCells>
  <printOptions headings="false" gridLines="false" gridLinesSet="true" horizontalCentered="false" verticalCentered="false"/>
  <pageMargins left="0.2" right="0.25" top="0.75" bottom="0.479861111111111" header="0.220138888888889" footer="0.209722222222222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Revenue Allocation Workpapers for the 3¢ Surcharge
Present and Proposed Revenues and Rates</oddHeader>
    <oddFooter>&amp;L&amp;9&amp;D
&amp;T&amp;R&amp;F
&amp;A</oddFooter>
  </headerFooter>
  <rowBreaks count="1" manualBreakCount="1">
    <brk id="109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D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.65"/>
    <col collapsed="false" customWidth="false" hidden="true" outlineLevel="0" max="3" min="3" style="0" width="9.05"/>
    <col collapsed="false" customWidth="true" hidden="false" outlineLevel="0" max="5" min="4" style="0" width="16.82"/>
    <col collapsed="false" customWidth="true" hidden="false" outlineLevel="0" max="6" min="6" style="0" width="2.82"/>
    <col collapsed="false" customWidth="true" hidden="false" outlineLevel="0" max="7" min="7" style="0" width="15.15"/>
    <col collapsed="false" customWidth="true" hidden="false" outlineLevel="0" max="8" min="8" style="0" width="15.49"/>
    <col collapsed="false" customWidth="true" hidden="false" outlineLevel="0" max="10" min="9" style="0" width="15.15"/>
    <col collapsed="false" customWidth="true" hidden="false" outlineLevel="0" max="11" min="11" style="0" width="2.82"/>
    <col collapsed="false" customWidth="true" hidden="false" outlineLevel="0" max="13" min="12" style="0" width="15.32"/>
    <col collapsed="false" customWidth="true" hidden="false" outlineLevel="0" max="14" min="14" style="0" width="16.65"/>
    <col collapsed="false" customWidth="true" hidden="false" outlineLevel="0" max="15" min="15" style="0" width="3.49"/>
    <col collapsed="false" customWidth="true" hidden="false" outlineLevel="0" max="16" min="16" style="0" width="11.15"/>
    <col collapsed="false" customWidth="true" hidden="false" outlineLevel="0" max="17" min="17" style="0" width="17.65"/>
    <col collapsed="false" customWidth="true" hidden="false" outlineLevel="0" max="18" min="18" style="0" width="3.49"/>
    <col collapsed="false" customWidth="true" hidden="false" outlineLevel="0" max="19" min="19" style="211" width="11.15"/>
    <col collapsed="false" customWidth="true" hidden="false" outlineLevel="0" max="20" min="20" style="69" width="13.99"/>
    <col collapsed="false" customWidth="true" hidden="false" outlineLevel="0" max="21" min="21" style="212" width="13.99"/>
    <col collapsed="false" customWidth="true" hidden="false" outlineLevel="0" max="22" min="22" style="0" width="11.99"/>
    <col collapsed="false" customWidth="true" hidden="false" outlineLevel="0" max="24" min="23" style="0" width="15.49"/>
    <col collapsed="false" customWidth="true" hidden="false" outlineLevel="0" max="26" min="25" style="0" width="12.32"/>
    <col collapsed="false" customWidth="true" hidden="false" outlineLevel="0" max="27" min="27" style="77" width="17.65"/>
    <col collapsed="false" customWidth="true" hidden="false" outlineLevel="0" max="28" min="28" style="0" width="5.15"/>
    <col collapsed="false" customWidth="true" hidden="false" outlineLevel="0" max="29" min="29" style="0" width="15.15"/>
    <col collapsed="false" customWidth="true" hidden="false" outlineLevel="0" max="32" min="30" style="0" width="11.65"/>
    <col collapsed="false" customWidth="true" hidden="false" outlineLevel="0" max="33" min="33" style="0" width="13.49"/>
    <col collapsed="false" customWidth="true" hidden="false" outlineLevel="0" max="34" min="34" style="50" width="13.82"/>
    <col collapsed="false" customWidth="true" hidden="false" outlineLevel="0" max="35" min="35" style="77" width="10.15"/>
    <col collapsed="false" customWidth="true" hidden="false" outlineLevel="0" max="36" min="36" style="0" width="11.65"/>
    <col collapsed="false" customWidth="true" hidden="false" outlineLevel="0" max="37" min="37" style="0" width="13.65"/>
    <col collapsed="false" customWidth="true" hidden="false" outlineLevel="0" max="38" min="38" style="0" width="16.82"/>
    <col collapsed="false" customWidth="true" hidden="false" outlineLevel="0" max="39" min="39" style="213" width="3.65"/>
    <col collapsed="false" customWidth="true" hidden="false" outlineLevel="0" max="40" min="40" style="63" width="15.15"/>
    <col collapsed="false" customWidth="true" hidden="false" outlineLevel="0" max="41" min="41" style="63" width="11.65"/>
    <col collapsed="false" customWidth="true" hidden="false" outlineLevel="0" max="42" min="42" style="63" width="16.82"/>
    <col collapsed="false" customWidth="true" hidden="false" outlineLevel="0" max="43" min="43" style="63" width="11.65"/>
    <col collapsed="false" customWidth="true" hidden="false" outlineLevel="0" max="44" min="44" style="63" width="16.82"/>
    <col collapsed="false" customWidth="true" hidden="false" outlineLevel="0" max="45" min="45" style="13" width="13.82"/>
    <col collapsed="false" customWidth="true" hidden="false" outlineLevel="0" max="46" min="46" style="63" width="10.15"/>
    <col collapsed="false" customWidth="true" hidden="false" outlineLevel="0" max="48" min="47" style="63" width="11.65"/>
    <col collapsed="false" customWidth="true" hidden="false" outlineLevel="0" max="49" min="49" style="63" width="16.82"/>
    <col collapsed="false" customWidth="true" hidden="false" outlineLevel="0" max="50" min="50" style="213" width="3.65"/>
    <col collapsed="false" customWidth="true" hidden="false" outlineLevel="0" max="51" min="51" style="63" width="15.15"/>
    <col collapsed="false" customWidth="true" hidden="false" outlineLevel="0" max="52" min="52" style="63" width="11.65"/>
    <col collapsed="false" customWidth="true" hidden="false" outlineLevel="0" max="53" min="53" style="63" width="16.82"/>
    <col collapsed="false" customWidth="true" hidden="false" outlineLevel="0" max="54" min="54" style="63" width="11.65"/>
    <col collapsed="false" customWidth="true" hidden="false" outlineLevel="0" max="55" min="55" style="63" width="16.82"/>
    <col collapsed="false" customWidth="true" hidden="false" outlineLevel="0" max="56" min="56" style="13" width="13.82"/>
    <col collapsed="false" customWidth="true" hidden="false" outlineLevel="0" max="57" min="57" style="63" width="10.15"/>
    <col collapsed="false" customWidth="true" hidden="false" outlineLevel="0" max="59" min="58" style="63" width="11.65"/>
    <col collapsed="false" customWidth="true" hidden="false" outlineLevel="0" max="60" min="60" style="63" width="16.82"/>
    <col collapsed="false" customWidth="true" hidden="false" outlineLevel="0" max="61" min="61" style="213" width="3.65"/>
    <col collapsed="false" customWidth="true" hidden="false" outlineLevel="0" max="62" min="62" style="63" width="15.15"/>
    <col collapsed="false" customWidth="true" hidden="false" outlineLevel="0" max="63" min="63" style="63" width="11.65"/>
    <col collapsed="false" customWidth="true" hidden="false" outlineLevel="0" max="64" min="64" style="63" width="16.82"/>
    <col collapsed="false" customWidth="true" hidden="false" outlineLevel="0" max="65" min="65" style="63" width="11.65"/>
    <col collapsed="false" customWidth="true" hidden="false" outlineLevel="0" max="66" min="66" style="63" width="16.82"/>
    <col collapsed="false" customWidth="true" hidden="false" outlineLevel="0" max="67" min="67" style="13" width="13.82"/>
    <col collapsed="false" customWidth="true" hidden="false" outlineLevel="0" max="68" min="68" style="63" width="10.15"/>
    <col collapsed="false" customWidth="true" hidden="false" outlineLevel="0" max="70" min="69" style="63" width="11.65"/>
    <col collapsed="false" customWidth="true" hidden="false" outlineLevel="0" max="71" min="71" style="63" width="16.82"/>
    <col collapsed="false" customWidth="true" hidden="false" outlineLevel="0" max="72" min="72" style="213" width="3.65"/>
    <col collapsed="false" customWidth="true" hidden="false" outlineLevel="0" max="73" min="73" style="63" width="15.15"/>
    <col collapsed="false" customWidth="true" hidden="false" outlineLevel="0" max="74" min="74" style="63" width="11.65"/>
    <col collapsed="false" customWidth="true" hidden="false" outlineLevel="0" max="75" min="75" style="63" width="16.82"/>
    <col collapsed="false" customWidth="true" hidden="false" outlineLevel="0" max="76" min="76" style="63" width="11.65"/>
    <col collapsed="false" customWidth="true" hidden="false" outlineLevel="0" max="77" min="77" style="63" width="16.82"/>
    <col collapsed="false" customWidth="true" hidden="false" outlineLevel="0" max="78" min="78" style="13" width="13.82"/>
    <col collapsed="false" customWidth="true" hidden="false" outlineLevel="0" max="79" min="79" style="63" width="10.15"/>
    <col collapsed="false" customWidth="true" hidden="false" outlineLevel="0" max="81" min="80" style="63" width="11.65"/>
    <col collapsed="false" customWidth="true" hidden="false" outlineLevel="0" max="82" min="82" style="63" width="16.82"/>
    <col collapsed="false" customWidth="true" hidden="false" outlineLevel="0" max="155" min="83" style="63" width="9.32"/>
  </cols>
  <sheetData>
    <row r="1" customFormat="false" ht="12.75" hidden="false" customHeight="false" outlineLevel="0" collapsed="false">
      <c r="D1" s="14" t="s">
        <v>275</v>
      </c>
      <c r="E1" s="14"/>
      <c r="F1" s="15"/>
      <c r="G1" s="14" t="s">
        <v>275</v>
      </c>
      <c r="H1" s="14"/>
      <c r="I1" s="14"/>
      <c r="J1" s="14"/>
      <c r="K1" s="15"/>
      <c r="L1" s="14" t="s">
        <v>275</v>
      </c>
      <c r="M1" s="14"/>
      <c r="N1" s="14"/>
      <c r="O1" s="14"/>
      <c r="P1" s="14" t="str">
        <f aca="false">L1</f>
        <v>Allocation of RSP Surcharge</v>
      </c>
      <c r="Q1" s="14"/>
      <c r="S1" s="14" t="str">
        <f aca="false">P1</f>
        <v>Allocation of RSP Surcharge</v>
      </c>
      <c r="T1" s="14"/>
      <c r="U1" s="14"/>
      <c r="V1" s="14"/>
      <c r="W1" s="14"/>
      <c r="X1" s="14"/>
      <c r="Y1" s="14"/>
      <c r="Z1" s="14"/>
      <c r="AA1" s="14"/>
      <c r="AC1" s="14" t="s">
        <v>276</v>
      </c>
      <c r="AD1" s="14"/>
      <c r="AE1" s="14"/>
      <c r="AF1" s="14"/>
      <c r="AG1" s="14"/>
      <c r="AH1" s="14"/>
      <c r="AI1" s="14"/>
      <c r="AJ1" s="14"/>
      <c r="AK1" s="14"/>
      <c r="AL1" s="14"/>
      <c r="AN1" s="14" t="s">
        <v>276</v>
      </c>
      <c r="AO1" s="14"/>
      <c r="AP1" s="14"/>
      <c r="AQ1" s="14"/>
      <c r="AR1" s="14"/>
      <c r="AS1" s="14"/>
      <c r="AT1" s="14"/>
      <c r="AU1" s="14"/>
      <c r="AV1" s="14"/>
      <c r="AW1" s="14"/>
      <c r="AY1" s="14" t="s">
        <v>276</v>
      </c>
      <c r="AZ1" s="14"/>
      <c r="BA1" s="14"/>
      <c r="BB1" s="14"/>
      <c r="BC1" s="14"/>
      <c r="BD1" s="14"/>
      <c r="BE1" s="14"/>
      <c r="BF1" s="14"/>
      <c r="BG1" s="14"/>
      <c r="BH1" s="14"/>
      <c r="BJ1" s="14" t="s">
        <v>276</v>
      </c>
      <c r="BK1" s="14"/>
      <c r="BL1" s="14"/>
      <c r="BM1" s="14"/>
      <c r="BN1" s="14"/>
      <c r="BO1" s="14"/>
      <c r="BP1" s="14"/>
      <c r="BQ1" s="14"/>
      <c r="BR1" s="14"/>
      <c r="BS1" s="14"/>
      <c r="BT1" s="214"/>
      <c r="BU1" s="14" t="s">
        <v>276</v>
      </c>
      <c r="BV1" s="14"/>
      <c r="BW1" s="14"/>
      <c r="BX1" s="14"/>
      <c r="BY1" s="14"/>
      <c r="BZ1" s="14"/>
      <c r="CA1" s="14"/>
      <c r="CB1" s="14"/>
      <c r="CC1" s="14"/>
      <c r="CD1" s="14"/>
    </row>
    <row r="2" customFormat="false" ht="12.75" hidden="false" customHeight="false" outlineLevel="0" collapsed="false">
      <c r="A2" s="63"/>
      <c r="B2" s="63"/>
      <c r="C2" s="63"/>
      <c r="D2" s="14" t="s">
        <v>421</v>
      </c>
      <c r="E2" s="14"/>
      <c r="F2" s="15"/>
      <c r="G2" s="14" t="s">
        <v>422</v>
      </c>
      <c r="H2" s="14"/>
      <c r="I2" s="14"/>
      <c r="J2" s="14"/>
      <c r="K2" s="15"/>
      <c r="L2" s="14" t="s">
        <v>423</v>
      </c>
      <c r="M2" s="14"/>
      <c r="N2" s="14"/>
      <c r="O2" s="14"/>
      <c r="P2" s="14" t="s">
        <v>424</v>
      </c>
      <c r="Q2" s="14"/>
      <c r="R2" s="215"/>
      <c r="S2" s="216" t="s">
        <v>425</v>
      </c>
      <c r="T2" s="216"/>
      <c r="U2" s="216"/>
      <c r="V2" s="216"/>
      <c r="W2" s="216"/>
      <c r="X2" s="216"/>
      <c r="Y2" s="216"/>
      <c r="Z2" s="216"/>
      <c r="AA2" s="216"/>
      <c r="AB2" s="217"/>
      <c r="AC2" s="14" t="s">
        <v>421</v>
      </c>
      <c r="AD2" s="14"/>
      <c r="AE2" s="14"/>
      <c r="AF2" s="14"/>
      <c r="AG2" s="14"/>
      <c r="AH2" s="14"/>
      <c r="AI2" s="14"/>
      <c r="AJ2" s="14"/>
      <c r="AK2" s="14"/>
      <c r="AL2" s="14"/>
      <c r="AM2" s="215"/>
      <c r="AN2" s="14" t="str">
        <f aca="false">G2</f>
        <v>1999 PX Weighted Loads</v>
      </c>
      <c r="AO2" s="14"/>
      <c r="AP2" s="14"/>
      <c r="AQ2" s="14"/>
      <c r="AR2" s="14"/>
      <c r="AS2" s="14"/>
      <c r="AT2" s="14"/>
      <c r="AU2" s="14"/>
      <c r="AV2" s="14"/>
      <c r="AW2" s="14"/>
      <c r="AX2" s="215"/>
      <c r="AY2" s="14" t="str">
        <f aca="false">$L$2</f>
        <v>2000 PX Weighted Loads</v>
      </c>
      <c r="AZ2" s="14"/>
      <c r="BA2" s="14"/>
      <c r="BB2" s="14"/>
      <c r="BC2" s="14"/>
      <c r="BD2" s="14"/>
      <c r="BE2" s="14"/>
      <c r="BF2" s="14"/>
      <c r="BG2" s="14"/>
      <c r="BH2" s="14"/>
      <c r="BI2" s="215"/>
      <c r="BJ2" s="14" t="s">
        <v>426</v>
      </c>
      <c r="BK2" s="14"/>
      <c r="BL2" s="14"/>
      <c r="BM2" s="14"/>
      <c r="BN2" s="14"/>
      <c r="BO2" s="14"/>
      <c r="BP2" s="14"/>
      <c r="BQ2" s="14"/>
      <c r="BR2" s="14"/>
      <c r="BS2" s="14"/>
      <c r="BT2" s="214"/>
      <c r="BU2" s="14" t="s">
        <v>281</v>
      </c>
      <c r="BV2" s="14"/>
      <c r="BW2" s="14"/>
      <c r="BX2" s="14"/>
      <c r="BY2" s="14"/>
      <c r="BZ2" s="14"/>
      <c r="CA2" s="14"/>
      <c r="CB2" s="14"/>
      <c r="CC2" s="14"/>
      <c r="CD2" s="14"/>
    </row>
    <row r="3" customFormat="false" ht="12.75" hidden="false" customHeight="false" outlineLevel="0" collapsed="false">
      <c r="A3" s="79"/>
      <c r="B3" s="79" t="s">
        <v>277</v>
      </c>
      <c r="C3" s="79"/>
      <c r="D3" s="139" t="s">
        <v>427</v>
      </c>
      <c r="E3" s="77"/>
      <c r="F3" s="215"/>
      <c r="G3" s="13"/>
      <c r="H3" s="218" t="n">
        <v>1999</v>
      </c>
      <c r="I3" s="88"/>
      <c r="J3" s="219" t="n">
        <v>1999</v>
      </c>
      <c r="K3" s="215"/>
      <c r="L3" s="218" t="n">
        <v>2000</v>
      </c>
      <c r="M3" s="88"/>
      <c r="N3" s="219" t="n">
        <v>2000</v>
      </c>
      <c r="O3" s="215"/>
      <c r="P3" s="18" t="s">
        <v>428</v>
      </c>
      <c r="Q3" s="18" t="s">
        <v>428</v>
      </c>
      <c r="R3" s="215"/>
      <c r="S3" s="211" t="s">
        <v>429</v>
      </c>
      <c r="T3" s="220" t="n">
        <v>1998</v>
      </c>
      <c r="U3" s="221" t="s">
        <v>430</v>
      </c>
      <c r="W3" s="220" t="n">
        <v>1999</v>
      </c>
      <c r="X3" s="221" t="s">
        <v>431</v>
      </c>
      <c r="AB3" s="217"/>
      <c r="AM3" s="215"/>
      <c r="AN3" s="0"/>
      <c r="AO3" s="0"/>
      <c r="AP3" s="0"/>
      <c r="AQ3" s="0"/>
      <c r="AR3" s="0"/>
      <c r="AS3" s="50"/>
      <c r="AT3" s="77"/>
      <c r="AU3" s="0"/>
      <c r="AV3" s="0"/>
      <c r="AW3" s="0"/>
      <c r="AX3" s="215"/>
      <c r="AY3" s="0"/>
      <c r="AZ3" s="0"/>
      <c r="BA3" s="0"/>
      <c r="BB3" s="0"/>
      <c r="BC3" s="0"/>
      <c r="BD3" s="50"/>
      <c r="BE3" s="77"/>
      <c r="BF3" s="0"/>
      <c r="BG3" s="0"/>
      <c r="BH3" s="0"/>
      <c r="BI3" s="215"/>
      <c r="BJ3" s="0"/>
      <c r="BK3" s="0"/>
      <c r="BL3" s="0"/>
      <c r="BM3" s="0"/>
      <c r="BN3" s="0"/>
      <c r="BO3" s="50"/>
      <c r="BP3" s="77"/>
      <c r="BQ3" s="0"/>
      <c r="BR3" s="0"/>
      <c r="BS3" s="0"/>
      <c r="BT3" s="215"/>
      <c r="BU3" s="0"/>
      <c r="BV3" s="0"/>
      <c r="BW3" s="0"/>
      <c r="BX3" s="0"/>
      <c r="BY3" s="0"/>
      <c r="BZ3" s="50"/>
      <c r="CA3" s="77"/>
      <c r="CB3" s="0"/>
      <c r="CC3" s="0"/>
      <c r="CD3" s="0"/>
    </row>
    <row r="4" customFormat="false" ht="12.75" hidden="false" customHeight="false" outlineLevel="0" collapsed="false">
      <c r="A4" s="81"/>
      <c r="B4" s="79" t="s">
        <v>282</v>
      </c>
      <c r="C4" s="79" t="s">
        <v>432</v>
      </c>
      <c r="D4" s="139" t="s">
        <v>405</v>
      </c>
      <c r="E4" s="222" t="s">
        <v>433</v>
      </c>
      <c r="F4" s="215"/>
      <c r="G4" s="13" t="s">
        <v>434</v>
      </c>
      <c r="H4" s="223" t="s">
        <v>434</v>
      </c>
      <c r="I4" s="88" t="s">
        <v>434</v>
      </c>
      <c r="J4" s="77" t="s">
        <v>434</v>
      </c>
      <c r="K4" s="215"/>
      <c r="L4" s="129" t="s">
        <v>434</v>
      </c>
      <c r="M4" s="88" t="s">
        <v>434</v>
      </c>
      <c r="N4" s="77" t="s">
        <v>434</v>
      </c>
      <c r="O4" s="215"/>
      <c r="P4" s="18" t="s">
        <v>435</v>
      </c>
      <c r="Q4" s="18" t="s">
        <v>436</v>
      </c>
      <c r="R4" s="215"/>
      <c r="S4" s="224" t="s">
        <v>437</v>
      </c>
      <c r="T4" s="225" t="s">
        <v>438</v>
      </c>
      <c r="U4" s="225" t="s">
        <v>438</v>
      </c>
      <c r="V4" s="0" t="n">
        <v>1998</v>
      </c>
      <c r="W4" s="225" t="s">
        <v>438</v>
      </c>
      <c r="X4" s="225" t="s">
        <v>438</v>
      </c>
      <c r="Y4" s="0" t="n">
        <v>1999</v>
      </c>
      <c r="Z4" s="18" t="s">
        <v>439</v>
      </c>
      <c r="AA4" s="223" t="s">
        <v>440</v>
      </c>
      <c r="AB4" s="217"/>
      <c r="AC4" s="0" t="s">
        <v>246</v>
      </c>
      <c r="AD4" s="226" t="s">
        <v>173</v>
      </c>
      <c r="AE4" s="0" t="s">
        <v>441</v>
      </c>
      <c r="AF4" s="0" t="s">
        <v>442</v>
      </c>
      <c r="AG4" s="0" t="s">
        <v>443</v>
      </c>
      <c r="AH4" s="50" t="s">
        <v>441</v>
      </c>
      <c r="AI4" s="77" t="s">
        <v>444</v>
      </c>
      <c r="AJ4" s="77" t="s">
        <v>173</v>
      </c>
      <c r="AK4" s="77" t="s">
        <v>246</v>
      </c>
      <c r="AL4" s="77" t="s">
        <v>380</v>
      </c>
      <c r="AM4" s="215"/>
      <c r="AN4" s="0" t="s">
        <v>246</v>
      </c>
      <c r="AO4" s="226" t="s">
        <v>173</v>
      </c>
      <c r="AP4" s="0" t="s">
        <v>441</v>
      </c>
      <c r="AQ4" s="0" t="s">
        <v>442</v>
      </c>
      <c r="AR4" s="0" t="s">
        <v>443</v>
      </c>
      <c r="AS4" s="50" t="s">
        <v>441</v>
      </c>
      <c r="AT4" s="77" t="s">
        <v>444</v>
      </c>
      <c r="AU4" s="77" t="s">
        <v>173</v>
      </c>
      <c r="AV4" s="77" t="s">
        <v>246</v>
      </c>
      <c r="AW4" s="77" t="s">
        <v>380</v>
      </c>
      <c r="AX4" s="215"/>
      <c r="AY4" s="0" t="s">
        <v>246</v>
      </c>
      <c r="AZ4" s="226" t="s">
        <v>173</v>
      </c>
      <c r="BA4" s="0" t="s">
        <v>441</v>
      </c>
      <c r="BB4" s="0" t="s">
        <v>442</v>
      </c>
      <c r="BC4" s="0" t="s">
        <v>443</v>
      </c>
      <c r="BD4" s="50" t="s">
        <v>441</v>
      </c>
      <c r="BE4" s="77" t="s">
        <v>444</v>
      </c>
      <c r="BF4" s="77" t="s">
        <v>173</v>
      </c>
      <c r="BG4" s="77" t="s">
        <v>246</v>
      </c>
      <c r="BH4" s="77" t="s">
        <v>380</v>
      </c>
      <c r="BI4" s="215"/>
      <c r="BJ4" s="0" t="s">
        <v>246</v>
      </c>
      <c r="BK4" s="226" t="s">
        <v>173</v>
      </c>
      <c r="BL4" s="0" t="s">
        <v>441</v>
      </c>
      <c r="BM4" s="0" t="s">
        <v>442</v>
      </c>
      <c r="BN4" s="0" t="s">
        <v>443</v>
      </c>
      <c r="BO4" s="50" t="s">
        <v>441</v>
      </c>
      <c r="BP4" s="77" t="s">
        <v>444</v>
      </c>
      <c r="BQ4" s="77" t="s">
        <v>173</v>
      </c>
      <c r="BR4" s="77" t="s">
        <v>246</v>
      </c>
      <c r="BS4" s="77" t="s">
        <v>380</v>
      </c>
      <c r="BT4" s="215"/>
      <c r="BU4" s="0" t="s">
        <v>246</v>
      </c>
      <c r="BV4" s="226" t="s">
        <v>173</v>
      </c>
      <c r="BW4" s="0" t="s">
        <v>441</v>
      </c>
      <c r="BX4" s="0" t="s">
        <v>442</v>
      </c>
      <c r="BY4" s="0" t="s">
        <v>443</v>
      </c>
      <c r="BZ4" s="50" t="s">
        <v>441</v>
      </c>
      <c r="CA4" s="77" t="s">
        <v>444</v>
      </c>
      <c r="CB4" s="77" t="s">
        <v>173</v>
      </c>
      <c r="CC4" s="77" t="s">
        <v>246</v>
      </c>
      <c r="CD4" s="77" t="s">
        <v>380</v>
      </c>
    </row>
    <row r="5" customFormat="false" ht="15.75" hidden="false" customHeight="false" outlineLevel="0" collapsed="false">
      <c r="A5" s="82" t="s">
        <v>287</v>
      </c>
      <c r="B5" s="82" t="s">
        <v>288</v>
      </c>
      <c r="C5" s="82" t="s">
        <v>445</v>
      </c>
      <c r="D5" s="149" t="s">
        <v>416</v>
      </c>
      <c r="E5" s="227" t="s">
        <v>446</v>
      </c>
      <c r="F5" s="228"/>
      <c r="G5" s="229" t="s">
        <v>447</v>
      </c>
      <c r="H5" s="230" t="s">
        <v>447</v>
      </c>
      <c r="I5" s="91" t="s">
        <v>448</v>
      </c>
      <c r="J5" s="231" t="s">
        <v>449</v>
      </c>
      <c r="K5" s="228"/>
      <c r="L5" s="232" t="s">
        <v>450</v>
      </c>
      <c r="M5" s="91" t="s">
        <v>448</v>
      </c>
      <c r="N5" s="231" t="s">
        <v>449</v>
      </c>
      <c r="O5" s="228"/>
      <c r="P5" s="233" t="s">
        <v>420</v>
      </c>
      <c r="Q5" s="233" t="s">
        <v>449</v>
      </c>
      <c r="R5" s="228"/>
      <c r="S5" s="234" t="s">
        <v>451</v>
      </c>
      <c r="T5" s="235" t="s">
        <v>452</v>
      </c>
      <c r="U5" s="236" t="s">
        <v>453</v>
      </c>
      <c r="V5" s="0" t="s">
        <v>454</v>
      </c>
      <c r="W5" s="235" t="s">
        <v>452</v>
      </c>
      <c r="X5" s="236" t="s">
        <v>453</v>
      </c>
      <c r="Y5" s="0" t="s">
        <v>454</v>
      </c>
      <c r="Z5" s="233" t="str">
        <f aca="false">Y5</f>
        <v>Alloc Factor</v>
      </c>
      <c r="AA5" s="230" t="s">
        <v>449</v>
      </c>
      <c r="AB5" s="237"/>
      <c r="AC5" s="0" t="s">
        <v>289</v>
      </c>
      <c r="AD5" s="226" t="s">
        <v>455</v>
      </c>
      <c r="AE5" s="0" t="s">
        <v>289</v>
      </c>
      <c r="AF5" s="0" t="s">
        <v>289</v>
      </c>
      <c r="AG5" s="0" t="s">
        <v>456</v>
      </c>
      <c r="AH5" s="238" t="s">
        <v>388</v>
      </c>
      <c r="AI5" s="231"/>
      <c r="AJ5" s="231" t="s">
        <v>457</v>
      </c>
      <c r="AK5" s="231" t="s">
        <v>458</v>
      </c>
      <c r="AL5" s="231" t="s">
        <v>444</v>
      </c>
      <c r="AM5" s="228"/>
      <c r="AN5" s="0" t="s">
        <v>289</v>
      </c>
      <c r="AO5" s="226" t="s">
        <v>455</v>
      </c>
      <c r="AP5" s="0" t="s">
        <v>289</v>
      </c>
      <c r="AQ5" s="0" t="s">
        <v>289</v>
      </c>
      <c r="AR5" s="0" t="s">
        <v>456</v>
      </c>
      <c r="AS5" s="238" t="s">
        <v>388</v>
      </c>
      <c r="AT5" s="231"/>
      <c r="AU5" s="231" t="s">
        <v>457</v>
      </c>
      <c r="AV5" s="231" t="s">
        <v>458</v>
      </c>
      <c r="AW5" s="231" t="s">
        <v>444</v>
      </c>
      <c r="AX5" s="228"/>
      <c r="AY5" s="0" t="s">
        <v>289</v>
      </c>
      <c r="AZ5" s="226" t="s">
        <v>455</v>
      </c>
      <c r="BA5" s="0" t="s">
        <v>289</v>
      </c>
      <c r="BB5" s="0" t="s">
        <v>289</v>
      </c>
      <c r="BC5" s="0" t="s">
        <v>456</v>
      </c>
      <c r="BD5" s="238" t="s">
        <v>388</v>
      </c>
      <c r="BE5" s="231"/>
      <c r="BF5" s="231" t="s">
        <v>457</v>
      </c>
      <c r="BG5" s="231" t="s">
        <v>458</v>
      </c>
      <c r="BH5" s="231" t="s">
        <v>444</v>
      </c>
      <c r="BI5" s="228"/>
      <c r="BJ5" s="0" t="s">
        <v>289</v>
      </c>
      <c r="BK5" s="226" t="s">
        <v>455</v>
      </c>
      <c r="BL5" s="0" t="s">
        <v>289</v>
      </c>
      <c r="BM5" s="0" t="s">
        <v>289</v>
      </c>
      <c r="BN5" s="0" t="s">
        <v>456</v>
      </c>
      <c r="BO5" s="238" t="s">
        <v>388</v>
      </c>
      <c r="BP5" s="231"/>
      <c r="BQ5" s="231" t="s">
        <v>457</v>
      </c>
      <c r="BR5" s="231" t="s">
        <v>458</v>
      </c>
      <c r="BS5" s="231" t="s">
        <v>444</v>
      </c>
      <c r="BT5" s="228"/>
      <c r="BU5" s="0" t="s">
        <v>289</v>
      </c>
      <c r="BV5" s="226" t="s">
        <v>455</v>
      </c>
      <c r="BW5" s="0" t="s">
        <v>289</v>
      </c>
      <c r="BX5" s="0" t="s">
        <v>289</v>
      </c>
      <c r="BY5" s="0" t="s">
        <v>456</v>
      </c>
      <c r="BZ5" s="238" t="s">
        <v>388</v>
      </c>
      <c r="CA5" s="231"/>
      <c r="CB5" s="231" t="s">
        <v>457</v>
      </c>
      <c r="CC5" s="231" t="s">
        <v>458</v>
      </c>
      <c r="CD5" s="231" t="s">
        <v>444</v>
      </c>
    </row>
    <row r="6" customFormat="false" ht="12.75" hidden="false" customHeight="false" outlineLevel="0" collapsed="false">
      <c r="A6" s="84"/>
      <c r="B6" s="82" t="s">
        <v>236</v>
      </c>
      <c r="C6" s="82"/>
      <c r="D6" s="139"/>
      <c r="E6" s="77"/>
      <c r="F6" s="215"/>
      <c r="G6" s="13"/>
      <c r="H6" s="13"/>
      <c r="I6" s="88"/>
      <c r="J6" s="77"/>
      <c r="K6" s="215"/>
      <c r="L6" s="129"/>
      <c r="M6" s="88"/>
      <c r="N6" s="77"/>
      <c r="O6" s="215"/>
      <c r="P6" s="13"/>
      <c r="Q6" s="13"/>
      <c r="R6" s="215"/>
      <c r="S6" s="239"/>
      <c r="T6" s="240"/>
      <c r="U6" s="241"/>
      <c r="W6" s="240"/>
      <c r="X6" s="241"/>
      <c r="Y6" s="13"/>
      <c r="Z6" s="13"/>
      <c r="AA6" s="129"/>
      <c r="AB6" s="217"/>
      <c r="AD6" s="226"/>
      <c r="AJ6" s="77"/>
      <c r="AK6" s="77"/>
      <c r="AL6" s="77"/>
      <c r="AM6" s="215"/>
      <c r="AN6" s="0"/>
      <c r="AO6" s="226"/>
      <c r="AP6" s="0"/>
      <c r="AQ6" s="0"/>
      <c r="AR6" s="0"/>
      <c r="AS6" s="50"/>
      <c r="AT6" s="77"/>
      <c r="AU6" s="77"/>
      <c r="AV6" s="77"/>
      <c r="AW6" s="77"/>
      <c r="AX6" s="215"/>
      <c r="AY6" s="0"/>
      <c r="AZ6" s="226"/>
      <c r="BA6" s="0"/>
      <c r="BB6" s="0"/>
      <c r="BC6" s="0"/>
      <c r="BD6" s="50"/>
      <c r="BE6" s="77"/>
      <c r="BF6" s="77"/>
      <c r="BG6" s="77"/>
      <c r="BH6" s="77"/>
      <c r="BI6" s="215"/>
      <c r="BJ6" s="0"/>
      <c r="BK6" s="226"/>
      <c r="BL6" s="0"/>
      <c r="BM6" s="0"/>
      <c r="BN6" s="0"/>
      <c r="BO6" s="50"/>
      <c r="BP6" s="77"/>
      <c r="BQ6" s="77"/>
      <c r="BR6" s="77"/>
      <c r="BS6" s="77"/>
      <c r="BT6" s="215"/>
      <c r="BU6" s="0"/>
      <c r="BV6" s="226"/>
      <c r="BW6" s="0"/>
      <c r="BX6" s="0"/>
      <c r="BY6" s="0"/>
      <c r="BZ6" s="50"/>
      <c r="CA6" s="77"/>
      <c r="CB6" s="77"/>
      <c r="CC6" s="77"/>
      <c r="CD6" s="77"/>
    </row>
    <row r="7" customFormat="false" ht="12.75" hidden="false" customHeight="false" outlineLevel="0" collapsed="false">
      <c r="A7" s="85" t="s">
        <v>293</v>
      </c>
      <c r="B7" s="84"/>
      <c r="C7" s="84"/>
      <c r="D7" s="139"/>
      <c r="E7" s="77"/>
      <c r="F7" s="215"/>
      <c r="G7" s="13"/>
      <c r="H7" s="13"/>
      <c r="I7" s="88"/>
      <c r="J7" s="77"/>
      <c r="K7" s="215"/>
      <c r="L7" s="129"/>
      <c r="M7" s="88"/>
      <c r="N7" s="77"/>
      <c r="O7" s="215"/>
      <c r="P7" s="13"/>
      <c r="Q7" s="13"/>
      <c r="R7" s="215"/>
      <c r="S7" s="239"/>
      <c r="T7" s="240"/>
      <c r="U7" s="241"/>
      <c r="W7" s="240"/>
      <c r="X7" s="241"/>
      <c r="Y7" s="13"/>
      <c r="Z7" s="13"/>
      <c r="AA7" s="129"/>
      <c r="AB7" s="217"/>
      <c r="AD7" s="226"/>
      <c r="AJ7" s="77"/>
      <c r="AK7" s="77"/>
      <c r="AL7" s="77"/>
      <c r="AM7" s="215"/>
      <c r="AN7" s="0"/>
      <c r="AO7" s="226"/>
      <c r="AP7" s="0"/>
      <c r="AQ7" s="0"/>
      <c r="AR7" s="0"/>
      <c r="AS7" s="50"/>
      <c r="AT7" s="77"/>
      <c r="AU7" s="77"/>
      <c r="AV7" s="77"/>
      <c r="AW7" s="77"/>
      <c r="AX7" s="215"/>
      <c r="AY7" s="0"/>
      <c r="AZ7" s="226"/>
      <c r="BA7" s="0"/>
      <c r="BB7" s="0"/>
      <c r="BC7" s="0"/>
      <c r="BD7" s="50"/>
      <c r="BE7" s="77"/>
      <c r="BF7" s="77"/>
      <c r="BG7" s="77"/>
      <c r="BH7" s="77"/>
      <c r="BI7" s="215"/>
      <c r="BJ7" s="0"/>
      <c r="BK7" s="226"/>
      <c r="BL7" s="0"/>
      <c r="BM7" s="0"/>
      <c r="BN7" s="0"/>
      <c r="BO7" s="50"/>
      <c r="BP7" s="77"/>
      <c r="BQ7" s="77"/>
      <c r="BR7" s="77"/>
      <c r="BS7" s="77"/>
      <c r="BT7" s="215"/>
      <c r="BU7" s="0"/>
      <c r="BV7" s="226"/>
      <c r="BW7" s="0"/>
      <c r="BX7" s="0"/>
      <c r="BY7" s="0"/>
      <c r="BZ7" s="50"/>
      <c r="CA7" s="77"/>
      <c r="CB7" s="77"/>
      <c r="CC7" s="77"/>
      <c r="CD7" s="77"/>
    </row>
    <row r="8" customFormat="false" ht="12.75" hidden="false" customHeight="false" outlineLevel="0" collapsed="false">
      <c r="A8" s="63"/>
      <c r="B8" s="79"/>
      <c r="C8" s="79"/>
      <c r="D8" s="159"/>
      <c r="E8" s="77"/>
      <c r="F8" s="215"/>
      <c r="G8" s="242"/>
      <c r="H8" s="242"/>
      <c r="I8" s="88"/>
      <c r="J8" s="77"/>
      <c r="K8" s="215"/>
      <c r="L8" s="129"/>
      <c r="M8" s="88"/>
      <c r="N8" s="77"/>
      <c r="O8" s="215"/>
      <c r="P8" s="13"/>
      <c r="Q8" s="13"/>
      <c r="R8" s="215"/>
      <c r="S8" s="239"/>
      <c r="T8" s="240"/>
      <c r="U8" s="241"/>
      <c r="W8" s="240"/>
      <c r="X8" s="241"/>
      <c r="Y8" s="13"/>
      <c r="Z8" s="13"/>
      <c r="AA8" s="129"/>
      <c r="AB8" s="217"/>
      <c r="AD8" s="226"/>
      <c r="AH8" s="77"/>
      <c r="AJ8" s="77"/>
      <c r="AK8" s="77"/>
      <c r="AL8" s="77"/>
      <c r="AM8" s="215"/>
      <c r="AN8" s="0"/>
      <c r="AO8" s="226"/>
      <c r="AP8" s="0"/>
      <c r="AQ8" s="0"/>
      <c r="AR8" s="0"/>
      <c r="AS8" s="77"/>
      <c r="AT8" s="77"/>
      <c r="AU8" s="77"/>
      <c r="AV8" s="77"/>
      <c r="AW8" s="77"/>
      <c r="AX8" s="215"/>
      <c r="AY8" s="0"/>
      <c r="AZ8" s="226"/>
      <c r="BA8" s="0"/>
      <c r="BB8" s="0"/>
      <c r="BC8" s="0"/>
      <c r="BD8" s="77"/>
      <c r="BE8" s="77"/>
      <c r="BF8" s="77"/>
      <c r="BG8" s="77"/>
      <c r="BH8" s="77"/>
      <c r="BI8" s="215"/>
      <c r="BJ8" s="0"/>
      <c r="BK8" s="226"/>
      <c r="BL8" s="0"/>
      <c r="BM8" s="0"/>
      <c r="BN8" s="0"/>
      <c r="BO8" s="77"/>
      <c r="BP8" s="77"/>
      <c r="BQ8" s="77"/>
      <c r="BR8" s="77"/>
      <c r="BS8" s="77"/>
      <c r="BT8" s="215"/>
      <c r="BU8" s="0"/>
      <c r="BV8" s="226"/>
      <c r="BW8" s="0"/>
      <c r="BX8" s="0"/>
      <c r="BY8" s="0"/>
      <c r="BZ8" s="77"/>
      <c r="CA8" s="77"/>
      <c r="CB8" s="77"/>
      <c r="CC8" s="77"/>
      <c r="CD8" s="77"/>
    </row>
    <row r="9" customFormat="false" ht="12.75" hidden="false" customHeight="false" outlineLevel="0" collapsed="false">
      <c r="A9" s="86" t="s">
        <v>294</v>
      </c>
      <c r="B9" s="79" t="s">
        <v>231</v>
      </c>
      <c r="C9" s="79" t="n">
        <v>1</v>
      </c>
      <c r="D9" s="170" t="n">
        <f aca="false">'Test Year 2001 Sales and Revs.'!J7</f>
        <v>23367450385.9106</v>
      </c>
      <c r="E9" s="77" t="n">
        <f aca="false">surcharge_1*D9</f>
        <v>894244845.339067</v>
      </c>
      <c r="F9" s="215"/>
      <c r="G9" s="242" t="n">
        <f aca="false">0.04026</f>
        <v>0.04026</v>
      </c>
      <c r="H9" s="13" t="n">
        <f aca="false">G9*D9</f>
        <v>940773552.536759</v>
      </c>
      <c r="I9" s="88" t="n">
        <f aca="false">H9/$H$127</f>
        <v>0.299278705090588</v>
      </c>
      <c r="J9" s="77" t="n">
        <f aca="false">I9*$E$129</f>
        <v>736144548.244578</v>
      </c>
      <c r="K9" s="215"/>
      <c r="L9" s="243" t="n">
        <v>2211495504.52258</v>
      </c>
      <c r="M9" s="88" t="n">
        <f aca="false">L9/$L$127</f>
        <v>0.316749294617604</v>
      </c>
      <c r="N9" s="77" t="n">
        <f aca="false">M9*$E$129</f>
        <v>779117466.184191</v>
      </c>
      <c r="O9" s="215"/>
      <c r="P9" s="244" t="n">
        <f aca="false">S_Equal</f>
        <v>0.0385694346851059</v>
      </c>
      <c r="Q9" s="13" t="n">
        <f aca="false">P9*D9</f>
        <v>901269351.416829</v>
      </c>
      <c r="R9" s="215"/>
      <c r="S9" s="211" t="n">
        <f aca="false">$D9/($D$9+$D$12)</f>
        <v>0.912236503606967</v>
      </c>
      <c r="T9" s="245" t="n">
        <v>636662102.523959</v>
      </c>
      <c r="U9" s="212" t="n">
        <f aca="false">$S9*T9</f>
        <v>580786410.385517</v>
      </c>
      <c r="V9" s="88" t="n">
        <f aca="false">U9/$U$127</f>
        <v>0.359639593400526</v>
      </c>
      <c r="W9" s="245" t="n">
        <v>581430778.613188</v>
      </c>
      <c r="X9" s="212" t="n">
        <f aca="false">$S9*W9</f>
        <v>530402380.571571</v>
      </c>
      <c r="Y9" s="88" t="n">
        <f aca="false">X9/$X$127</f>
        <v>0.349906385460331</v>
      </c>
      <c r="Z9" s="88" t="n">
        <f aca="false">AVERAGE(V9,Y9)</f>
        <v>0.354772989430428</v>
      </c>
      <c r="AA9" s="129" t="n">
        <f aca="false">$Z9*'Inputs and Assumptions'!$C$6</f>
        <v>872645455.862254</v>
      </c>
      <c r="AB9" s="217"/>
      <c r="AC9" s="19" t="n">
        <f aca="false">CHOOSE(gen_choice,'Generation Calculations'!$O7,'Generation Calculations'!$P7)</f>
        <v>0.058439887877729</v>
      </c>
      <c r="AD9" s="246" t="n">
        <f aca="false">0.01</f>
        <v>0.01</v>
      </c>
      <c r="AE9" s="247" t="n">
        <f aca="false">AG9-SUM(AC9:AD9)+AF9</f>
        <v>0.0379433966041611</v>
      </c>
      <c r="AF9" s="226" t="n">
        <f aca="false">AK9/$D9</f>
        <v>0</v>
      </c>
      <c r="AG9" s="226" t="n">
        <f aca="false">AL9/$D9</f>
        <v>0.10638328448189</v>
      </c>
      <c r="AH9" s="77" t="n">
        <f aca="false">$D9*AE9-AI10</f>
        <v>781289685.831696</v>
      </c>
      <c r="AI9" s="248" t="n">
        <f aca="false">CHOOSE(gen_choice,'Generation Calculations'!$M7,'Generation Calculations'!$N7)</f>
        <v>1365591180.54101</v>
      </c>
      <c r="AJ9" s="77" t="n">
        <f aca="false">$D9*AD9</f>
        <v>233674503.859106</v>
      </c>
      <c r="AK9" s="77" t="n">
        <f aca="false">CHOOSE(gen_choice,'Generation Calculations'!K7,'Generation Calculations'!L7)</f>
        <v>0</v>
      </c>
      <c r="AL9" s="77" t="n">
        <f aca="false">$D9*gen_equal</f>
        <v>2485906122.02078</v>
      </c>
      <c r="AM9" s="215"/>
      <c r="AN9" s="19" t="n">
        <f aca="false">CHOOSE(gen_choice,'Generation Calculations'!$O7,'Generation Calculations'!$P7)</f>
        <v>0.058439887877729</v>
      </c>
      <c r="AO9" s="246" t="n">
        <f aca="false">0.01</f>
        <v>0.01</v>
      </c>
      <c r="AP9" s="247" t="n">
        <f aca="false">AR9-SUM(AN9:AO9)+AQ9</f>
        <v>0.0328119860652301</v>
      </c>
      <c r="AQ9" s="226" t="n">
        <f aca="false">AV9/$D9</f>
        <v>0</v>
      </c>
      <c r="AR9" s="226" t="n">
        <f aca="false">AW9/$D9</f>
        <v>0.101251873942959</v>
      </c>
      <c r="AS9" s="77" t="n">
        <f aca="false">CHOOSE(gen_choice,$D9*AP9-AT10,AW9+AV9+AV10-SUM(AT9:AU10))</f>
        <v>661381704.653487</v>
      </c>
      <c r="AT9" s="129" t="n">
        <f aca="false">$AI9</f>
        <v>1365591180.54101</v>
      </c>
      <c r="AU9" s="77" t="n">
        <f aca="false">$D9*AO9</f>
        <v>233674503.859106</v>
      </c>
      <c r="AV9" s="129" t="n">
        <f aca="false">$AK9</f>
        <v>0</v>
      </c>
      <c r="AW9" s="77" t="n">
        <f aca="false">$I9*'Inputs and Assumptions'!$C$15</f>
        <v>2365998140.84257</v>
      </c>
      <c r="AX9" s="215"/>
      <c r="AY9" s="19" t="n">
        <f aca="false">CHOOSE(gen_choice,'Generation Calculations'!$O7,'Generation Calculations'!$P7)</f>
        <v>0.058439887877729</v>
      </c>
      <c r="AZ9" s="246" t="n">
        <f aca="false">0.01</f>
        <v>0.01</v>
      </c>
      <c r="BA9" s="247" t="n">
        <f aca="false">BC9-SUM(AY9:AZ9)+BB9</f>
        <v>0.0387226302186896</v>
      </c>
      <c r="BB9" s="226" t="n">
        <f aca="false">BG9/$D9</f>
        <v>0</v>
      </c>
      <c r="BC9" s="226" t="n">
        <f aca="false">BH9/$D9</f>
        <v>0.107162518096419</v>
      </c>
      <c r="BD9" s="77" t="n">
        <f aca="false">CHOOSE(gen_choice,$D9*BA9-BE10,BH9+BG9+BG10-SUM(BE9:BF10))</f>
        <v>799498388.658224</v>
      </c>
      <c r="BE9" s="129" t="n">
        <f aca="false">$AI9</f>
        <v>1365591180.54101</v>
      </c>
      <c r="BF9" s="77" t="n">
        <f aca="false">$D9*AZ9</f>
        <v>233674503.859106</v>
      </c>
      <c r="BG9" s="129" t="n">
        <f aca="false">$AK9</f>
        <v>0</v>
      </c>
      <c r="BH9" s="77" t="n">
        <f aca="false">$M9*'Inputs and Assumptions'!$C$15</f>
        <v>2504114824.84731</v>
      </c>
      <c r="BI9" s="215"/>
      <c r="BJ9" s="19" t="n">
        <f aca="false">CHOOSE(gen_choice,'Generation Calculations'!$O7,'Generation Calculations'!$P7)</f>
        <v>0.058439887877729</v>
      </c>
      <c r="BK9" s="246" t="n">
        <f aca="false">0.01</f>
        <v>0.01</v>
      </c>
      <c r="BL9" s="247" t="n">
        <f aca="false">BN9-SUM(BJ9:BK9)+BM9</f>
        <v>0.0312160735678711</v>
      </c>
      <c r="BM9" s="226" t="n">
        <f aca="false">BR9/$D9</f>
        <v>0</v>
      </c>
      <c r="BN9" s="226" t="n">
        <f aca="false">BS9/$D9</f>
        <v>0.0996559614456001</v>
      </c>
      <c r="BO9" s="77" t="n">
        <f aca="false">CHOOSE(gen_choice,$D9*BL9-BP10,BS9+BR9+BR10-SUM(BP9:BQ10))</f>
        <v>624089298.551196</v>
      </c>
      <c r="BP9" s="129" t="n">
        <f aca="false">$AI9</f>
        <v>1365591180.54101</v>
      </c>
      <c r="BQ9" s="77" t="n">
        <f aca="false">$D9*BK9</f>
        <v>233674503.859106</v>
      </c>
      <c r="BR9" s="129" t="n">
        <f aca="false">$AK9</f>
        <v>0</v>
      </c>
      <c r="BS9" s="77" t="n">
        <f aca="false">D9*s_equal_gen</f>
        <v>2328705734.74028</v>
      </c>
      <c r="BT9" s="215"/>
      <c r="BU9" s="19" t="n">
        <f aca="false">CHOOSE(gen_choice,'Generation Calculations'!$O7,'Generation Calculations'!$P7)</f>
        <v>0.058439887877729</v>
      </c>
      <c r="BV9" s="246" t="n">
        <f aca="false">0.01</f>
        <v>0.01</v>
      </c>
      <c r="BW9" s="247" t="n">
        <f aca="false">BY9-SUM(BU9:BV9)+BX9</f>
        <v>0.0515867942522393</v>
      </c>
      <c r="BX9" s="226" t="n">
        <f aca="false">CC9/$D9</f>
        <v>0</v>
      </c>
      <c r="BY9" s="226" t="n">
        <f aca="false">CD9/$D9</f>
        <v>0.120026682129968</v>
      </c>
      <c r="BZ9" s="77" t="n">
        <f aca="false">CHOOSE(gen_choice,$D9*BW9-CA10,CD9+CC9+CC10-SUM(CA9:CB10))</f>
        <v>1100101103.46841</v>
      </c>
      <c r="CA9" s="129" t="n">
        <f aca="false">$AI9</f>
        <v>1365591180.54101</v>
      </c>
      <c r="CB9" s="77" t="n">
        <f aca="false">$D9*BV9</f>
        <v>233674503.859106</v>
      </c>
      <c r="CC9" s="129" t="n">
        <f aca="false">$AK9</f>
        <v>0</v>
      </c>
      <c r="CD9" s="77" t="n">
        <f aca="false">$Z9*'Inputs and Assumptions'!$C$15</f>
        <v>2804717539.65749</v>
      </c>
    </row>
    <row r="10" customFormat="false" ht="12.75" hidden="false" customHeight="false" outlineLevel="0" collapsed="false">
      <c r="A10" s="86" t="s">
        <v>295</v>
      </c>
      <c r="B10" s="79" t="s">
        <v>231</v>
      </c>
      <c r="C10" s="79" t="n">
        <v>1</v>
      </c>
      <c r="D10" s="170" t="n">
        <v>0</v>
      </c>
      <c r="E10" s="77" t="n">
        <f aca="false">surcharge_1*D10</f>
        <v>0</v>
      </c>
      <c r="F10" s="215"/>
      <c r="G10" s="242"/>
      <c r="H10" s="13" t="n">
        <f aca="false">G10*D10</f>
        <v>0</v>
      </c>
      <c r="I10" s="88" t="n">
        <f aca="false">H10/$H$127</f>
        <v>0</v>
      </c>
      <c r="J10" s="77" t="n">
        <f aca="false">I10*$E$129</f>
        <v>0</v>
      </c>
      <c r="K10" s="215"/>
      <c r="L10" s="243" t="n">
        <v>0</v>
      </c>
      <c r="M10" s="88" t="n">
        <f aca="false">L10/$L$127</f>
        <v>0</v>
      </c>
      <c r="N10" s="77" t="n">
        <f aca="false">M10*$E$129</f>
        <v>0</v>
      </c>
      <c r="O10" s="215"/>
      <c r="P10" s="244" t="n">
        <f aca="false">S_Equal</f>
        <v>0.0385694346851059</v>
      </c>
      <c r="Q10" s="13" t="n">
        <f aca="false">P10*D10</f>
        <v>0</v>
      </c>
      <c r="R10" s="215"/>
      <c r="T10" s="245"/>
      <c r="U10" s="212" t="n">
        <f aca="false">$S10*T10</f>
        <v>0</v>
      </c>
      <c r="V10" s="88" t="n">
        <f aca="false">U10/$U$127</f>
        <v>0</v>
      </c>
      <c r="W10" s="245"/>
      <c r="X10" s="212" t="n">
        <f aca="false">$S10*W10</f>
        <v>0</v>
      </c>
      <c r="Y10" s="88" t="n">
        <f aca="false">X10/$X$127</f>
        <v>0</v>
      </c>
      <c r="Z10" s="88" t="n">
        <f aca="false">AVERAGE(V10,Y10)</f>
        <v>0</v>
      </c>
      <c r="AA10" s="129" t="n">
        <f aca="false">$Z10*'Inputs and Assumptions'!$C$6</f>
        <v>0</v>
      </c>
      <c r="AB10" s="217"/>
      <c r="AC10" s="19" t="n">
        <f aca="false">CHOOSE(gen_choice,'Generation Calculations'!$O8,'Generation Calculations'!$P8)</f>
        <v>0.054801812240377</v>
      </c>
      <c r="AD10" s="246" t="n">
        <v>0</v>
      </c>
      <c r="AE10" s="226" t="n">
        <v>0</v>
      </c>
      <c r="AF10" s="226" t="n">
        <f aca="false">AB10</f>
        <v>0</v>
      </c>
      <c r="AG10" s="226" t="n">
        <f aca="false">AC10</f>
        <v>0.054801812240377</v>
      </c>
      <c r="AH10" s="77"/>
      <c r="AI10" s="248" t="n">
        <f aca="false">CHOOSE(gen_choice,'Generation Calculations'!$M8,'Generation Calculations'!$N8)</f>
        <v>105350751.788967</v>
      </c>
      <c r="AJ10" s="77" t="n">
        <f aca="false">$D10*AD10</f>
        <v>0</v>
      </c>
      <c r="AK10" s="77" t="n">
        <f aca="false">CHOOSE(gen_choice,'Generation Calculations'!K8,'Generation Calculations'!L8)</f>
        <v>0</v>
      </c>
      <c r="AL10" s="77"/>
      <c r="AM10" s="215"/>
      <c r="AN10" s="19" t="n">
        <f aca="false">CHOOSE(gen_choice,'Generation Calculations'!$O8,'Generation Calculations'!$P8)</f>
        <v>0.054801812240377</v>
      </c>
      <c r="AO10" s="246" t="n">
        <v>0</v>
      </c>
      <c r="AP10" s="226" t="n">
        <v>0</v>
      </c>
      <c r="AQ10" s="226" t="n">
        <f aca="false">AM10</f>
        <v>0</v>
      </c>
      <c r="AR10" s="226" t="n">
        <f aca="false">AN10</f>
        <v>0.054801812240377</v>
      </c>
      <c r="AS10" s="77"/>
      <c r="AT10" s="129" t="n">
        <f aca="false">$AI10</f>
        <v>105350751.788967</v>
      </c>
      <c r="AU10" s="77" t="n">
        <f aca="false">$D10*AO10</f>
        <v>0</v>
      </c>
      <c r="AV10" s="129" t="n">
        <f aca="false">$AK10</f>
        <v>0</v>
      </c>
      <c r="AW10" s="77"/>
      <c r="AX10" s="215"/>
      <c r="AY10" s="19" t="n">
        <f aca="false">CHOOSE(gen_choice,'Generation Calculations'!$O8,'Generation Calculations'!$P8)</f>
        <v>0.054801812240377</v>
      </c>
      <c r="AZ10" s="246" t="n">
        <v>0</v>
      </c>
      <c r="BA10" s="226" t="n">
        <v>0</v>
      </c>
      <c r="BB10" s="226" t="n">
        <f aca="false">AX10</f>
        <v>0</v>
      </c>
      <c r="BC10" s="226" t="n">
        <f aca="false">AY10</f>
        <v>0.054801812240377</v>
      </c>
      <c r="BD10" s="77"/>
      <c r="BE10" s="129" t="n">
        <f aca="false">$AI10</f>
        <v>105350751.788967</v>
      </c>
      <c r="BF10" s="77" t="n">
        <f aca="false">$D10*AZ10</f>
        <v>0</v>
      </c>
      <c r="BG10" s="129" t="n">
        <f aca="false">$AK10</f>
        <v>0</v>
      </c>
      <c r="BH10" s="77"/>
      <c r="BI10" s="215"/>
      <c r="BJ10" s="19" t="n">
        <f aca="false">CHOOSE(gen_choice,'Generation Calculations'!$O8,'Generation Calculations'!$P8)</f>
        <v>0.054801812240377</v>
      </c>
      <c r="BK10" s="246" t="n">
        <v>0</v>
      </c>
      <c r="BL10" s="226" t="n">
        <v>0</v>
      </c>
      <c r="BM10" s="226" t="n">
        <f aca="false">BI10</f>
        <v>0</v>
      </c>
      <c r="BN10" s="226" t="n">
        <f aca="false">BJ10</f>
        <v>0.054801812240377</v>
      </c>
      <c r="BO10" s="77"/>
      <c r="BP10" s="129" t="n">
        <f aca="false">$AI10</f>
        <v>105350751.788967</v>
      </c>
      <c r="BQ10" s="77" t="n">
        <f aca="false">$D10*BK10</f>
        <v>0</v>
      </c>
      <c r="BR10" s="129" t="n">
        <f aca="false">$AK10</f>
        <v>0</v>
      </c>
      <c r="BS10" s="77"/>
      <c r="BT10" s="215"/>
      <c r="BU10" s="19" t="n">
        <f aca="false">CHOOSE(gen_choice,'Generation Calculations'!$O8,'Generation Calculations'!$P8)</f>
        <v>0.054801812240377</v>
      </c>
      <c r="BV10" s="246" t="n">
        <v>0</v>
      </c>
      <c r="BW10" s="226" t="n">
        <v>0</v>
      </c>
      <c r="BX10" s="226" t="n">
        <f aca="false">BT10</f>
        <v>0</v>
      </c>
      <c r="BY10" s="226" t="n">
        <f aca="false">BU10</f>
        <v>0.054801812240377</v>
      </c>
      <c r="BZ10" s="77"/>
      <c r="CA10" s="129" t="n">
        <f aca="false">$AI10</f>
        <v>105350751.788967</v>
      </c>
      <c r="CB10" s="77" t="n">
        <f aca="false">$D10*BV10</f>
        <v>0</v>
      </c>
      <c r="CC10" s="129" t="n">
        <f aca="false">$AK10</f>
        <v>0</v>
      </c>
      <c r="CD10" s="77"/>
    </row>
    <row r="11" customFormat="false" ht="12.75" hidden="false" customHeight="false" outlineLevel="0" collapsed="false">
      <c r="A11" s="86" t="s">
        <v>296</v>
      </c>
      <c r="B11" s="79" t="s">
        <v>231</v>
      </c>
      <c r="C11" s="79" t="n">
        <v>1</v>
      </c>
      <c r="D11" s="170" t="n">
        <f aca="false">'Test Year 2001 Sales and Revs.'!J9</f>
        <v>1199011059.46663</v>
      </c>
      <c r="E11" s="77" t="n">
        <f aca="false">surcharge_1*D11</f>
        <v>45884743.1673185</v>
      </c>
      <c r="F11" s="215"/>
      <c r="G11" s="242" t="n">
        <f aca="false">0.03954</f>
        <v>0.03954</v>
      </c>
      <c r="H11" s="13" t="n">
        <f aca="false">G11*D11</f>
        <v>47408897.2913104</v>
      </c>
      <c r="I11" s="88" t="n">
        <f aca="false">H11/$H$127</f>
        <v>0.015081709464363</v>
      </c>
      <c r="J11" s="77" t="n">
        <f aca="false">I11*$E$129</f>
        <v>37096920.0666614</v>
      </c>
      <c r="K11" s="215"/>
      <c r="L11" s="243" t="n">
        <v>103784165.486349</v>
      </c>
      <c r="M11" s="88" t="n">
        <f aca="false">L11/$L$127</f>
        <v>0.0148648555437035</v>
      </c>
      <c r="N11" s="77" t="n">
        <f aca="false">M11*$E$129</f>
        <v>36563518.1615354</v>
      </c>
      <c r="O11" s="215"/>
      <c r="P11" s="244" t="n">
        <f aca="false">S_Equal</f>
        <v>0.0385694346851059</v>
      </c>
      <c r="Q11" s="13" t="n">
        <f aca="false">P11*D11</f>
        <v>46245178.7448176</v>
      </c>
      <c r="R11" s="215"/>
      <c r="S11" s="211" t="n">
        <f aca="false">$D11/D11</f>
        <v>1</v>
      </c>
      <c r="T11" s="245" t="n">
        <v>23666519.1602621</v>
      </c>
      <c r="U11" s="212" t="n">
        <f aca="false">$S11*T11</f>
        <v>23666519.1602621</v>
      </c>
      <c r="V11" s="88" t="n">
        <f aca="false">U11/$U$127</f>
        <v>0.0146549870585861</v>
      </c>
      <c r="W11" s="245" t="n">
        <v>20873161.4305965</v>
      </c>
      <c r="X11" s="212" t="n">
        <f aca="false">$S11*W11</f>
        <v>20873161.4305965</v>
      </c>
      <c r="Y11" s="88" t="n">
        <f aca="false">X11/$X$127</f>
        <v>0.0137700220376829</v>
      </c>
      <c r="Z11" s="88" t="n">
        <f aca="false">AVERAGE(V11,Y11)</f>
        <v>0.0142125045481345</v>
      </c>
      <c r="AA11" s="129" t="n">
        <f aca="false">$Z11*'Inputs and Assumptions'!$C$6</f>
        <v>34958911.4161785</v>
      </c>
      <c r="AB11" s="217"/>
      <c r="AC11" s="19" t="n">
        <f aca="false">CHOOSE(gen_choice,'Generation Calculations'!$O9,'Generation Calculations'!$P9)</f>
        <v>0.048434024619853</v>
      </c>
      <c r="AD11" s="249" t="n">
        <f aca="false">EPS</f>
        <v>0.01</v>
      </c>
      <c r="AE11" s="247" t="n">
        <f aca="false">AG11-SUM(AC11:AD11,AF11)</f>
        <v>0.0479492598620371</v>
      </c>
      <c r="AF11" s="226" t="n">
        <f aca="false">AK11/$D11</f>
        <v>0</v>
      </c>
      <c r="AG11" s="226" t="n">
        <f aca="false">AL11/$D11</f>
        <v>0.10638328448189</v>
      </c>
      <c r="AH11" s="77" t="n">
        <f aca="false">$D11*AE11</f>
        <v>57491692.8678217</v>
      </c>
      <c r="AI11" s="248" t="n">
        <f aca="false">CHOOSE(gen_choice,'Generation Calculations'!$M9,'Generation Calculations'!$N9)</f>
        <v>58743541.2681633</v>
      </c>
      <c r="AJ11" s="77" t="n">
        <f aca="false">$D11*AD11</f>
        <v>11990110.5946663</v>
      </c>
      <c r="AK11" s="77" t="n">
        <f aca="false">CHOOSE(gen_choice,'Generation Calculations'!K9,'Generation Calculations'!L9)</f>
        <v>0</v>
      </c>
      <c r="AL11" s="77" t="n">
        <f aca="false">$D11*gen_equal</f>
        <v>127554734.636171</v>
      </c>
      <c r="AM11" s="215"/>
      <c r="AN11" s="19" t="n">
        <f aca="false">CHOOSE(gen_choice,'Generation Calculations'!$O9,'Generation Calculations'!$P9)</f>
        <v>0.048434024619853</v>
      </c>
      <c r="AO11" s="249" t="n">
        <f aca="false">EPS</f>
        <v>0.01</v>
      </c>
      <c r="AP11" s="247" t="n">
        <f aca="false">AR11-SUM(AN11:AO11,AQ11)</f>
        <v>0.0410070855566151</v>
      </c>
      <c r="AQ11" s="226" t="n">
        <f aca="false">AV11/$D11</f>
        <v>0</v>
      </c>
      <c r="AR11" s="226" t="n">
        <f aca="false">AW11/$D11</f>
        <v>0.0994411101764681</v>
      </c>
      <c r="AS11" s="77" t="n">
        <f aca="false">AW11+AV11-SUM(AT11:AU11)</f>
        <v>48497339.0043949</v>
      </c>
      <c r="AT11" s="129" t="n">
        <f aca="false">$AI11</f>
        <v>58743541.2681633</v>
      </c>
      <c r="AU11" s="77" t="n">
        <f aca="false">$D11*AO11</f>
        <v>11990110.5946663</v>
      </c>
      <c r="AV11" s="129" t="n">
        <f aca="false">$AK11</f>
        <v>0</v>
      </c>
      <c r="AW11" s="77" t="n">
        <f aca="false">$I11*'Inputs and Assumptions'!$C$15</f>
        <v>119230990.867224</v>
      </c>
      <c r="AX11" s="215"/>
      <c r="AY11" s="19" t="n">
        <f aca="false">CHOOSE(gen_choice,'Generation Calculations'!$O9,'Generation Calculations'!$P9)</f>
        <v>0.048434024619853</v>
      </c>
      <c r="AZ11" s="249" t="n">
        <f aca="false">EPS</f>
        <v>0.01</v>
      </c>
      <c r="BA11" s="247" t="n">
        <f aca="false">BC11-SUM(AY11:AZ11,BB11)</f>
        <v>0.0395772612606719</v>
      </c>
      <c r="BB11" s="226" t="n">
        <f aca="false">BG11/$D11</f>
        <v>0</v>
      </c>
      <c r="BC11" s="226" t="n">
        <f aca="false">BH11/$D11</f>
        <v>0.098011285880525</v>
      </c>
      <c r="BD11" s="77" t="n">
        <f aca="false">BH11+BG11-SUM(BE11:BF11)</f>
        <v>46782963.860465</v>
      </c>
      <c r="BE11" s="129" t="n">
        <f aca="false">$AI11</f>
        <v>58743541.2681633</v>
      </c>
      <c r="BF11" s="77" t="n">
        <f aca="false">$D11*AZ11</f>
        <v>11990110.5946663</v>
      </c>
      <c r="BG11" s="129" t="n">
        <f aca="false">$AK11</f>
        <v>0</v>
      </c>
      <c r="BH11" s="77" t="n">
        <f aca="false">$M11*'Inputs and Assumptions'!$C$15</f>
        <v>117516615.723295</v>
      </c>
      <c r="BI11" s="215"/>
      <c r="BJ11" s="19" t="n">
        <f aca="false">CHOOSE(gen_choice,'Generation Calculations'!$O9,'Generation Calculations'!$P9)</f>
        <v>0.048434024619853</v>
      </c>
      <c r="BK11" s="249" t="n">
        <f aca="false">EPS</f>
        <v>0.01</v>
      </c>
      <c r="BL11" s="247" t="n">
        <f aca="false">BN11-SUM(BJ11:BK11,BM11)</f>
        <v>0.0412219368257471</v>
      </c>
      <c r="BM11" s="226" t="n">
        <f aca="false">BR11/$D11</f>
        <v>0</v>
      </c>
      <c r="BN11" s="226" t="n">
        <f aca="false">BS11/$D11</f>
        <v>0.0996559614456001</v>
      </c>
      <c r="BO11" s="77" t="n">
        <f aca="false">BS11+BR11-SUM(BP11:BQ11)</f>
        <v>48754948.0522247</v>
      </c>
      <c r="BP11" s="129" t="n">
        <f aca="false">$AI11</f>
        <v>58743541.2681633</v>
      </c>
      <c r="BQ11" s="77" t="n">
        <f aca="false">$D11*BK11</f>
        <v>11990110.5946663</v>
      </c>
      <c r="BR11" s="129" t="n">
        <f aca="false">$AK11</f>
        <v>0</v>
      </c>
      <c r="BS11" s="77" t="n">
        <f aca="false">D11*s_equal_gen</f>
        <v>119488599.915054</v>
      </c>
      <c r="BT11" s="215"/>
      <c r="BU11" s="19" t="n">
        <f aca="false">CHOOSE(gen_choice,'Generation Calculations'!$O9,'Generation Calculations'!$P9)</f>
        <v>0.048434024619853</v>
      </c>
      <c r="BV11" s="249" t="n">
        <f aca="false">EPS</f>
        <v>0.01</v>
      </c>
      <c r="BW11" s="247" t="n">
        <f aca="false">BY11-SUM(BU11:BV11,BX11)</f>
        <v>0.0352759910779125</v>
      </c>
      <c r="BX11" s="226" t="n">
        <f aca="false">CC11/$D11</f>
        <v>0</v>
      </c>
      <c r="BY11" s="226" t="n">
        <f aca="false">CD11/$D11</f>
        <v>0.0937100156977655</v>
      </c>
      <c r="BZ11" s="77" t="n">
        <f aca="false">CD11+CC11-SUM(CA11:CB11)</f>
        <v>41625693.3415824</v>
      </c>
      <c r="CA11" s="129" t="n">
        <f aca="false">$AI11</f>
        <v>58743541.2681633</v>
      </c>
      <c r="CB11" s="77" t="n">
        <f aca="false">$D11*BV11</f>
        <v>11990110.5946663</v>
      </c>
      <c r="CC11" s="129" t="n">
        <f aca="false">$AK11</f>
        <v>0</v>
      </c>
      <c r="CD11" s="77" t="n">
        <f aca="false">$Z11*'Inputs and Assumptions'!$C$15</f>
        <v>112359345.204412</v>
      </c>
    </row>
    <row r="12" customFormat="false" ht="12.75" hidden="false" customHeight="false" outlineLevel="0" collapsed="false">
      <c r="A12" s="86" t="s">
        <v>297</v>
      </c>
      <c r="B12" s="79" t="s">
        <v>231</v>
      </c>
      <c r="C12" s="79" t="n">
        <v>1</v>
      </c>
      <c r="D12" s="170" t="n">
        <f aca="false">'Test Year 2001 Sales and Revs.'!J10</f>
        <v>2248111251.35793</v>
      </c>
      <c r="E12" s="77" t="n">
        <f aca="false">surcharge_1*D12</f>
        <v>86032573.7328938</v>
      </c>
      <c r="F12" s="215"/>
      <c r="G12" s="242" t="n">
        <f aca="false">G9</f>
        <v>0.04026</v>
      </c>
      <c r="H12" s="13" t="n">
        <f aca="false">G12*D12</f>
        <v>90508958.9796702</v>
      </c>
      <c r="I12" s="88" t="n">
        <f aca="false">H12/$H$127</f>
        <v>0.0287926929594191</v>
      </c>
      <c r="J12" s="77" t="n">
        <f aca="false">I12*$E$129</f>
        <v>70822225.540373</v>
      </c>
      <c r="K12" s="215"/>
      <c r="L12" s="243" t="n">
        <v>212761248.828514</v>
      </c>
      <c r="M12" s="88" t="n">
        <f aca="false">L12/$L$127</f>
        <v>0.0304734851825716</v>
      </c>
      <c r="N12" s="77" t="n">
        <f aca="false">M12*$E$129</f>
        <v>74956519.1294578</v>
      </c>
      <c r="O12" s="215"/>
      <c r="P12" s="244" t="n">
        <f aca="false">S_Equal</f>
        <v>0.0385694346851059</v>
      </c>
      <c r="Q12" s="13" t="n">
        <f aca="false">P12*D12</f>
        <v>86708380.0741012</v>
      </c>
      <c r="R12" s="215"/>
      <c r="S12" s="211" t="n">
        <f aca="false">$D12/($D$9+$D$12)</f>
        <v>0.0877634963930331</v>
      </c>
      <c r="T12" s="245" t="n">
        <v>636662102.523959</v>
      </c>
      <c r="U12" s="212" t="n">
        <f aca="false">$S12*T12</f>
        <v>55875692.1384423</v>
      </c>
      <c r="V12" s="88" t="n">
        <f aca="false">U12/$U$127</f>
        <v>0.0345998302341536</v>
      </c>
      <c r="W12" s="245" t="n">
        <v>581430778.613188</v>
      </c>
      <c r="X12" s="212" t="n">
        <f aca="false">$S12*W12</f>
        <v>51028398.0416169</v>
      </c>
      <c r="Y12" s="88" t="n">
        <f aca="false">X12/$X$127</f>
        <v>0.0336634279343396</v>
      </c>
      <c r="Z12" s="88" t="n">
        <f aca="false">AVERAGE(V12,Y12)</f>
        <v>0.0341316290842466</v>
      </c>
      <c r="AA12" s="129" t="n">
        <f aca="false">$Z12*'Inputs and Assumptions'!$C$6</f>
        <v>83954562.2381283</v>
      </c>
      <c r="AB12" s="217"/>
      <c r="AC12" s="19" t="n">
        <f aca="false">CHOOSE(gen_choice,'Generation Calculations'!$O10,'Generation Calculations'!$P10)</f>
        <v>0.0529715727472309</v>
      </c>
      <c r="AD12" s="249" t="n">
        <f aca="false">EPS</f>
        <v>0.01</v>
      </c>
      <c r="AE12" s="247" t="n">
        <f aca="false">AG12-SUM(AC12:AD12,AF12)</f>
        <v>0.0434117117346592</v>
      </c>
      <c r="AF12" s="226" t="n">
        <f aca="false">AK12/$D12</f>
        <v>0</v>
      </c>
      <c r="AG12" s="226" t="n">
        <f aca="false">AL12/$D12</f>
        <v>0.10638328448189</v>
      </c>
      <c r="AH12" s="77" t="n">
        <f aca="false">$D12*AE12-AI13</f>
        <v>92330478.6862473</v>
      </c>
      <c r="AI12" s="248" t="n">
        <f aca="false">CHOOSE(gen_choice,'Generation Calculations'!$M10,'Generation Calculations'!$N10)</f>
        <v>119085988.695175</v>
      </c>
      <c r="AJ12" s="77" t="n">
        <f aca="false">$D12*AD12</f>
        <v>22481112.5135793</v>
      </c>
      <c r="AK12" s="77" t="n">
        <f aca="false">CHOOSE(gen_choice,'Generation Calculations'!K10,'Generation Calculations'!L10)</f>
        <v>0</v>
      </c>
      <c r="AL12" s="77" t="n">
        <f aca="false">$D12*gen_equal</f>
        <v>239161458.800149</v>
      </c>
      <c r="AM12" s="215"/>
      <c r="AN12" s="19" t="n">
        <f aca="false">CHOOSE(gen_choice,'Generation Calculations'!$O10,'Generation Calculations'!$P10)</f>
        <v>0.0529715727472309</v>
      </c>
      <c r="AO12" s="249" t="n">
        <f aca="false">EPS</f>
        <v>0.01</v>
      </c>
      <c r="AP12" s="247" t="n">
        <f aca="false">AR12-SUM(AN12:AO12,AQ12)</f>
        <v>0.0382803011957282</v>
      </c>
      <c r="AQ12" s="226" t="n">
        <f aca="false">AV12/$D12</f>
        <v>0</v>
      </c>
      <c r="AR12" s="226" t="n">
        <f aca="false">AW12/$D12</f>
        <v>0.101251873942959</v>
      </c>
      <c r="AS12" s="77" t="n">
        <f aca="false">CHOOSE(gen_choice,$D12*AP12-AT13,AW12+AV12+AV13-SUM(AT12:AU13))</f>
        <v>80794496.9183399</v>
      </c>
      <c r="AT12" s="129" t="n">
        <f aca="false">$AI12</f>
        <v>119085988.695175</v>
      </c>
      <c r="AU12" s="77" t="n">
        <f aca="false">$D12*AO12</f>
        <v>22481112.5135793</v>
      </c>
      <c r="AV12" s="129" t="n">
        <f aca="false">$AK12</f>
        <v>0</v>
      </c>
      <c r="AW12" s="77" t="n">
        <f aca="false">$I12*'Inputs and Assumptions'!$C$15</f>
        <v>227625477.032241</v>
      </c>
      <c r="AX12" s="215"/>
      <c r="AY12" s="19" t="n">
        <f aca="false">CHOOSE(gen_choice,'Generation Calculations'!$O10,'Generation Calculations'!$P10)</f>
        <v>0.0529715727472309</v>
      </c>
      <c r="AZ12" s="249" t="n">
        <f aca="false">EPS</f>
        <v>0.01</v>
      </c>
      <c r="BA12" s="247" t="n">
        <f aca="false">BC12-SUM(AY12:AZ12,BB12)</f>
        <v>0.0441909453491877</v>
      </c>
      <c r="BB12" s="226" t="n">
        <f aca="false">BG12/$D12</f>
        <v>0</v>
      </c>
      <c r="BC12" s="226" t="n">
        <f aca="false">BH12/$D12</f>
        <v>0.107162518096419</v>
      </c>
      <c r="BD12" s="77" t="n">
        <f aca="false">CHOOSE(gen_choice,$D12*BA12-BE13,BH12+BG12+BG13-SUM(BE12:BF13))</f>
        <v>94082282.5425051</v>
      </c>
      <c r="BE12" s="129" t="n">
        <f aca="false">$AI12</f>
        <v>119085988.695175</v>
      </c>
      <c r="BF12" s="77" t="n">
        <f aca="false">$D12*AZ12</f>
        <v>22481112.5135793</v>
      </c>
      <c r="BG12" s="129" t="n">
        <f aca="false">$AK12</f>
        <v>0</v>
      </c>
      <c r="BH12" s="77" t="n">
        <f aca="false">$M12*'Inputs and Assumptions'!$C$15</f>
        <v>240913262.656406</v>
      </c>
      <c r="BI12" s="215"/>
      <c r="BJ12" s="19" t="n">
        <f aca="false">CHOOSE(gen_choice,'Generation Calculations'!$O10,'Generation Calculations'!$P10)</f>
        <v>0.0529715727472309</v>
      </c>
      <c r="BK12" s="249" t="n">
        <f aca="false">EPS</f>
        <v>0.01</v>
      </c>
      <c r="BL12" s="247" t="n">
        <f aca="false">BN12-SUM(BJ12:BK12,BM12)</f>
        <v>0.0366843886983692</v>
      </c>
      <c r="BM12" s="226" t="n">
        <f aca="false">BR12/$D12</f>
        <v>0</v>
      </c>
      <c r="BN12" s="226" t="n">
        <f aca="false">BS12/$D12</f>
        <v>0.0996559614456001</v>
      </c>
      <c r="BO12" s="77" t="n">
        <f aca="false">CHOOSE(gen_choice,$D12*BL12-BP13,BS12+BR12+BR13-SUM(BP12:BQ13))</f>
        <v>77206708.0768444</v>
      </c>
      <c r="BP12" s="129" t="n">
        <f aca="false">$AI12</f>
        <v>119085988.695175</v>
      </c>
      <c r="BQ12" s="77" t="n">
        <f aca="false">$D12*BK12</f>
        <v>22481112.5135793</v>
      </c>
      <c r="BR12" s="129" t="n">
        <f aca="false">$AK12</f>
        <v>0</v>
      </c>
      <c r="BS12" s="77" t="n">
        <f aca="false">D12*s_equal_gen</f>
        <v>224037688.190746</v>
      </c>
      <c r="BT12" s="215"/>
      <c r="BU12" s="19" t="n">
        <f aca="false">CHOOSE(gen_choice,'Generation Calculations'!$O10,'Generation Calculations'!$P10)</f>
        <v>0.0529715727472309</v>
      </c>
      <c r="BV12" s="249" t="n">
        <f aca="false">EPS</f>
        <v>0.01</v>
      </c>
      <c r="BW12" s="247" t="n">
        <f aca="false">BY12-SUM(BU12:BV12,BX12)</f>
        <v>0.0570551093827374</v>
      </c>
      <c r="BX12" s="226" t="n">
        <f aca="false">CC12/$D12</f>
        <v>0</v>
      </c>
      <c r="BY12" s="226" t="n">
        <f aca="false">CD12/$D12</f>
        <v>0.120026682129968</v>
      </c>
      <c r="BZ12" s="77" t="n">
        <f aca="false">CHOOSE(gen_choice,$D12*BW12-CA13,CD12+CC12+CC13-SUM(CA12:CB13))</f>
        <v>123002354.445642</v>
      </c>
      <c r="CA12" s="129" t="n">
        <f aca="false">$AI12</f>
        <v>119085988.695175</v>
      </c>
      <c r="CB12" s="77" t="n">
        <f aca="false">$D12*BV12</f>
        <v>22481112.5135793</v>
      </c>
      <c r="CC12" s="129" t="n">
        <f aca="false">$AK12</f>
        <v>0</v>
      </c>
      <c r="CD12" s="77" t="n">
        <f aca="false">$Z12*'Inputs and Assumptions'!$C$15</f>
        <v>269833334.559544</v>
      </c>
    </row>
    <row r="13" customFormat="false" ht="12.75" hidden="false" customHeight="false" outlineLevel="0" collapsed="false">
      <c r="A13" s="86" t="s">
        <v>298</v>
      </c>
      <c r="B13" s="79" t="s">
        <v>231</v>
      </c>
      <c r="C13" s="79" t="n">
        <v>1</v>
      </c>
      <c r="D13" s="177" t="n">
        <v>0</v>
      </c>
      <c r="E13" s="231" t="n">
        <f aca="false">surcharge_1*D13</f>
        <v>0</v>
      </c>
      <c r="F13" s="228"/>
      <c r="G13" s="250"/>
      <c r="H13" s="229" t="n">
        <f aca="false">G13*D13</f>
        <v>0</v>
      </c>
      <c r="I13" s="91" t="n">
        <f aca="false">H13/$H$127</f>
        <v>0</v>
      </c>
      <c r="J13" s="231" t="n">
        <f aca="false">I13*$E$129</f>
        <v>0</v>
      </c>
      <c r="K13" s="228"/>
      <c r="L13" s="251" t="n">
        <v>0</v>
      </c>
      <c r="M13" s="91" t="n">
        <f aca="false">L13/$L$127</f>
        <v>0</v>
      </c>
      <c r="N13" s="231" t="n">
        <f aca="false">M13*$E$129</f>
        <v>0</v>
      </c>
      <c r="O13" s="228"/>
      <c r="P13" s="244" t="n">
        <f aca="false">S_Equal</f>
        <v>0.0385694346851059</v>
      </c>
      <c r="Q13" s="229" t="n">
        <f aca="false">P13*D13</f>
        <v>0</v>
      </c>
      <c r="R13" s="228"/>
      <c r="T13" s="245"/>
      <c r="U13" s="70" t="n">
        <f aca="false">$S13*T13</f>
        <v>0</v>
      </c>
      <c r="V13" s="91" t="n">
        <f aca="false">U13/$U$127</f>
        <v>0</v>
      </c>
      <c r="W13" s="245"/>
      <c r="X13" s="70" t="n">
        <f aca="false">$S13*W13</f>
        <v>0</v>
      </c>
      <c r="Y13" s="91" t="n">
        <f aca="false">X13/$X$127</f>
        <v>0</v>
      </c>
      <c r="Z13" s="91" t="n">
        <f aca="false">AVERAGE(V13,Y13)</f>
        <v>0</v>
      </c>
      <c r="AA13" s="232" t="n">
        <f aca="false">$Z13*'Inputs and Assumptions'!$C$6</f>
        <v>0</v>
      </c>
      <c r="AB13" s="237"/>
      <c r="AC13" s="252" t="n">
        <f aca="false">CHOOSE(gen_choice,'Generation Calculations'!$O11,'Generation Calculations'!$P11)</f>
        <v>0.0543719649266725</v>
      </c>
      <c r="AD13" s="253" t="n">
        <f aca="false">AD10</f>
        <v>0</v>
      </c>
      <c r="AE13" s="253" t="n">
        <v>0</v>
      </c>
      <c r="AF13" s="253" t="n">
        <f aca="false">AB13</f>
        <v>0</v>
      </c>
      <c r="AG13" s="253" t="n">
        <f aca="false">AC13</f>
        <v>0.0543719649266725</v>
      </c>
      <c r="AH13" s="231"/>
      <c r="AI13" s="254" t="n">
        <f aca="false">CHOOSE(gen_choice,'Generation Calculations'!$M$11,'Generation Calculations'!$N$11)</f>
        <v>5263878.90514709</v>
      </c>
      <c r="AJ13" s="231" t="n">
        <f aca="false">$D13*AD13</f>
        <v>0</v>
      </c>
      <c r="AK13" s="231" t="n">
        <f aca="false">CHOOSE(gen_choice,'Generation Calculations'!K11,'Generation Calculations'!L11)</f>
        <v>0</v>
      </c>
      <c r="AL13" s="231"/>
      <c r="AM13" s="228"/>
      <c r="AN13" s="252" t="n">
        <f aca="false">CHOOSE(gen_choice,'Generation Calculations'!$O11,'Generation Calculations'!$P11)</f>
        <v>0.0543719649266725</v>
      </c>
      <c r="AO13" s="253" t="n">
        <f aca="false">AO10</f>
        <v>0</v>
      </c>
      <c r="AP13" s="253" t="n">
        <v>0</v>
      </c>
      <c r="AQ13" s="253" t="n">
        <f aca="false">AM13</f>
        <v>0</v>
      </c>
      <c r="AR13" s="253" t="n">
        <f aca="false">AN13</f>
        <v>0.0543719649266725</v>
      </c>
      <c r="AS13" s="231"/>
      <c r="AT13" s="232" t="n">
        <f aca="false">$AI13</f>
        <v>5263878.90514709</v>
      </c>
      <c r="AU13" s="231" t="n">
        <f aca="false">$D13*AO13</f>
        <v>0</v>
      </c>
      <c r="AV13" s="232" t="n">
        <f aca="false">$AK13</f>
        <v>0</v>
      </c>
      <c r="AW13" s="231"/>
      <c r="AX13" s="228"/>
      <c r="AY13" s="252" t="n">
        <f aca="false">CHOOSE(gen_choice,'Generation Calculations'!$O11,'Generation Calculations'!$P11)</f>
        <v>0.0543719649266725</v>
      </c>
      <c r="AZ13" s="253" t="n">
        <f aca="false">AZ10</f>
        <v>0</v>
      </c>
      <c r="BA13" s="253" t="n">
        <v>0</v>
      </c>
      <c r="BB13" s="253" t="n">
        <f aca="false">AX13</f>
        <v>0</v>
      </c>
      <c r="BC13" s="253" t="n">
        <f aca="false">AY13</f>
        <v>0.0543719649266725</v>
      </c>
      <c r="BD13" s="231"/>
      <c r="BE13" s="232" t="n">
        <f aca="false">$AI13</f>
        <v>5263878.90514709</v>
      </c>
      <c r="BF13" s="231" t="n">
        <f aca="false">$D13*AZ13</f>
        <v>0</v>
      </c>
      <c r="BG13" s="232" t="n">
        <f aca="false">$AK13</f>
        <v>0</v>
      </c>
      <c r="BH13" s="231"/>
      <c r="BI13" s="228"/>
      <c r="BJ13" s="252" t="n">
        <f aca="false">CHOOSE(gen_choice,'Generation Calculations'!$O11,'Generation Calculations'!$P11)</f>
        <v>0.0543719649266725</v>
      </c>
      <c r="BK13" s="253" t="n">
        <f aca="false">BK10</f>
        <v>0</v>
      </c>
      <c r="BL13" s="253" t="n">
        <v>0</v>
      </c>
      <c r="BM13" s="253" t="n">
        <f aca="false">BI13</f>
        <v>0</v>
      </c>
      <c r="BN13" s="253" t="n">
        <f aca="false">BJ13</f>
        <v>0.0543719649266725</v>
      </c>
      <c r="BO13" s="231"/>
      <c r="BP13" s="232" t="n">
        <f aca="false">$AI13</f>
        <v>5263878.90514709</v>
      </c>
      <c r="BQ13" s="231" t="n">
        <f aca="false">$D13*BK13</f>
        <v>0</v>
      </c>
      <c r="BR13" s="232" t="n">
        <f aca="false">$AK13</f>
        <v>0</v>
      </c>
      <c r="BS13" s="231"/>
      <c r="BT13" s="228"/>
      <c r="BU13" s="252" t="n">
        <f aca="false">CHOOSE(gen_choice,'Generation Calculations'!$O11,'Generation Calculations'!$P11)</f>
        <v>0.0543719649266725</v>
      </c>
      <c r="BV13" s="253" t="n">
        <f aca="false">BV10</f>
        <v>0</v>
      </c>
      <c r="BW13" s="253" t="n">
        <v>0</v>
      </c>
      <c r="BX13" s="253" t="n">
        <f aca="false">BT13</f>
        <v>0</v>
      </c>
      <c r="BY13" s="253" t="n">
        <f aca="false">BU13</f>
        <v>0.0543719649266725</v>
      </c>
      <c r="BZ13" s="231"/>
      <c r="CA13" s="232" t="n">
        <f aca="false">$AI13</f>
        <v>5263878.90514709</v>
      </c>
      <c r="CB13" s="231" t="n">
        <f aca="false">$D13*BV13</f>
        <v>0</v>
      </c>
      <c r="CC13" s="232" t="n">
        <f aca="false">$AK13</f>
        <v>0</v>
      </c>
      <c r="CD13" s="231"/>
    </row>
    <row r="14" customFormat="false" ht="12.75" hidden="false" customHeight="false" outlineLevel="0" collapsed="false">
      <c r="A14" s="85" t="s">
        <v>299</v>
      </c>
      <c r="B14" s="79"/>
      <c r="C14" s="79"/>
      <c r="D14" s="159" t="n">
        <f aca="false">SUM(D9:D13)</f>
        <v>26814572696.7351</v>
      </c>
      <c r="E14" s="77" t="n">
        <f aca="false">SUM(E9:E13)</f>
        <v>1026162162.23928</v>
      </c>
      <c r="F14" s="215"/>
      <c r="G14" s="242"/>
      <c r="H14" s="13" t="n">
        <f aca="false">SUM(H9:H13)</f>
        <v>1078691408.80774</v>
      </c>
      <c r="I14" s="88" t="n">
        <f aca="false">SUM(I9:I13)</f>
        <v>0.34315310751437</v>
      </c>
      <c r="J14" s="77" t="n">
        <f aca="false">SUM(J9:J13)</f>
        <v>844063693.851612</v>
      </c>
      <c r="K14" s="215"/>
      <c r="L14" s="129" t="n">
        <f aca="false">SUM(L9:L13)</f>
        <v>2528040918.83744</v>
      </c>
      <c r="M14" s="88" t="n">
        <f aca="false">SUM(M9:M13)</f>
        <v>0.362087635343879</v>
      </c>
      <c r="N14" s="77" t="n">
        <f aca="false">SUM(N9:N13)</f>
        <v>890637503.475185</v>
      </c>
      <c r="O14" s="215"/>
      <c r="P14" s="244"/>
      <c r="Q14" s="13" t="n">
        <f aca="false">SUM(Q9:Q13)</f>
        <v>1034222910.23575</v>
      </c>
      <c r="R14" s="215"/>
      <c r="T14" s="245"/>
      <c r="U14" s="212" t="n">
        <f aca="false">SUM(U9:U13)</f>
        <v>660328621.684221</v>
      </c>
      <c r="V14" s="88" t="n">
        <f aca="false">SUM(V9:V13)</f>
        <v>0.408894410693265</v>
      </c>
      <c r="W14" s="245"/>
      <c r="X14" s="212" t="n">
        <f aca="false">SUM(X9:X13)</f>
        <v>602303940.043784</v>
      </c>
      <c r="Y14" s="88" t="n">
        <f aca="false">SUM(Y9:Y13)</f>
        <v>0.397339835432354</v>
      </c>
      <c r="Z14" s="88" t="n">
        <f aca="false">AVERAGE(V14,Y14)</f>
        <v>0.40311712306281</v>
      </c>
      <c r="AA14" s="129" t="n">
        <f aca="false">SUM(AA9:AA13)</f>
        <v>991558929.516561</v>
      </c>
      <c r="AB14" s="217"/>
      <c r="AC14" s="19" t="n">
        <f aca="false">CHOOSE(gen_choice,'Generation Calculations'!$O13,'Generation Calculations'!$P13)</f>
        <v>0.0573369650264007</v>
      </c>
      <c r="AD14" s="17" t="n">
        <f aca="false">'Revenue Allocation'!AA13/100</f>
        <v>0.00929524405322913</v>
      </c>
      <c r="AE14" s="226" t="n">
        <f aca="false">AH14/$D14</f>
        <v>0.0346990891040592</v>
      </c>
      <c r="AF14" s="226" t="n">
        <f aca="false">AK14/$D14</f>
        <v>0</v>
      </c>
      <c r="AG14" s="226" t="n">
        <f aca="false">AL14/$D14</f>
        <v>0.10638328448189</v>
      </c>
      <c r="AH14" s="77" t="n">
        <f aca="false">AL14+AK14-SUM(AI14:AJ14)</f>
        <v>930441247.291284</v>
      </c>
      <c r="AI14" s="77" t="n">
        <f aca="false">SUM(AI9:AI13)</f>
        <v>1654035341.19846</v>
      </c>
      <c r="AJ14" s="77" t="n">
        <f aca="false">SUM(AJ9:AJ13)</f>
        <v>268145726.967351</v>
      </c>
      <c r="AK14" s="77" t="n">
        <f aca="false">SUM(AK9:AK13)</f>
        <v>0</v>
      </c>
      <c r="AL14" s="77" t="n">
        <f aca="false">SUM(AL9:AL13)</f>
        <v>2852622315.4571</v>
      </c>
      <c r="AM14" s="215"/>
      <c r="AN14" s="19" t="n">
        <f aca="false">CHOOSE(gen_choice,'Generation Calculations'!$O13,'Generation Calculations'!$P13)</f>
        <v>0.0573369650264007</v>
      </c>
      <c r="AO14" s="17" t="n">
        <f aca="false">'Revenue Allocation'!AK13/100</f>
        <v>0</v>
      </c>
      <c r="AP14" s="226" t="n">
        <f aca="false">AS14/$D14</f>
        <v>0.029486710436094</v>
      </c>
      <c r="AQ14" s="226" t="n">
        <f aca="false">AV14/$D14</f>
        <v>0</v>
      </c>
      <c r="AR14" s="226" t="n">
        <f aca="false">AW14/$D14</f>
        <v>0.101170905813925</v>
      </c>
      <c r="AS14" s="77" t="n">
        <f aca="false">SUM(AS9:AS13)</f>
        <v>790673540.576222</v>
      </c>
      <c r="AT14" s="77" t="n">
        <f aca="false">SUM(AT9:AT13)</f>
        <v>1654035341.19846</v>
      </c>
      <c r="AU14" s="77" t="n">
        <f aca="false">SUM(AU9:AU13)</f>
        <v>268145726.967351</v>
      </c>
      <c r="AV14" s="77" t="n">
        <f aca="false">SUM(AV9:AV13)</f>
        <v>0</v>
      </c>
      <c r="AW14" s="77" t="n">
        <f aca="false">SUM(AW9:AW13)</f>
        <v>2712854608.74203</v>
      </c>
      <c r="AX14" s="215"/>
      <c r="AY14" s="19" t="n">
        <f aca="false">CHOOSE(gen_choice,'Generation Calculations'!$O13,'Generation Calculations'!$P13)</f>
        <v>0.0573369650264007</v>
      </c>
      <c r="AZ14" s="17" t="n">
        <f aca="false">'Revenue Allocation'!AV13/100</f>
        <v>0</v>
      </c>
      <c r="BA14" s="226" t="n">
        <f aca="false">BD14/$D14</f>
        <v>0.0350691262432719</v>
      </c>
      <c r="BB14" s="226" t="n">
        <f aca="false">BG14/$D14</f>
        <v>0</v>
      </c>
      <c r="BC14" s="226" t="n">
        <f aca="false">BH14/$D14</f>
        <v>0.106753321621103</v>
      </c>
      <c r="BD14" s="77" t="n">
        <f aca="false">SUM(BD9:BD13)</f>
        <v>940363635.061194</v>
      </c>
      <c r="BE14" s="77" t="n">
        <f aca="false">SUM(BE9:BE13)</f>
        <v>1654035341.19846</v>
      </c>
      <c r="BF14" s="77" t="n">
        <f aca="false">SUM(BF9:BF13)</f>
        <v>268145726.967351</v>
      </c>
      <c r="BG14" s="77" t="n">
        <f aca="false">SUM(BG9:BG13)</f>
        <v>0</v>
      </c>
      <c r="BH14" s="77" t="n">
        <f aca="false">SUM(BH9:BH13)</f>
        <v>2862544703.22701</v>
      </c>
      <c r="BI14" s="215"/>
      <c r="BJ14" s="19" t="n">
        <f aca="false">CHOOSE(gen_choice,'Generation Calculations'!$O13,'Generation Calculations'!$P13)</f>
        <v>0.0573369650264007</v>
      </c>
      <c r="BK14" s="17" t="n">
        <f aca="false">'Revenue Allocation'!BG13/100</f>
        <v>0</v>
      </c>
      <c r="BL14" s="226" t="n">
        <f aca="false">BO14/$D14</f>
        <v>0.0279717660677692</v>
      </c>
      <c r="BM14" s="226" t="n">
        <f aca="false">BR14/$D14</f>
        <v>0</v>
      </c>
      <c r="BN14" s="226" t="n">
        <f aca="false">BS14/$D14</f>
        <v>0.0996559614456001</v>
      </c>
      <c r="BO14" s="77" t="n">
        <f aca="false">SUM(BO9:BO13)</f>
        <v>750050954.680265</v>
      </c>
      <c r="BP14" s="77" t="n">
        <f aca="false">SUM(BP9:BP13)</f>
        <v>1654035341.19846</v>
      </c>
      <c r="BQ14" s="77" t="n">
        <f aca="false">SUM(BQ9:BQ13)</f>
        <v>268145726.967351</v>
      </c>
      <c r="BR14" s="77" t="n">
        <f aca="false">SUM(BR9:BR13)</f>
        <v>0</v>
      </c>
      <c r="BS14" s="77" t="n">
        <f aca="false">SUM(BS9:BS13)</f>
        <v>2672232022.84608</v>
      </c>
      <c r="BT14" s="215"/>
      <c r="BU14" s="19" t="n">
        <f aca="false">CHOOSE(gen_choice,'Generation Calculations'!$O13,'Generation Calculations'!$P13)</f>
        <v>0.0573369650264007</v>
      </c>
      <c r="BV14" s="17" t="n">
        <f aca="false">'Revenue Allocation'!BR13/100</f>
        <v>0</v>
      </c>
      <c r="BW14" s="226" t="n">
        <f aca="false">BZ14/$D14</f>
        <v>0.0471657395237787</v>
      </c>
      <c r="BX14" s="226" t="n">
        <f aca="false">CC14/$D14</f>
        <v>0</v>
      </c>
      <c r="BY14" s="226" t="n">
        <f aca="false">CD14/$D14</f>
        <v>0.11884993490161</v>
      </c>
      <c r="BZ14" s="77" t="n">
        <f aca="false">SUM(BZ9:BZ13)</f>
        <v>1264729151.25564</v>
      </c>
      <c r="CA14" s="77" t="n">
        <f aca="false">SUM(CA9:CA13)</f>
        <v>1654035341.19846</v>
      </c>
      <c r="CB14" s="77" t="n">
        <f aca="false">SUM(CB9:CB13)</f>
        <v>268145726.967351</v>
      </c>
      <c r="CC14" s="77" t="n">
        <f aca="false">SUM(CC9:CC13)</f>
        <v>0</v>
      </c>
      <c r="CD14" s="77" t="n">
        <f aca="false">SUM(CD9:CD13)</f>
        <v>3186910219.42145</v>
      </c>
    </row>
    <row r="15" customFormat="false" ht="12.75" hidden="false" customHeight="false" outlineLevel="0" collapsed="false">
      <c r="A15" s="92"/>
      <c r="B15" s="79"/>
      <c r="C15" s="79" t="n">
        <v>1</v>
      </c>
      <c r="D15" s="159"/>
      <c r="E15" s="77"/>
      <c r="F15" s="215"/>
      <c r="G15" s="242"/>
      <c r="H15" s="13"/>
      <c r="I15" s="88"/>
      <c r="J15" s="77"/>
      <c r="K15" s="215"/>
      <c r="L15" s="129"/>
      <c r="M15" s="88"/>
      <c r="N15" s="77"/>
      <c r="O15" s="215"/>
      <c r="P15" s="244"/>
      <c r="Q15" s="13"/>
      <c r="R15" s="215"/>
      <c r="T15" s="245"/>
      <c r="V15" s="88"/>
      <c r="W15" s="245"/>
      <c r="X15" s="212"/>
      <c r="Y15" s="88"/>
      <c r="Z15" s="88"/>
      <c r="AA15" s="129"/>
      <c r="AB15" s="217"/>
      <c r="AC15" s="74"/>
      <c r="AD15" s="19"/>
      <c r="AH15" s="77"/>
      <c r="AJ15" s="77"/>
      <c r="AK15" s="77"/>
      <c r="AL15" s="77" t="n">
        <f aca="false">AL14-SUM(AH14:AK14)</f>
        <v>0</v>
      </c>
      <c r="AM15" s="215"/>
      <c r="AN15" s="74"/>
      <c r="AO15" s="19"/>
      <c r="AP15" s="0"/>
      <c r="AQ15" s="0"/>
      <c r="AR15" s="0"/>
      <c r="AS15" s="77"/>
      <c r="AT15" s="77"/>
      <c r="AU15" s="77"/>
      <c r="AV15" s="77"/>
      <c r="AW15" s="22"/>
      <c r="AX15" s="215"/>
      <c r="AY15" s="74"/>
      <c r="AZ15" s="19"/>
      <c r="BA15" s="0"/>
      <c r="BB15" s="0"/>
      <c r="BC15" s="0"/>
      <c r="BD15" s="77"/>
      <c r="BE15" s="77"/>
      <c r="BF15" s="77"/>
      <c r="BG15" s="77"/>
      <c r="BH15" s="22"/>
      <c r="BI15" s="215"/>
      <c r="BJ15" s="74"/>
      <c r="BK15" s="19"/>
      <c r="BL15" s="0"/>
      <c r="BM15" s="0"/>
      <c r="BN15" s="0"/>
      <c r="BO15" s="77"/>
      <c r="BP15" s="77"/>
      <c r="BQ15" s="77"/>
      <c r="BR15" s="77"/>
      <c r="BS15" s="22"/>
      <c r="BT15" s="215"/>
      <c r="BU15" s="74"/>
      <c r="BV15" s="19"/>
      <c r="BW15" s="0"/>
      <c r="BX15" s="0"/>
      <c r="BY15" s="0"/>
      <c r="BZ15" s="77"/>
      <c r="CA15" s="77"/>
      <c r="CB15" s="77"/>
      <c r="CC15" s="77"/>
      <c r="CD15" s="22"/>
    </row>
    <row r="16" customFormat="false" ht="12.75" hidden="false" customHeight="false" outlineLevel="0" collapsed="false">
      <c r="A16" s="85" t="s">
        <v>300</v>
      </c>
      <c r="B16" s="79"/>
      <c r="C16" s="79"/>
      <c r="D16" s="159"/>
      <c r="E16" s="77"/>
      <c r="F16" s="215"/>
      <c r="G16" s="242"/>
      <c r="H16" s="13"/>
      <c r="I16" s="88"/>
      <c r="J16" s="77"/>
      <c r="K16" s="215"/>
      <c r="L16" s="129"/>
      <c r="M16" s="88"/>
      <c r="N16" s="77"/>
      <c r="O16" s="215"/>
      <c r="P16" s="244"/>
      <c r="Q16" s="13"/>
      <c r="R16" s="215"/>
      <c r="T16" s="245"/>
      <c r="V16" s="88"/>
      <c r="W16" s="245"/>
      <c r="X16" s="212"/>
      <c r="Y16" s="88"/>
      <c r="Z16" s="88"/>
      <c r="AA16" s="129"/>
      <c r="AB16" s="217"/>
      <c r="AC16" s="74"/>
      <c r="AD16" s="19"/>
      <c r="AE16" s="226"/>
      <c r="AH16" s="77"/>
      <c r="AJ16" s="77"/>
      <c r="AK16" s="77"/>
      <c r="AL16" s="77"/>
      <c r="AM16" s="215"/>
      <c r="AN16" s="74"/>
      <c r="AO16" s="19"/>
      <c r="AP16" s="226"/>
      <c r="AQ16" s="0"/>
      <c r="AR16" s="0"/>
      <c r="AS16" s="77"/>
      <c r="AT16" s="77"/>
      <c r="AU16" s="77"/>
      <c r="AV16" s="77"/>
      <c r="AW16" s="77"/>
      <c r="AX16" s="215"/>
      <c r="AY16" s="74"/>
      <c r="AZ16" s="19"/>
      <c r="BA16" s="226"/>
      <c r="BB16" s="0"/>
      <c r="BC16" s="0"/>
      <c r="BD16" s="77"/>
      <c r="BE16" s="77"/>
      <c r="BF16" s="77"/>
      <c r="BG16" s="77"/>
      <c r="BH16" s="77"/>
      <c r="BI16" s="215"/>
      <c r="BJ16" s="74"/>
      <c r="BK16" s="19"/>
      <c r="BL16" s="226"/>
      <c r="BM16" s="0"/>
      <c r="BN16" s="0"/>
      <c r="BO16" s="77"/>
      <c r="BP16" s="77"/>
      <c r="BQ16" s="77"/>
      <c r="BR16" s="77"/>
      <c r="BS16" s="77"/>
      <c r="BT16" s="215"/>
      <c r="BU16" s="74"/>
      <c r="BV16" s="19"/>
      <c r="BW16" s="226"/>
      <c r="BX16" s="0"/>
      <c r="BY16" s="0"/>
      <c r="BZ16" s="77"/>
      <c r="CA16" s="77"/>
      <c r="CB16" s="77"/>
      <c r="CC16" s="77"/>
      <c r="CD16" s="77"/>
    </row>
    <row r="17" customFormat="false" ht="12.75" hidden="false" customHeight="false" outlineLevel="0" collapsed="false">
      <c r="A17" s="94" t="s">
        <v>301</v>
      </c>
      <c r="B17" s="82" t="s">
        <v>231</v>
      </c>
      <c r="C17" s="82" t="n">
        <v>1</v>
      </c>
      <c r="D17" s="170" t="n">
        <f aca="false">'Test Year 2001 Sales and Revs.'!J16</f>
        <v>5901801632.6614</v>
      </c>
      <c r="E17" s="77" t="n">
        <f aca="false">surcharge_1*D17</f>
        <v>225855007.75914</v>
      </c>
      <c r="F17" s="215"/>
      <c r="G17" s="242" t="n">
        <f aca="false">0.04167</f>
        <v>0.04167</v>
      </c>
      <c r="H17" s="13" t="n">
        <f aca="false">G17*D17</f>
        <v>245928074.033</v>
      </c>
      <c r="I17" s="88" t="n">
        <f aca="false">H17/$H$127</f>
        <v>0.078234592526072</v>
      </c>
      <c r="J17" s="77" t="n">
        <f aca="false">I17*$E$129</f>
        <v>192435906.038726</v>
      </c>
      <c r="K17" s="215"/>
      <c r="L17" s="243" t="n">
        <v>446838832.356959</v>
      </c>
      <c r="M17" s="88" t="n">
        <f aca="false">L17/$L$127</f>
        <v>0.0640000780771994</v>
      </c>
      <c r="N17" s="77" t="n">
        <f aca="false">M17*$E$129</f>
        <v>157422856.228602</v>
      </c>
      <c r="O17" s="215"/>
      <c r="P17" s="244" t="n">
        <f aca="false">S_Equal</f>
        <v>0.0385694346851059</v>
      </c>
      <c r="Q17" s="13" t="n">
        <f aca="false">P17*D17</f>
        <v>227629152.595385</v>
      </c>
      <c r="R17" s="215"/>
      <c r="S17" s="211" t="n">
        <f aca="false">$D17/($D$17+$D$19)</f>
        <v>0.999775763527572</v>
      </c>
      <c r="T17" s="245" t="n">
        <v>143352671.449199</v>
      </c>
      <c r="U17" s="212" t="n">
        <f aca="false">$S17*T17</f>
        <v>143320526.55184</v>
      </c>
      <c r="V17" s="88" t="n">
        <f aca="false">U17/$U$127</f>
        <v>0.0887481782861259</v>
      </c>
      <c r="W17" s="245" t="n">
        <v>133215452.221618</v>
      </c>
      <c r="X17" s="212" t="n">
        <f aca="false">$S17*W17</f>
        <v>133185580.458538</v>
      </c>
      <c r="Y17" s="88" t="n">
        <f aca="false">X17/$X$127</f>
        <v>0.0878625111061222</v>
      </c>
      <c r="Z17" s="88" t="n">
        <f aca="false">AVERAGE(V17,Y17)</f>
        <v>0.088305344696124</v>
      </c>
      <c r="AA17" s="129" t="n">
        <f aca="false">$Z17*'Inputs and Assumptions'!$C$6</f>
        <v>217207228.490359</v>
      </c>
      <c r="AB17" s="217"/>
      <c r="AC17" s="255" t="n">
        <f aca="false">CHOOSE(gen_choice,'Generation Calculations'!$O16,'Generation Calculations'!$P16)</f>
        <v>0.0634104674406588</v>
      </c>
      <c r="AD17" s="256" t="n">
        <f aca="false">EPS</f>
        <v>0.01</v>
      </c>
      <c r="AE17" s="247" t="n">
        <f aca="false">AG17-SUM(AC17:AD17,AF17)</f>
        <v>0.0329728170412313</v>
      </c>
      <c r="AF17" s="247" t="n">
        <f aca="false">AK17/$D17</f>
        <v>0</v>
      </c>
      <c r="AG17" s="226" t="n">
        <f aca="false">AL17/$D17</f>
        <v>0.10638328448189</v>
      </c>
      <c r="AH17" s="77" t="n">
        <f aca="false">$D17*AE17-(AI17-$D17*AC17)</f>
        <v>194308053.264745</v>
      </c>
      <c r="AI17" s="248" t="n">
        <f aca="false">CHOOSE(gen_choice,'Generation Calculations'!$M16,'Generation Calculations'!$N16)</f>
        <v>374526972.451742</v>
      </c>
      <c r="AJ17" s="257" t="n">
        <f aca="false">'Revenue Allocation'!$M16</f>
        <v>59018016.326614</v>
      </c>
      <c r="AK17" s="77" t="n">
        <f aca="false">CHOOSE(gen_choice,'Generation Calculations'!K16,'Generation Calculations'!L16)</f>
        <v>0</v>
      </c>
      <c r="AL17" s="129" t="n">
        <f aca="false">$D17*gen_equal</f>
        <v>627853042.043101</v>
      </c>
      <c r="AM17" s="215"/>
      <c r="AN17" s="255" t="n">
        <f aca="false">CHOOSE(gen_choice,'Generation Calculations'!$O16,'Generation Calculations'!$P16)</f>
        <v>0.0634104674406588</v>
      </c>
      <c r="AO17" s="256" t="n">
        <f aca="false">EPS</f>
        <v>0.01</v>
      </c>
      <c r="AP17" s="247" t="n">
        <f aca="false">AR17-SUM(AN17:AO17,AQ17)</f>
        <v>0.031387485545012</v>
      </c>
      <c r="AQ17" s="247" t="n">
        <f aca="false">AV17/$D17</f>
        <v>0</v>
      </c>
      <c r="AR17" s="226" t="n">
        <f aca="false">AW17/$D17</f>
        <v>0.104797952985671</v>
      </c>
      <c r="AS17" s="77" t="n">
        <f aca="false">CHOOSE(gen_choice,$D17*AP17-(AT17-$D17*AN17),AW17+AV17-SUM(AT17:AU17))</f>
        <v>184951741.252049</v>
      </c>
      <c r="AT17" s="129" t="n">
        <f aca="false">$AI17</f>
        <v>374526972.451742</v>
      </c>
      <c r="AU17" s="257" t="n">
        <f aca="false">'Revenue Allocation'!$M16</f>
        <v>59018016.326614</v>
      </c>
      <c r="AV17" s="129" t="n">
        <f aca="false">$AK17</f>
        <v>0</v>
      </c>
      <c r="AW17" s="129" t="n">
        <f aca="false">$I17*'Inputs and Assumptions'!$C$15</f>
        <v>618496730.030404</v>
      </c>
      <c r="AX17" s="215"/>
      <c r="AY17" s="255" t="n">
        <f aca="false">CHOOSE(gen_choice,'Generation Calculations'!$O16,'Generation Calculations'!$P16)</f>
        <v>0.0634104674406588</v>
      </c>
      <c r="AZ17" s="256" t="n">
        <f aca="false">EPS</f>
        <v>0.01</v>
      </c>
      <c r="BA17" s="247" t="n">
        <f aca="false">BC17-SUM(AY17:AZ17,BB17)</f>
        <v>0.0123198592198711</v>
      </c>
      <c r="BB17" s="247" t="n">
        <f aca="false">BG17/$D17</f>
        <v>0</v>
      </c>
      <c r="BC17" s="226" t="n">
        <f aca="false">BH17/$D17</f>
        <v>0.0857303266605299</v>
      </c>
      <c r="BD17" s="77" t="n">
        <f aca="false">CHOOSE(gen_choice,$D17*BA17-(BE17-$D17*AY17),BH17+BG17-SUM(BE17:BF17))</f>
        <v>72418393.0753547</v>
      </c>
      <c r="BE17" s="129" t="n">
        <f aca="false">$AI17</f>
        <v>374526972.451742</v>
      </c>
      <c r="BF17" s="257" t="n">
        <f aca="false">'Revenue Allocation'!$M16</f>
        <v>59018016.326614</v>
      </c>
      <c r="BG17" s="129" t="n">
        <f aca="false">$AK17</f>
        <v>0</v>
      </c>
      <c r="BH17" s="129" t="n">
        <f aca="false">$M17*'Inputs and Assumptions'!$C$15</f>
        <v>505963381.85371</v>
      </c>
      <c r="BI17" s="215"/>
      <c r="BJ17" s="255" t="n">
        <f aca="false">CHOOSE(gen_choice,'Generation Calculations'!$O16,'Generation Calculations'!$P16)</f>
        <v>0.0634104674406588</v>
      </c>
      <c r="BK17" s="256" t="n">
        <f aca="false">EPS</f>
        <v>0.01</v>
      </c>
      <c r="BL17" s="247" t="n">
        <f aca="false">BN17-SUM(BJ17:BK17,BM17)</f>
        <v>0.0262454940049413</v>
      </c>
      <c r="BM17" s="247" t="n">
        <f aca="false">BR17/$D17</f>
        <v>0</v>
      </c>
      <c r="BN17" s="226" t="n">
        <f aca="false">BS17/$D17</f>
        <v>0.0996559614456001</v>
      </c>
      <c r="BO17" s="77" t="n">
        <f aca="false">CHOOSE(gen_choice,$D17*BL17-(BP17-$D17*BJ17),BS17+BR17-SUM(BP17:BQ17))</f>
        <v>154604727.185728</v>
      </c>
      <c r="BP17" s="129" t="n">
        <f aca="false">$AI17</f>
        <v>374526972.451742</v>
      </c>
      <c r="BQ17" s="257" t="n">
        <f aca="false">'Revenue Allocation'!$M16</f>
        <v>59018016.326614</v>
      </c>
      <c r="BR17" s="129" t="n">
        <f aca="false">$AK17</f>
        <v>0</v>
      </c>
      <c r="BS17" s="129" t="n">
        <f aca="false">D17*s_equal_gen</f>
        <v>588149715.964084</v>
      </c>
      <c r="BT17" s="215"/>
      <c r="BU17" s="255" t="n">
        <f aca="false">CHOOSE(gen_choice,'Generation Calculations'!$O16,'Generation Calculations'!$P16)</f>
        <v>0.0634104674406588</v>
      </c>
      <c r="BV17" s="256" t="n">
        <f aca="false">EPS</f>
        <v>0.01</v>
      </c>
      <c r="BW17" s="247" t="n">
        <f aca="false">BY17-SUM(BU17:BV17,BX17)</f>
        <v>0.0448776077322751</v>
      </c>
      <c r="BX17" s="247" t="n">
        <f aca="false">CC17/$D17</f>
        <v>0</v>
      </c>
      <c r="BY17" s="226" t="n">
        <f aca="false">CD17/$D17</f>
        <v>0.118288075172934</v>
      </c>
      <c r="BZ17" s="77" t="n">
        <f aca="false">CHOOSE(gen_choice,$D17*BW17-(CA17-$D17*BU17),CD17+CC17-SUM(CA17:CB17))</f>
        <v>264567766.40164</v>
      </c>
      <c r="CA17" s="129" t="n">
        <f aca="false">$AI17</f>
        <v>374526972.451742</v>
      </c>
      <c r="CB17" s="257" t="n">
        <f aca="false">'Revenue Allocation'!$M16</f>
        <v>59018016.326614</v>
      </c>
      <c r="CC17" s="129" t="n">
        <f aca="false">$AK17</f>
        <v>0</v>
      </c>
      <c r="CD17" s="129" t="n">
        <f aca="false">$Z17*'Inputs and Assumptions'!$C$15</f>
        <v>698112755.179995</v>
      </c>
    </row>
    <row r="18" customFormat="false" ht="12.75" hidden="false" customHeight="false" outlineLevel="0" collapsed="false">
      <c r="A18" s="94" t="s">
        <v>302</v>
      </c>
      <c r="B18" s="82" t="s">
        <v>231</v>
      </c>
      <c r="C18" s="82" t="n">
        <v>1</v>
      </c>
      <c r="D18" s="170" t="n">
        <f aca="false">'Test Year 2001 Sales and Revs.'!J17</f>
        <v>1972871287.09966</v>
      </c>
      <c r="E18" s="77" t="n">
        <f aca="false">surcharge_1*D18</f>
        <v>75499463.9924458</v>
      </c>
      <c r="F18" s="215"/>
      <c r="G18" s="242" t="n">
        <f aca="false">0.03972</f>
        <v>0.03972</v>
      </c>
      <c r="H18" s="13" t="n">
        <f aca="false">G18*D18</f>
        <v>78362447.5235984</v>
      </c>
      <c r="I18" s="88" t="n">
        <f aca="false">H18/$H$127</f>
        <v>0.0249286470260071</v>
      </c>
      <c r="J18" s="77" t="n">
        <f aca="false">I18*$E$129</f>
        <v>61317719.2067639</v>
      </c>
      <c r="K18" s="215"/>
      <c r="L18" s="243" t="n">
        <v>46453052.6057196</v>
      </c>
      <c r="M18" s="88" t="n">
        <f aca="false">L18/$L$127</f>
        <v>0.0066534033714315</v>
      </c>
      <c r="N18" s="77" t="n">
        <f aca="false">M18*$E$129</f>
        <v>16365570.0717793</v>
      </c>
      <c r="O18" s="215"/>
      <c r="P18" s="244" t="n">
        <f aca="false">S_Equal</f>
        <v>0.0385694346851059</v>
      </c>
      <c r="Q18" s="13" t="n">
        <f aca="false">P18*D18</f>
        <v>76092530.249911</v>
      </c>
      <c r="R18" s="215"/>
      <c r="S18" s="211" t="n">
        <f aca="false">$S$11</f>
        <v>1</v>
      </c>
      <c r="T18" s="245" t="n">
        <v>34300163.8865535</v>
      </c>
      <c r="U18" s="212" t="n">
        <f aca="false">$S18*T18</f>
        <v>34300163.8865535</v>
      </c>
      <c r="V18" s="88" t="n">
        <f aca="false">U18/$U$127</f>
        <v>0.0212396446837371</v>
      </c>
      <c r="W18" s="245" t="n">
        <v>33897207.0938329</v>
      </c>
      <c r="X18" s="212" t="n">
        <f aca="false">$S18*W18</f>
        <v>33897207.0938329</v>
      </c>
      <c r="Y18" s="88" t="n">
        <f aca="false">X18/$X$127</f>
        <v>0.022361983365576</v>
      </c>
      <c r="Z18" s="88" t="n">
        <f aca="false">AVERAGE(V18,Y18)</f>
        <v>0.0218008140246565</v>
      </c>
      <c r="AA18" s="129" t="n">
        <f aca="false">$Z18*'Inputs and Assumptions'!$C$6</f>
        <v>53624097.2664164</v>
      </c>
      <c r="AB18" s="217"/>
      <c r="AC18" s="255" t="n">
        <f aca="false">CHOOSE(gen_choice,'Generation Calculations'!$O17,'Generation Calculations'!$P17)</f>
        <v>0.0562904520497319</v>
      </c>
      <c r="AD18" s="256" t="n">
        <f aca="false">EPS</f>
        <v>0.01</v>
      </c>
      <c r="AE18" s="247" t="n">
        <f aca="false">AG18-SUM(AC18:AD18,AF18)</f>
        <v>0.0400928324321582</v>
      </c>
      <c r="AF18" s="226" t="n">
        <f aca="false">AK18/$D18</f>
        <v>0</v>
      </c>
      <c r="AG18" s="226" t="n">
        <f aca="false">AL18/$D18</f>
        <v>0.10638328448189</v>
      </c>
      <c r="AH18" s="77" t="n">
        <f aca="false">$D18*AE18-(AI18-$D18*AC18)</f>
        <v>79065953.9648786</v>
      </c>
      <c r="AI18" s="248" t="n">
        <f aca="false">CHOOSE(gen_choice,'Generation Calculations'!$M17,'Generation Calculations'!$N17)</f>
        <v>111085860.5458</v>
      </c>
      <c r="AJ18" s="257" t="n">
        <f aca="false">'Revenue Allocation'!$M17</f>
        <v>19728712.8709966</v>
      </c>
      <c r="AK18" s="77" t="n">
        <f aca="false">CHOOSE(gen_choice,'Generation Calculations'!K17,'Generation Calculations'!L17)</f>
        <v>0</v>
      </c>
      <c r="AL18" s="129" t="n">
        <f aca="false">$D18*gen_equal</f>
        <v>209880527.381676</v>
      </c>
      <c r="AM18" s="215"/>
      <c r="AN18" s="255" t="n">
        <f aca="false">CHOOSE(gen_choice,'Generation Calculations'!$O17,'Generation Calculations'!$P17)</f>
        <v>0.0562904520497319</v>
      </c>
      <c r="AO18" s="256" t="n">
        <f aca="false">EPS</f>
        <v>0.01</v>
      </c>
      <c r="AP18" s="247" t="n">
        <f aca="false">AR18-SUM(AN18:AO18,AQ18)</f>
        <v>0.0336033490683589</v>
      </c>
      <c r="AQ18" s="226" t="n">
        <f aca="false">AV18/$D18</f>
        <v>0</v>
      </c>
      <c r="AR18" s="226" t="n">
        <f aca="false">AW18/$D18</f>
        <v>0.0998938011180908</v>
      </c>
      <c r="AS18" s="77" t="n">
        <f aca="false">CHOOSE(gen_choice,$D18*AP18-(AT18-$D18*AN18),AW18+AV18-SUM(AT18:AU18))</f>
        <v>66263038.568328</v>
      </c>
      <c r="AT18" s="129" t="n">
        <f aca="false">$AI18</f>
        <v>111085860.5458</v>
      </c>
      <c r="AU18" s="257" t="n">
        <f aca="false">'Revenue Allocation'!$M17</f>
        <v>19728712.8709966</v>
      </c>
      <c r="AV18" s="129" t="n">
        <f aca="false">$AK18</f>
        <v>0</v>
      </c>
      <c r="AW18" s="129" t="n">
        <f aca="false">$I18*'Inputs and Assumptions'!$C$15</f>
        <v>197077611.985125</v>
      </c>
      <c r="AX18" s="215"/>
      <c r="AY18" s="255" t="n">
        <f aca="false">CHOOSE(gen_choice,'Generation Calculations'!$O17,'Generation Calculations'!$P17)</f>
        <v>0.0562904520497319</v>
      </c>
      <c r="AZ18" s="256" t="n">
        <f aca="false">EPS</f>
        <v>0.01</v>
      </c>
      <c r="BA18" s="247" t="n">
        <f aca="false">BC18-SUM(AY18:AZ18,BB18)</f>
        <v>-0.0396290069881197</v>
      </c>
      <c r="BB18" s="226" t="n">
        <f aca="false">BG18/$D18</f>
        <v>0</v>
      </c>
      <c r="BC18" s="226" t="n">
        <f aca="false">BH18/$D18</f>
        <v>0.0266614450616123</v>
      </c>
      <c r="BD18" s="77" t="n">
        <f aca="false">CHOOSE(gen_choice,$D18*BA18-(BE18-$D18*AY18),BH18+BG18-SUM(BE18:BF18))</f>
        <v>-78214973.9821572</v>
      </c>
      <c r="BE18" s="129" t="n">
        <f aca="false">$AI18</f>
        <v>111085860.5458</v>
      </c>
      <c r="BF18" s="257" t="n">
        <f aca="false">'Revenue Allocation'!$M17</f>
        <v>19728712.8709966</v>
      </c>
      <c r="BG18" s="129" t="n">
        <f aca="false">$AK18</f>
        <v>0</v>
      </c>
      <c r="BH18" s="129" t="n">
        <f aca="false">$M18*'Inputs and Assumptions'!$C$15</f>
        <v>52599599.4346398</v>
      </c>
      <c r="BI18" s="215"/>
      <c r="BJ18" s="255" t="n">
        <f aca="false">CHOOSE(gen_choice,'Generation Calculations'!$O17,'Generation Calculations'!$P17)</f>
        <v>0.0562904520497319</v>
      </c>
      <c r="BK18" s="256" t="n">
        <f aca="false">EPS</f>
        <v>0.01</v>
      </c>
      <c r="BL18" s="247" t="n">
        <f aca="false">BN18-SUM(BJ18:BK18,BM18)</f>
        <v>0.0333655093958682</v>
      </c>
      <c r="BM18" s="226" t="n">
        <f aca="false">BR18/$D18</f>
        <v>0</v>
      </c>
      <c r="BN18" s="226" t="n">
        <f aca="false">BS18/$D18</f>
        <v>0.0996559614456001</v>
      </c>
      <c r="BO18" s="77" t="n">
        <f aca="false">CHOOSE(gen_choice,$D18*BL18-(BP18-$D18*BJ18),BS18+BR18-SUM(BP18:BQ18))</f>
        <v>65793811.5075379</v>
      </c>
      <c r="BP18" s="129" t="n">
        <f aca="false">$AI18</f>
        <v>111085860.5458</v>
      </c>
      <c r="BQ18" s="257" t="n">
        <f aca="false">'Revenue Allocation'!$M17</f>
        <v>19728712.8709966</v>
      </c>
      <c r="BR18" s="129" t="n">
        <f aca="false">$AK18</f>
        <v>0</v>
      </c>
      <c r="BS18" s="129" t="n">
        <f aca="false">D18*s_equal_gen</f>
        <v>196608384.924335</v>
      </c>
      <c r="BT18" s="215"/>
      <c r="BU18" s="255" t="n">
        <f aca="false">CHOOSE(gen_choice,'Generation Calculations'!$O17,'Generation Calculations'!$P17)</f>
        <v>0.0562904520497319</v>
      </c>
      <c r="BV18" s="256" t="n">
        <f aca="false">EPS</f>
        <v>0.01</v>
      </c>
      <c r="BW18" s="247" t="n">
        <f aca="false">BY18-SUM(BU18:BV18,BX18)</f>
        <v>0.0210695309497282</v>
      </c>
      <c r="BX18" s="226" t="n">
        <f aca="false">CC18/$D18</f>
        <v>0</v>
      </c>
      <c r="BY18" s="226" t="n">
        <f aca="false">CD18/$D18</f>
        <v>0.0873599829994601</v>
      </c>
      <c r="BZ18" s="77" t="n">
        <f aca="false">CHOOSE(gen_choice,$D18*BW18-(CA18-$D18*BU18),CD18+CC18-SUM(CA18:CB18))</f>
        <v>41535428.684352</v>
      </c>
      <c r="CA18" s="129" t="n">
        <f aca="false">$AI18</f>
        <v>111085860.5458</v>
      </c>
      <c r="CB18" s="257" t="n">
        <f aca="false">'Revenue Allocation'!$M17</f>
        <v>19728712.8709966</v>
      </c>
      <c r="CC18" s="129" t="n">
        <f aca="false">$AK18</f>
        <v>0</v>
      </c>
      <c r="CD18" s="129" t="n">
        <f aca="false">$Z18*'Inputs and Assumptions'!$C$15</f>
        <v>172350002.101149</v>
      </c>
    </row>
    <row r="19" customFormat="false" ht="12.75" hidden="false" customHeight="false" outlineLevel="0" collapsed="false">
      <c r="A19" s="94" t="s">
        <v>303</v>
      </c>
      <c r="B19" s="82" t="s">
        <v>231</v>
      </c>
      <c r="C19" s="82" t="n">
        <v>1</v>
      </c>
      <c r="D19" s="170" t="n">
        <v>1323696</v>
      </c>
      <c r="E19" s="77" t="n">
        <f aca="false">surcharge_1*D19</f>
        <v>50656.2892077289</v>
      </c>
      <c r="F19" s="215"/>
      <c r="G19" s="242" t="n">
        <f aca="false">G17</f>
        <v>0.04167</v>
      </c>
      <c r="H19" s="13" t="n">
        <f aca="false">G19*D19</f>
        <v>55158.41232</v>
      </c>
      <c r="I19" s="88" t="n">
        <f aca="false">H19/$H$127</f>
        <v>1.75469837236281E-005</v>
      </c>
      <c r="J19" s="77" t="n">
        <f aca="false">I19*$E$129</f>
        <v>43160.8269702161</v>
      </c>
      <c r="K19" s="215"/>
      <c r="L19" s="243" t="n">
        <v>125830.54176</v>
      </c>
      <c r="M19" s="88" t="n">
        <f aca="false">L19/$L$127</f>
        <v>1.80225260518607E-005</v>
      </c>
      <c r="N19" s="77" t="n">
        <f aca="false">M19*$E$129</f>
        <v>44330.5322864763</v>
      </c>
      <c r="O19" s="215"/>
      <c r="P19" s="244" t="n">
        <f aca="false">S_Equal</f>
        <v>0.0385694346851059</v>
      </c>
      <c r="Q19" s="13" t="n">
        <f aca="false">P19*D19</f>
        <v>51054.2064149359</v>
      </c>
      <c r="R19" s="215"/>
      <c r="S19" s="211" t="n">
        <f aca="false">$D19/($D$17+$D$19)</f>
        <v>0.0002242364724281</v>
      </c>
      <c r="T19" s="245" t="n">
        <v>143352671.449199</v>
      </c>
      <c r="U19" s="212" t="n">
        <f aca="false">$S19*T19</f>
        <v>32144.8973589127</v>
      </c>
      <c r="V19" s="88" t="n">
        <f aca="false">U19/$U$127</f>
        <v>1.99050418696734E-005</v>
      </c>
      <c r="W19" s="245" t="n">
        <v>133215452.221618</v>
      </c>
      <c r="X19" s="212" t="n">
        <f aca="false">$S19*W19</f>
        <v>29871.7630790896</v>
      </c>
      <c r="Y19" s="88" t="n">
        <f aca="false">X19/$X$127</f>
        <v>1.97063984423826E-005</v>
      </c>
      <c r="Z19" s="88" t="n">
        <f aca="false">AVERAGE(V19,Y19)</f>
        <v>1.9805720156028E-005</v>
      </c>
      <c r="AA19" s="129" t="n">
        <f aca="false">$Z19*'Inputs and Assumptions'!$C$6</f>
        <v>48716.7067650356</v>
      </c>
      <c r="AB19" s="217"/>
      <c r="AC19" s="19" t="n">
        <f aca="false">CHOOSE(gen_choice,'Generation Calculations'!$O19,'Generation Calculations'!$P19)</f>
        <v>0.04263403080835</v>
      </c>
      <c r="AD19" s="249" t="n">
        <f aca="false">EPS</f>
        <v>0.01</v>
      </c>
      <c r="AE19" s="226" t="n">
        <f aca="false">AG19-SUM(AC19:AD19,AF19)</f>
        <v>0.0537492536735401</v>
      </c>
      <c r="AF19" s="226" t="n">
        <f aca="false">AK19/$D19</f>
        <v>0</v>
      </c>
      <c r="AG19" s="226" t="n">
        <f aca="false">AL19/$D19</f>
        <v>0.10638328448189</v>
      </c>
      <c r="AH19" s="77" t="n">
        <f aca="false">$D19*AE19</f>
        <v>71147.6720906504</v>
      </c>
      <c r="AI19" s="258" t="n">
        <f aca="false">CHOOSE(gen_choice,'Generation Calculations'!$M19,'Generation Calculations'!$N19)</f>
        <v>56434.4960448897</v>
      </c>
      <c r="AJ19" s="77" t="n">
        <f aca="false">$D19*AD19</f>
        <v>13236.96</v>
      </c>
      <c r="AK19" s="77" t="n">
        <f aca="false">CHOOSE(gen_choice,'Generation Calculations'!K19,'Generation Calculations'!L19)</f>
        <v>0</v>
      </c>
      <c r="AL19" s="77" t="n">
        <f aca="false">$D19*gen_equal</f>
        <v>140819.12813554</v>
      </c>
      <c r="AM19" s="215"/>
      <c r="AN19" s="19" t="n">
        <f aca="false">CHOOSE(gen_choice,'Generation Calculations'!$O19,'Generation Calculations'!$P19)</f>
        <v>0.04263403080835</v>
      </c>
      <c r="AO19" s="249" t="n">
        <f aca="false">EPS</f>
        <v>0.01</v>
      </c>
      <c r="AP19" s="226" t="n">
        <f aca="false">AR19-SUM(AN19:AO19,AQ19)</f>
        <v>0.0521639221773208</v>
      </c>
      <c r="AQ19" s="226" t="n">
        <f aca="false">AV19/$D19</f>
        <v>0</v>
      </c>
      <c r="AR19" s="226" t="n">
        <f aca="false">AW19/$D19</f>
        <v>0.104797952985671</v>
      </c>
      <c r="AS19" s="77" t="n">
        <f aca="false">CHOOSE(gen_choice,$D19*AP19-(AT19-$D19*AN19),AW19+AV19-SUM(AT19:AU19))</f>
        <v>69049.1751304308</v>
      </c>
      <c r="AT19" s="129" t="n">
        <f aca="false">$AI19</f>
        <v>56434.4960448897</v>
      </c>
      <c r="AU19" s="77" t="n">
        <f aca="false">$D19*AO19</f>
        <v>13236.96</v>
      </c>
      <c r="AV19" s="129" t="n">
        <f aca="false">$AK19</f>
        <v>0</v>
      </c>
      <c r="AW19" s="77" t="n">
        <f aca="false">$I19*'Inputs and Assumptions'!$C$15</f>
        <v>138720.631175321</v>
      </c>
      <c r="AX19" s="215"/>
      <c r="AY19" s="19" t="n">
        <f aca="false">CHOOSE(gen_choice,'Generation Calculations'!$O19,'Generation Calculations'!$P19)</f>
        <v>0.04263403080835</v>
      </c>
      <c r="AZ19" s="249" t="n">
        <f aca="false">EPS</f>
        <v>0.01</v>
      </c>
      <c r="BA19" s="226" t="n">
        <f aca="false">BC19-SUM(AY19:AZ19,BB19)</f>
        <v>0.0550040605932302</v>
      </c>
      <c r="BB19" s="226" t="n">
        <f aca="false">BG19/$D19</f>
        <v>0</v>
      </c>
      <c r="BC19" s="226" t="n">
        <f aca="false">BH19/$D19</f>
        <v>0.10763809140158</v>
      </c>
      <c r="BD19" s="77" t="n">
        <f aca="false">CHOOSE(gen_choice,$D19*BA19-(BE19-$D19*AY19),BH19+BG19-SUM(BE19:BF19))</f>
        <v>72808.6549910165</v>
      </c>
      <c r="BE19" s="129" t="n">
        <f aca="false">$AI19</f>
        <v>56434.4960448897</v>
      </c>
      <c r="BF19" s="77" t="n">
        <f aca="false">$D19*AZ19</f>
        <v>13236.96</v>
      </c>
      <c r="BG19" s="129" t="n">
        <f aca="false">$AK19</f>
        <v>0</v>
      </c>
      <c r="BH19" s="77" t="n">
        <f aca="false">$M19*'Inputs and Assumptions'!$C$15</f>
        <v>142480.111035906</v>
      </c>
      <c r="BI19" s="215"/>
      <c r="BJ19" s="19" t="n">
        <f aca="false">CHOOSE(gen_choice,'Generation Calculations'!$O19,'Generation Calculations'!$P19)</f>
        <v>0.04263403080835</v>
      </c>
      <c r="BK19" s="249" t="n">
        <f aca="false">EPS</f>
        <v>0.01</v>
      </c>
      <c r="BL19" s="226" t="n">
        <f aca="false">BN19-SUM(BJ19:BK19,BM19)</f>
        <v>0.0470219306372501</v>
      </c>
      <c r="BM19" s="226" t="n">
        <f aca="false">BR19/$D19</f>
        <v>0</v>
      </c>
      <c r="BN19" s="226" t="n">
        <f aca="false">BS19/$D19</f>
        <v>0.0996559614456001</v>
      </c>
      <c r="BO19" s="77" t="n">
        <f aca="false">CHOOSE(gen_choice,$D19*BL19-(BP19-$D19*BJ19),BS19+BR19-SUM(BP19:BQ19))</f>
        <v>62242.7414968054</v>
      </c>
      <c r="BP19" s="129" t="n">
        <f aca="false">$AI19</f>
        <v>56434.4960448897</v>
      </c>
      <c r="BQ19" s="77" t="n">
        <f aca="false">$D19*BK19</f>
        <v>13236.96</v>
      </c>
      <c r="BR19" s="129" t="n">
        <f aca="false">$AK19</f>
        <v>0</v>
      </c>
      <c r="BS19" s="77" t="n">
        <f aca="false">D19*s_equal_gen</f>
        <v>131914.197541695</v>
      </c>
      <c r="BT19" s="215"/>
      <c r="BU19" s="19" t="n">
        <f aca="false">CHOOSE(gen_choice,'Generation Calculations'!$O19,'Generation Calculations'!$P19)</f>
        <v>0.04263403080835</v>
      </c>
      <c r="BV19" s="249" t="n">
        <f aca="false">EPS</f>
        <v>0.01</v>
      </c>
      <c r="BW19" s="226" t="n">
        <f aca="false">BY19-SUM(BU19:BV19,BX19)</f>
        <v>0.065654044364584</v>
      </c>
      <c r="BX19" s="226" t="n">
        <f aca="false">CC19/$D19</f>
        <v>0</v>
      </c>
      <c r="BY19" s="226" t="n">
        <f aca="false">CD19/$D19</f>
        <v>0.118288075172934</v>
      </c>
      <c r="BZ19" s="77" t="n">
        <f aca="false">CHOOSE(gen_choice,$D19*BW19-(CA19-$D19*BU19),CD19+CC19-SUM(CA19:CB19))</f>
        <v>86905.9959092223</v>
      </c>
      <c r="CA19" s="129" t="n">
        <f aca="false">$AI19</f>
        <v>56434.4960448897</v>
      </c>
      <c r="CB19" s="77" t="n">
        <f aca="false">$D19*BV19</f>
        <v>13236.96</v>
      </c>
      <c r="CC19" s="129" t="n">
        <f aca="false">$AK19</f>
        <v>0</v>
      </c>
      <c r="CD19" s="77" t="n">
        <f aca="false">$Z19*'Inputs and Assumptions'!$C$15</f>
        <v>156577.451954112</v>
      </c>
    </row>
    <row r="20" customFormat="false" ht="12.75" hidden="false" customHeight="false" outlineLevel="0" collapsed="false">
      <c r="A20" s="94" t="s">
        <v>304</v>
      </c>
      <c r="B20" s="82" t="s">
        <v>231</v>
      </c>
      <c r="C20" s="82" t="n">
        <v>1</v>
      </c>
      <c r="D20" s="177" t="n">
        <f aca="false">'Test Year 2001 Sales and Revs.'!F20</f>
        <v>121334130.460343</v>
      </c>
      <c r="E20" s="231" t="n">
        <f aca="false">surcharge_1*D20</f>
        <v>4643314.479584</v>
      </c>
      <c r="F20" s="228"/>
      <c r="G20" s="250" t="n">
        <f aca="false">0.03769</f>
        <v>0.03769</v>
      </c>
      <c r="H20" s="229" t="n">
        <f aca="false">G20*D20</f>
        <v>4573083.37705031</v>
      </c>
      <c r="I20" s="91" t="n">
        <f aca="false">H20/$H$127</f>
        <v>0.00145478842136289</v>
      </c>
      <c r="J20" s="231" t="n">
        <f aca="false">I20*$E$129</f>
        <v>3578385.45482703</v>
      </c>
      <c r="K20" s="228"/>
      <c r="L20" s="251" t="n">
        <v>9468915.54112514</v>
      </c>
      <c r="M20" s="91" t="n">
        <f aca="false">L20/$L$127</f>
        <v>0.00135621904376991</v>
      </c>
      <c r="N20" s="231" t="n">
        <f aca="false">M20*$E$129</f>
        <v>3335931.48565146</v>
      </c>
      <c r="O20" s="228"/>
      <c r="P20" s="244" t="n">
        <f aca="false">S_Equal</f>
        <v>0.0385694346851059</v>
      </c>
      <c r="Q20" s="229" t="n">
        <f aca="false">P20*D20</f>
        <v>4679788.8198643</v>
      </c>
      <c r="R20" s="228"/>
      <c r="S20" s="211" t="n">
        <f aca="false">$S$11</f>
        <v>1</v>
      </c>
      <c r="T20" s="245" t="n">
        <v>1329128.65525811</v>
      </c>
      <c r="U20" s="70" t="n">
        <f aca="false">$S20*T20</f>
        <v>1329128.65525811</v>
      </c>
      <c r="V20" s="91" t="n">
        <f aca="false">U20/$U$127</f>
        <v>0.000823034562459406</v>
      </c>
      <c r="W20" s="245" t="n">
        <v>1317094.08261086</v>
      </c>
      <c r="X20" s="70" t="n">
        <f aca="false">$S20*W20</f>
        <v>1317094.08261086</v>
      </c>
      <c r="Y20" s="91" t="n">
        <f aca="false">X20/$X$127</f>
        <v>0.000868886804883732</v>
      </c>
      <c r="Z20" s="91" t="n">
        <f aca="false">AVERAGE(V20,Y20)</f>
        <v>0.000845960683671569</v>
      </c>
      <c r="AA20" s="232" t="n">
        <f aca="false">$Z20*'Inputs and Assumptions'!$C$6</f>
        <v>2080834.13460902</v>
      </c>
      <c r="AB20" s="237"/>
      <c r="AC20" s="252" t="n">
        <f aca="false">CHOOSE(gen_choice,'Generation Calculations'!$O20,'Generation Calculations'!$P20)</f>
        <v>0.0504546443250211</v>
      </c>
      <c r="AD20" s="259" t="n">
        <f aca="false">EPS</f>
        <v>0.01</v>
      </c>
      <c r="AE20" s="253" t="n">
        <f aca="false">AG20-SUM(AC20:AD20,AF20)</f>
        <v>0.045928640156869</v>
      </c>
      <c r="AF20" s="253" t="n">
        <f aca="false">AK20/$D20</f>
        <v>0</v>
      </c>
      <c r="AG20" s="253" t="n">
        <f aca="false">AL20/$D20</f>
        <v>0.10638328448189</v>
      </c>
      <c r="AH20" s="231" t="n">
        <f aca="false">$D20*AE20</f>
        <v>5572711.61665968</v>
      </c>
      <c r="AI20" s="260" t="n">
        <f aca="false">CHOOSE(gen_choice,'Generation Calculations'!$M20,'Generation Calculations'!$N20)</f>
        <v>6121870.39686229</v>
      </c>
      <c r="AJ20" s="231" t="n">
        <f aca="false">$D20*AD20</f>
        <v>1213341.30460343</v>
      </c>
      <c r="AK20" s="231" t="n">
        <f aca="false">CHOOSE(gen_choice,'Generation Calculations'!K20,'Generation Calculations'!L20)</f>
        <v>0</v>
      </c>
      <c r="AL20" s="231" t="n">
        <f aca="false">$D20*gen_equal</f>
        <v>12907923.3181254</v>
      </c>
      <c r="AM20" s="228"/>
      <c r="AN20" s="252" t="n">
        <f aca="false">CHOOSE(gen_choice,'Generation Calculations'!$O20,'Generation Calculations'!$P20)</f>
        <v>0.0504546443250211</v>
      </c>
      <c r="AO20" s="259" t="n">
        <f aca="false">EPS</f>
        <v>0.01</v>
      </c>
      <c r="AP20" s="253" t="n">
        <f aca="false">AR20-SUM(AN20:AO20,AQ20)</f>
        <v>0.0343338089514352</v>
      </c>
      <c r="AQ20" s="253" t="n">
        <f aca="false">AV20/$D20</f>
        <v>0</v>
      </c>
      <c r="AR20" s="253" t="n">
        <f aca="false">AW20/$D20</f>
        <v>0.0947884532764563</v>
      </c>
      <c r="AS20" s="231" t="n">
        <f aca="false">CHOOSE(gen_choice,$D20*AP20-(AT20-$D20*AN20),AW20+AV20-SUM(AT20:AU20))</f>
        <v>4165862.85451392</v>
      </c>
      <c r="AT20" s="232" t="n">
        <f aca="false">$AI20</f>
        <v>6121870.39686229</v>
      </c>
      <c r="AU20" s="231" t="n">
        <f aca="false">$D20*AO20</f>
        <v>1213341.30460343</v>
      </c>
      <c r="AV20" s="232" t="n">
        <f aca="false">$AK20</f>
        <v>0</v>
      </c>
      <c r="AW20" s="231" t="n">
        <f aca="false">$I20*'Inputs and Assumptions'!$C$15</f>
        <v>11501074.5559796</v>
      </c>
      <c r="AX20" s="228"/>
      <c r="AY20" s="252" t="n">
        <f aca="false">CHOOSE(gen_choice,'Generation Calculations'!$O20,'Generation Calculations'!$P20)</f>
        <v>0.0504546443250211</v>
      </c>
      <c r="AZ20" s="259" t="n">
        <f aca="false">EPS</f>
        <v>0.01</v>
      </c>
      <c r="BA20" s="253" t="n">
        <f aca="false">BC20-SUM(AY20:AZ20,BB20)</f>
        <v>0.0279114050435811</v>
      </c>
      <c r="BB20" s="253" t="n">
        <f aca="false">BG20/$D20</f>
        <v>0</v>
      </c>
      <c r="BC20" s="253" t="n">
        <f aca="false">BH20/$D20</f>
        <v>0.0883660493686022</v>
      </c>
      <c r="BD20" s="231" t="n">
        <f aca="false">CHOOSE(gen_choice,$D20*BA20-(BE20-$D20*AY20),BH20+BG20-SUM(BE20:BF20))</f>
        <v>3386606.06088933</v>
      </c>
      <c r="BE20" s="232" t="n">
        <f aca="false">$AI20</f>
        <v>6121870.39686229</v>
      </c>
      <c r="BF20" s="231" t="n">
        <f aca="false">$D20*AZ20</f>
        <v>1213341.30460343</v>
      </c>
      <c r="BG20" s="232" t="n">
        <f aca="false">$AK20</f>
        <v>0</v>
      </c>
      <c r="BH20" s="231" t="n">
        <f aca="false">$M20*'Inputs and Assumptions'!$C$15</f>
        <v>10721817.7623551</v>
      </c>
      <c r="BI20" s="228"/>
      <c r="BJ20" s="252" t="n">
        <f aca="false">CHOOSE(gen_choice,'Generation Calculations'!$O20,'Generation Calculations'!$P20)</f>
        <v>0.0504546443250211</v>
      </c>
      <c r="BK20" s="259" t="n">
        <f aca="false">EPS</f>
        <v>0.01</v>
      </c>
      <c r="BL20" s="253" t="n">
        <f aca="false">BN20-SUM(BJ20:BK20,BM20)</f>
        <v>0.039201317120579</v>
      </c>
      <c r="BM20" s="253" t="n">
        <f aca="false">BR20/$D20</f>
        <v>0</v>
      </c>
      <c r="BN20" s="253" t="n">
        <f aca="false">BS20/$D20</f>
        <v>0.0996559614456001</v>
      </c>
      <c r="BO20" s="231" t="n">
        <f aca="false">CHOOSE(gen_choice,$D20*BL20-(BP20-$D20*BJ20),BS20+BR20-SUM(BP20:BQ20))</f>
        <v>4756457.7257256</v>
      </c>
      <c r="BP20" s="232" t="n">
        <f aca="false">$AI20</f>
        <v>6121870.39686229</v>
      </c>
      <c r="BQ20" s="231" t="n">
        <f aca="false">$D20*BK20</f>
        <v>1213341.30460343</v>
      </c>
      <c r="BR20" s="232" t="n">
        <f aca="false">$AK20</f>
        <v>0</v>
      </c>
      <c r="BS20" s="231" t="n">
        <f aca="false">D20*s_equal_gen</f>
        <v>12091669.4271913</v>
      </c>
      <c r="BT20" s="228"/>
      <c r="BU20" s="252" t="n">
        <f aca="false">CHOOSE(gen_choice,'Generation Calculations'!$O20,'Generation Calculations'!$P20)</f>
        <v>0.0504546443250211</v>
      </c>
      <c r="BV20" s="259" t="n">
        <f aca="false">EPS</f>
        <v>0.01</v>
      </c>
      <c r="BW20" s="253" t="n">
        <f aca="false">BY20-SUM(BU20:BV20,BX20)</f>
        <v>-0.00533507947255988</v>
      </c>
      <c r="BX20" s="253" t="n">
        <f aca="false">CC20/$D20</f>
        <v>0</v>
      </c>
      <c r="BY20" s="253" t="n">
        <f aca="false">CD20/$D20</f>
        <v>0.0551195648524612</v>
      </c>
      <c r="BZ20" s="231" t="n">
        <f aca="false">CHOOSE(gen_choice,$D20*BW20-(CA20-$D20*BU20),CD20+CC20-SUM(CA20:CB20))</f>
        <v>-647327.228739876</v>
      </c>
      <c r="CA20" s="232" t="n">
        <f aca="false">$AI20</f>
        <v>6121870.39686229</v>
      </c>
      <c r="CB20" s="231" t="n">
        <f aca="false">$D20*BV20</f>
        <v>1213341.30460343</v>
      </c>
      <c r="CC20" s="232" t="n">
        <f aca="false">$AK20</f>
        <v>0</v>
      </c>
      <c r="CD20" s="231" t="n">
        <f aca="false">$Z20*'Inputs and Assumptions'!$C$15</f>
        <v>6687884.47272584</v>
      </c>
    </row>
    <row r="21" customFormat="false" ht="12.75" hidden="false" customHeight="false" outlineLevel="0" collapsed="false">
      <c r="A21" s="85" t="s">
        <v>305</v>
      </c>
      <c r="B21" s="79"/>
      <c r="C21" s="79"/>
      <c r="D21" s="159" t="n">
        <f aca="false">SUM(D17:D20)</f>
        <v>7997330746.2214</v>
      </c>
      <c r="E21" s="77" t="n">
        <f aca="false">SUM(E17:E20)</f>
        <v>306048442.520377</v>
      </c>
      <c r="F21" s="215"/>
      <c r="G21" s="242"/>
      <c r="H21" s="13" t="n">
        <f aca="false">SUM(H17:H20)</f>
        <v>328918763.345969</v>
      </c>
      <c r="I21" s="88" t="n">
        <f aca="false">SUM(I17:I20)</f>
        <v>0.104635574957166</v>
      </c>
      <c r="J21" s="77" t="n">
        <f aca="false">SUM(J17:J20)</f>
        <v>257375171.527287</v>
      </c>
      <c r="K21" s="215"/>
      <c r="L21" s="129" t="n">
        <f aca="false">SUM(L17:L20)</f>
        <v>502886631.045563</v>
      </c>
      <c r="M21" s="88" t="n">
        <f aca="false">SUM(M17:M20)</f>
        <v>0.0720277230184527</v>
      </c>
      <c r="N21" s="77" t="n">
        <f aca="false">SUM(N17:N20)</f>
        <v>177168688.318319</v>
      </c>
      <c r="O21" s="215"/>
      <c r="P21" s="244"/>
      <c r="Q21" s="13" t="n">
        <f aca="false">SUM(Q17:Q20)</f>
        <v>308452525.871575</v>
      </c>
      <c r="R21" s="215"/>
      <c r="T21" s="245"/>
      <c r="U21" s="212" t="n">
        <f aca="false">SUM(U17:U20)</f>
        <v>178981963.99101</v>
      </c>
      <c r="V21" s="88" t="n">
        <f aca="false">SUM(V17:V20)</f>
        <v>0.110830762574192</v>
      </c>
      <c r="W21" s="245"/>
      <c r="X21" s="212" t="n">
        <f aca="false">SUM(X17:X20)</f>
        <v>168429753.398061</v>
      </c>
      <c r="Y21" s="88" t="n">
        <f aca="false">SUM(Y17:Y20)</f>
        <v>0.111113087675024</v>
      </c>
      <c r="Z21" s="88" t="n">
        <f aca="false">AVERAGE(V21,Y21)</f>
        <v>0.110971925124608</v>
      </c>
      <c r="AA21" s="129" t="n">
        <f aca="false">SUM(AA17:AA20)</f>
        <v>272960876.598149</v>
      </c>
      <c r="AB21" s="217"/>
      <c r="AC21" s="19" t="n">
        <f aca="false">CHOOSE(gen_choice,'Generation Calculations'!$O22,'Generation Calculations'!$P22)</f>
        <v>0.061454774299596</v>
      </c>
      <c r="AD21" s="17" t="n">
        <f aca="false">$AD$17</f>
        <v>0.01</v>
      </c>
      <c r="AE21" s="226" t="n">
        <f aca="false">AH21/$D21</f>
        <v>0.0348888742222154</v>
      </c>
      <c r="AF21" s="226" t="n">
        <f aca="false">AK21/$D21</f>
        <v>0</v>
      </c>
      <c r="AG21" s="226" t="n">
        <f aca="false">AL21/$D21</f>
        <v>0.10638328448189</v>
      </c>
      <c r="AH21" s="77" t="n">
        <f aca="false">AL21+AK21-SUM(AI21:AJ21)</f>
        <v>279017866.518374</v>
      </c>
      <c r="AI21" s="77" t="n">
        <f aca="false">SUM(AI17:AI20)</f>
        <v>491791137.890449</v>
      </c>
      <c r="AJ21" s="77" t="n">
        <f aca="false">SUM(AJ17:AJ20)</f>
        <v>79973307.462214</v>
      </c>
      <c r="AK21" s="77" t="n">
        <f aca="false">SUM(AK17:AK20)</f>
        <v>0</v>
      </c>
      <c r="AL21" s="77" t="n">
        <f aca="false">SUM(AL17:AL20)</f>
        <v>850782311.871037</v>
      </c>
      <c r="AM21" s="215"/>
      <c r="AN21" s="19" t="n">
        <f aca="false">CHOOSE(gen_choice,'Generation Calculations'!$O22,'Generation Calculations'!$P22)</f>
        <v>0.061454774299596</v>
      </c>
      <c r="AO21" s="17" t="n">
        <f aca="false">$AD$17</f>
        <v>0.01</v>
      </c>
      <c r="AP21" s="226" t="n">
        <f aca="false">AS21/$D21</f>
        <v>0.0319418691006017</v>
      </c>
      <c r="AQ21" s="226" t="n">
        <f aca="false">AV21/$D21</f>
        <v>0</v>
      </c>
      <c r="AR21" s="226" t="n">
        <f aca="false">AW21/$D21</f>
        <v>0.103436279360276</v>
      </c>
      <c r="AS21" s="77" t="n">
        <f aca="false">SUM(AS17:AS20)</f>
        <v>255449691.850021</v>
      </c>
      <c r="AT21" s="77" t="n">
        <f aca="false">SUM(AT17:AT20)</f>
        <v>491791137.890449</v>
      </c>
      <c r="AU21" s="77" t="n">
        <f aca="false">SUM(AU17:AU20)</f>
        <v>79973307.462214</v>
      </c>
      <c r="AV21" s="77" t="n">
        <f aca="false">SUM(AV17:AV20)</f>
        <v>0</v>
      </c>
      <c r="AW21" s="77" t="n">
        <f aca="false">SUM(AW17:AW20)</f>
        <v>827214137.202684</v>
      </c>
      <c r="AX21" s="215"/>
      <c r="AY21" s="19" t="n">
        <f aca="false">CHOOSE(gen_choice,'Generation Calculations'!$O22,'Generation Calculations'!$P22)</f>
        <v>0.061454774299596</v>
      </c>
      <c r="AZ21" s="17" t="n">
        <f aca="false">$AD$17</f>
        <v>0.01</v>
      </c>
      <c r="BA21" s="226" t="n">
        <f aca="false">BD21/$D21</f>
        <v>-0.000292243282801134</v>
      </c>
      <c r="BB21" s="226" t="n">
        <f aca="false">BG21/$D21</f>
        <v>0</v>
      </c>
      <c r="BC21" s="226" t="n">
        <f aca="false">BH21/$D21</f>
        <v>0.0712021669768736</v>
      </c>
      <c r="BD21" s="77" t="n">
        <f aca="false">SUM(BD17:BD20)</f>
        <v>-2337166.19092218</v>
      </c>
      <c r="BE21" s="77" t="n">
        <f aca="false">SUM(BE17:BE20)</f>
        <v>491791137.890449</v>
      </c>
      <c r="BF21" s="77" t="n">
        <f aca="false">SUM(BF17:BF20)</f>
        <v>79973307.462214</v>
      </c>
      <c r="BG21" s="77" t="n">
        <f aca="false">SUM(BG17:BG20)</f>
        <v>0</v>
      </c>
      <c r="BH21" s="77" t="n">
        <f aca="false">SUM(BH17:BH20)</f>
        <v>569427279.161741</v>
      </c>
      <c r="BI21" s="215"/>
      <c r="BJ21" s="19" t="n">
        <f aca="false">CHOOSE(gen_choice,'Generation Calculations'!$O22,'Generation Calculations'!$P22)</f>
        <v>0.061454774299596</v>
      </c>
      <c r="BK21" s="17" t="n">
        <f aca="false">$AD$17</f>
        <v>0.01</v>
      </c>
      <c r="BL21" s="226" t="n">
        <f aca="false">BO21/$D21</f>
        <v>0.0281615511859254</v>
      </c>
      <c r="BM21" s="226" t="n">
        <f aca="false">BR21/$D21</f>
        <v>0</v>
      </c>
      <c r="BN21" s="226" t="n">
        <f aca="false">BS21/$D21</f>
        <v>0.0996559614456001</v>
      </c>
      <c r="BO21" s="77" t="n">
        <f aca="false">SUM(BO17:BO20)</f>
        <v>225217239.160489</v>
      </c>
      <c r="BP21" s="77" t="n">
        <f aca="false">SUM(BP17:BP20)</f>
        <v>491791137.890449</v>
      </c>
      <c r="BQ21" s="77" t="n">
        <f aca="false">SUM(BQ17:BQ20)</f>
        <v>79973307.462214</v>
      </c>
      <c r="BR21" s="77" t="n">
        <f aca="false">SUM(BR17:BR20)</f>
        <v>0</v>
      </c>
      <c r="BS21" s="77" t="n">
        <f aca="false">SUM(BS17:BS20)</f>
        <v>796981684.513152</v>
      </c>
      <c r="BT21" s="215"/>
      <c r="BU21" s="19" t="n">
        <f aca="false">CHOOSE(gen_choice,'Generation Calculations'!$O22,'Generation Calculations'!$P22)</f>
        <v>0.061454774299596</v>
      </c>
      <c r="BV21" s="17" t="n">
        <f aca="false">$AD$17</f>
        <v>0.01</v>
      </c>
      <c r="BW21" s="226" t="n">
        <f aca="false">BZ21/$D21</f>
        <v>0.0382055942850088</v>
      </c>
      <c r="BX21" s="226" t="n">
        <f aca="false">CC21/$D21</f>
        <v>0</v>
      </c>
      <c r="BY21" s="226" t="n">
        <f aca="false">CD21/$D21</f>
        <v>0.109700004544684</v>
      </c>
      <c r="BZ21" s="77" t="n">
        <f aca="false">SUM(BZ17:BZ20)</f>
        <v>305542773.853161</v>
      </c>
      <c r="CA21" s="77" t="n">
        <f aca="false">SUM(CA17:CA20)</f>
        <v>491791137.890449</v>
      </c>
      <c r="CB21" s="77" t="n">
        <f aca="false">SUM(CB17:CB20)</f>
        <v>79973307.462214</v>
      </c>
      <c r="CC21" s="77" t="n">
        <f aca="false">SUM(CC17:CC20)</f>
        <v>0</v>
      </c>
      <c r="CD21" s="77" t="n">
        <f aca="false">SUM(CD17:CD20)</f>
        <v>877307219.205824</v>
      </c>
    </row>
    <row r="22" customFormat="false" ht="12.75" hidden="false" customHeight="false" outlineLevel="0" collapsed="false">
      <c r="A22" s="92"/>
      <c r="B22" s="79"/>
      <c r="C22" s="79"/>
      <c r="D22" s="159"/>
      <c r="E22" s="77"/>
      <c r="F22" s="215"/>
      <c r="G22" s="242"/>
      <c r="H22" s="13"/>
      <c r="I22" s="88"/>
      <c r="J22" s="77"/>
      <c r="K22" s="215"/>
      <c r="L22" s="129"/>
      <c r="M22" s="88"/>
      <c r="N22" s="77"/>
      <c r="O22" s="215"/>
      <c r="P22" s="244"/>
      <c r="Q22" s="13"/>
      <c r="R22" s="215"/>
      <c r="T22" s="245"/>
      <c r="V22" s="88"/>
      <c r="W22" s="245"/>
      <c r="X22" s="212"/>
      <c r="Y22" s="88"/>
      <c r="Z22" s="88"/>
      <c r="AA22" s="129"/>
      <c r="AB22" s="217"/>
      <c r="AC22" s="74"/>
      <c r="AD22" s="19"/>
      <c r="AH22" s="77"/>
      <c r="AJ22" s="77"/>
      <c r="AK22" s="77"/>
      <c r="AL22" s="77"/>
      <c r="AM22" s="215"/>
      <c r="AN22" s="74"/>
      <c r="AO22" s="19"/>
      <c r="AP22" s="0"/>
      <c r="AQ22" s="0"/>
      <c r="AR22" s="0"/>
      <c r="AS22" s="77"/>
      <c r="AT22" s="77"/>
      <c r="AU22" s="77"/>
      <c r="AV22" s="77"/>
      <c r="AW22" s="77"/>
      <c r="AX22" s="215"/>
      <c r="AY22" s="74"/>
      <c r="AZ22" s="19"/>
      <c r="BA22" s="0"/>
      <c r="BB22" s="0"/>
      <c r="BC22" s="0"/>
      <c r="BD22" s="77"/>
      <c r="BE22" s="77"/>
      <c r="BF22" s="77"/>
      <c r="BG22" s="77"/>
      <c r="BH22" s="77"/>
      <c r="BI22" s="215"/>
      <c r="BJ22" s="74"/>
      <c r="BK22" s="19"/>
      <c r="BL22" s="0"/>
      <c r="BM22" s="0"/>
      <c r="BN22" s="0"/>
      <c r="BO22" s="77"/>
      <c r="BP22" s="77"/>
      <c r="BQ22" s="77"/>
      <c r="BR22" s="77"/>
      <c r="BS22" s="77"/>
      <c r="BT22" s="215"/>
      <c r="BU22" s="74"/>
      <c r="BV22" s="19"/>
      <c r="BW22" s="0"/>
      <c r="BX22" s="0"/>
      <c r="BY22" s="0"/>
      <c r="BZ22" s="77"/>
      <c r="CA22" s="77"/>
      <c r="CB22" s="77"/>
      <c r="CC22" s="77"/>
      <c r="CD22" s="77"/>
    </row>
    <row r="23" customFormat="false" ht="12.75" hidden="false" customHeight="false" outlineLevel="0" collapsed="false">
      <c r="A23" s="85" t="s">
        <v>306</v>
      </c>
      <c r="B23" s="79"/>
      <c r="C23" s="79"/>
      <c r="D23" s="159"/>
      <c r="E23" s="77"/>
      <c r="F23" s="215"/>
      <c r="G23" s="242"/>
      <c r="H23" s="13"/>
      <c r="I23" s="88"/>
      <c r="J23" s="77"/>
      <c r="K23" s="215"/>
      <c r="L23" s="129"/>
      <c r="M23" s="88"/>
      <c r="N23" s="77"/>
      <c r="O23" s="215"/>
      <c r="P23" s="244"/>
      <c r="Q23" s="13"/>
      <c r="R23" s="215"/>
      <c r="T23" s="245"/>
      <c r="V23" s="88"/>
      <c r="W23" s="245"/>
      <c r="X23" s="212"/>
      <c r="Y23" s="88"/>
      <c r="Z23" s="88"/>
      <c r="AA23" s="129"/>
      <c r="AB23" s="217"/>
      <c r="AC23" s="74"/>
      <c r="AD23" s="19"/>
      <c r="AH23" s="77"/>
      <c r="AJ23" s="77"/>
      <c r="AK23" s="77"/>
      <c r="AL23" s="77"/>
      <c r="AM23" s="215"/>
      <c r="AN23" s="74"/>
      <c r="AO23" s="19"/>
      <c r="AP23" s="0"/>
      <c r="AQ23" s="0"/>
      <c r="AR23" s="0"/>
      <c r="AS23" s="77"/>
      <c r="AT23" s="77"/>
      <c r="AU23" s="77"/>
      <c r="AV23" s="77"/>
      <c r="AW23" s="77"/>
      <c r="AX23" s="215"/>
      <c r="AY23" s="74"/>
      <c r="AZ23" s="19"/>
      <c r="BA23" s="0"/>
      <c r="BB23" s="0"/>
      <c r="BC23" s="0"/>
      <c r="BD23" s="77"/>
      <c r="BE23" s="77"/>
      <c r="BF23" s="77"/>
      <c r="BG23" s="77"/>
      <c r="BH23" s="77"/>
      <c r="BI23" s="215"/>
      <c r="BJ23" s="74"/>
      <c r="BK23" s="19"/>
      <c r="BL23" s="0"/>
      <c r="BM23" s="0"/>
      <c r="BN23" s="0"/>
      <c r="BO23" s="77"/>
      <c r="BP23" s="77"/>
      <c r="BQ23" s="77"/>
      <c r="BR23" s="77"/>
      <c r="BS23" s="77"/>
      <c r="BT23" s="215"/>
      <c r="BU23" s="74"/>
      <c r="BV23" s="19"/>
      <c r="BW23" s="0"/>
      <c r="BX23" s="0"/>
      <c r="BY23" s="0"/>
      <c r="BZ23" s="77"/>
      <c r="CA23" s="77"/>
      <c r="CB23" s="77"/>
      <c r="CC23" s="77"/>
      <c r="CD23" s="77"/>
    </row>
    <row r="24" customFormat="false" ht="12.75" hidden="false" customHeight="false" outlineLevel="0" collapsed="false">
      <c r="A24" s="94" t="s">
        <v>307</v>
      </c>
      <c r="B24" s="82" t="s">
        <v>234</v>
      </c>
      <c r="C24" s="82" t="n">
        <v>2</v>
      </c>
      <c r="D24" s="170" t="n">
        <f aca="false">'Test Year 2001 Sales and Revs.'!J25+'Test Year 2001 Sales and Revs.'!J26</f>
        <v>90647376</v>
      </c>
      <c r="E24" s="77" t="n">
        <f aca="false">surcharge_1*D24</f>
        <v>3468968.47507112</v>
      </c>
      <c r="F24" s="215"/>
      <c r="G24" s="242" t="n">
        <f aca="false">0.03781</f>
        <v>0.03781</v>
      </c>
      <c r="H24" s="13" t="n">
        <f aca="false">G24*D24</f>
        <v>3427377.28656</v>
      </c>
      <c r="I24" s="88" t="n">
        <f aca="false">H24/$H$127</f>
        <v>0.00109031661595152</v>
      </c>
      <c r="J24" s="77" t="n">
        <f aca="false">I24*$E$129</f>
        <v>2681883.53879118</v>
      </c>
      <c r="K24" s="215"/>
      <c r="L24" s="243" t="n">
        <v>8063033.21841</v>
      </c>
      <c r="M24" s="88" t="n">
        <f aca="false">L24/$L$127</f>
        <v>0.0011548565571066</v>
      </c>
      <c r="N24" s="77" t="n">
        <f aca="false">M24*$E$129</f>
        <v>2840634.31195749</v>
      </c>
      <c r="O24" s="215"/>
      <c r="P24" s="244" t="n">
        <f aca="false">P_Equal</f>
        <v>0.0376807380333753</v>
      </c>
      <c r="Q24" s="13" t="n">
        <f aca="false">P24*D24</f>
        <v>3415660.02846887</v>
      </c>
      <c r="R24" s="215"/>
      <c r="S24" s="211" t="n">
        <f aca="false">$D24/$D$26</f>
        <v>0.00699952786373313</v>
      </c>
      <c r="T24" s="245" t="n">
        <v>265858160.320532</v>
      </c>
      <c r="U24" s="212" t="n">
        <f aca="false">$S24*T24</f>
        <v>1860881.6009644</v>
      </c>
      <c r="V24" s="88" t="n">
        <f aca="false">U24/$U$127</f>
        <v>0.00115231122899918</v>
      </c>
      <c r="W24" s="245" t="n">
        <v>256687060.549238</v>
      </c>
      <c r="X24" s="212" t="n">
        <f aca="false">$S24*W24</f>
        <v>1796688.23257415</v>
      </c>
      <c r="Y24" s="88" t="n">
        <f aca="false">X24/$X$127</f>
        <v>0.00118527500683851</v>
      </c>
      <c r="Z24" s="88" t="n">
        <f aca="false">AVERAGE(V24,Y24)</f>
        <v>0.00116879311791884</v>
      </c>
      <c r="AA24" s="129" t="n">
        <f aca="false">$Z24*'Inputs and Assumptions'!$C$6</f>
        <v>2874914.47652885</v>
      </c>
      <c r="AB24" s="217"/>
      <c r="AC24" s="255" t="n">
        <f aca="false">CHOOSE(gen_choice,'Generation Calculations'!$O26,'Generation Calculations'!$P26)</f>
        <v>0.0645505141978763</v>
      </c>
      <c r="AD24" s="256" t="n">
        <f aca="false">EPS</f>
        <v>0.01</v>
      </c>
      <c r="AE24" s="247" t="n">
        <f aca="false">AG24-SUM(AC24:AD24,AF24)</f>
        <v>0.0317847501548376</v>
      </c>
      <c r="AF24" s="226" t="n">
        <f aca="false">AK24/$D24*-1</f>
        <v>4.80201291762499E-005</v>
      </c>
      <c r="AG24" s="226" t="n">
        <f aca="false">AL24/$D24</f>
        <v>0.10638328448189</v>
      </c>
      <c r="AH24" s="77" t="n">
        <f aca="false">AL24+AK24-SUM(AI24:AJ24)</f>
        <v>2912895.20874655</v>
      </c>
      <c r="AI24" s="248" t="n">
        <f aca="false">CHOOSE(gen_choice,'Generation Calculations'!$M26,'Generation Calculations'!$N26)</f>
        <v>5819643.7210933</v>
      </c>
      <c r="AJ24" s="77" t="n">
        <f aca="false">$D24*AD24</f>
        <v>906473.76</v>
      </c>
      <c r="AK24" s="77" t="n">
        <f aca="false">CHOOSE(gen_choice,'Generation Calculations'!K26,'Generation Calculations'!L26)</f>
        <v>-4352.8987050081</v>
      </c>
      <c r="AL24" s="77" t="n">
        <f aca="false">$D24*gen_equal</f>
        <v>9643365.58854486</v>
      </c>
      <c r="AM24" s="215"/>
      <c r="AN24" s="255" t="n">
        <f aca="false">CHOOSE(gen_choice,'Generation Calculations'!$O26,'Generation Calculations'!$P26)</f>
        <v>0.0645505141978763</v>
      </c>
      <c r="AO24" s="256" t="n">
        <f aca="false">EPS</f>
        <v>0.01</v>
      </c>
      <c r="AP24" s="247" t="n">
        <f aca="false">AR24-SUM(AN24:AO24,AQ24)</f>
        <v>0.0204917129104856</v>
      </c>
      <c r="AQ24" s="226" t="n">
        <f aca="false">AV24/$D24*-1</f>
        <v>4.80201291762499E-005</v>
      </c>
      <c r="AR24" s="226" t="n">
        <f aca="false">AW24/$D24</f>
        <v>0.0950902472375381</v>
      </c>
      <c r="AS24" s="77" t="n">
        <f aca="false">AW24+AV24-SUM(AT24:AU24)</f>
        <v>1889211.01547578</v>
      </c>
      <c r="AT24" s="261" t="n">
        <f aca="false">$AI24</f>
        <v>5819643.7210933</v>
      </c>
      <c r="AU24" s="77" t="n">
        <f aca="false">$D24*AO24</f>
        <v>906473.76</v>
      </c>
      <c r="AV24" s="261" t="n">
        <f aca="false">$AK24</f>
        <v>-4352.8987050081</v>
      </c>
      <c r="AW24" s="77" t="n">
        <f aca="false">$I24*'Inputs and Assumptions'!$C$15</f>
        <v>8619681.39527408</v>
      </c>
      <c r="AX24" s="215"/>
      <c r="AY24" s="255" t="n">
        <f aca="false">CHOOSE(gen_choice,'Generation Calculations'!$O26,'Generation Calculations'!$P26)</f>
        <v>0.0645505141978763</v>
      </c>
      <c r="AZ24" s="256" t="n">
        <f aca="false">EPS</f>
        <v>0.01</v>
      </c>
      <c r="BA24" s="247" t="n">
        <f aca="false">BC24-SUM(AY24:AZ24,BB24)</f>
        <v>0.0261204622768128</v>
      </c>
      <c r="BB24" s="226" t="n">
        <f aca="false">BG24/$D24*-1</f>
        <v>4.80201291762499E-005</v>
      </c>
      <c r="BC24" s="226" t="n">
        <f aca="false">BH24/$D24</f>
        <v>0.100718996603865</v>
      </c>
      <c r="BD24" s="77" t="n">
        <f aca="false">BH24+BG24-SUM(BE24:BF24)</f>
        <v>2399442.375695</v>
      </c>
      <c r="BE24" s="261" t="n">
        <f aca="false">$AI24</f>
        <v>5819643.7210933</v>
      </c>
      <c r="BF24" s="77" t="n">
        <f aca="false">$D24*AZ24</f>
        <v>906473.76</v>
      </c>
      <c r="BG24" s="261" t="n">
        <f aca="false">$AK24</f>
        <v>-4352.8987050081</v>
      </c>
      <c r="BH24" s="77" t="n">
        <f aca="false">$M24*'Inputs and Assumptions'!$C$15</f>
        <v>9129912.7554933</v>
      </c>
      <c r="BI24" s="215"/>
      <c r="BJ24" s="255" t="n">
        <f aca="false">CHOOSE(gen_choice,'Generation Calculations'!$O26,'Generation Calculations'!$P26)</f>
        <v>0.0645505141978763</v>
      </c>
      <c r="BK24" s="256" t="n">
        <f aca="false">EPS</f>
        <v>0.01</v>
      </c>
      <c r="BL24" s="247" t="n">
        <f aca="false">BN24-SUM(BJ24:BK24,BM24)</f>
        <v>0.0227612068087411</v>
      </c>
      <c r="BM24" s="226" t="n">
        <f aca="false">BR24/$D24*-1</f>
        <v>4.80201291762499E-005</v>
      </c>
      <c r="BN24" s="226" t="n">
        <f aca="false">BS24/$D24</f>
        <v>0.0973597411357937</v>
      </c>
      <c r="BO24" s="77" t="n">
        <f aca="false">BS24+BR24-SUM(BP24:BQ24)</f>
        <v>2094934.68220065</v>
      </c>
      <c r="BP24" s="261" t="n">
        <f aca="false">$AI24</f>
        <v>5819643.7210933</v>
      </c>
      <c r="BQ24" s="77" t="n">
        <f aca="false">$D24*BK24</f>
        <v>906473.76</v>
      </c>
      <c r="BR24" s="261" t="n">
        <f aca="false">$AK24</f>
        <v>-4352.8987050081</v>
      </c>
      <c r="BS24" s="77" t="n">
        <f aca="false">D24*P_equal_gen</f>
        <v>8825405.06199896</v>
      </c>
      <c r="BT24" s="215"/>
      <c r="BU24" s="255" t="n">
        <f aca="false">CHOOSE(gen_choice,'Generation Calculations'!$O26,'Generation Calculations'!$P26)</f>
        <v>0.0645505141978763</v>
      </c>
      <c r="BV24" s="256" t="n">
        <f aca="false">EPS</f>
        <v>0.01</v>
      </c>
      <c r="BW24" s="247" t="n">
        <f aca="false">BY24-SUM(BU24:BV24,BX24)</f>
        <v>0.0273359174885268</v>
      </c>
      <c r="BX24" s="226" t="n">
        <f aca="false">CC24/$D24*-1</f>
        <v>4.80201291762499E-005</v>
      </c>
      <c r="BY24" s="226" t="n">
        <f aca="false">CD24/$D24</f>
        <v>0.101934451815579</v>
      </c>
      <c r="BZ24" s="77" t="n">
        <f aca="false">CD24+CC24-SUM(CA24:CB24)</f>
        <v>2509620.2012824</v>
      </c>
      <c r="CA24" s="261" t="n">
        <f aca="false">$AI24</f>
        <v>5819643.7210933</v>
      </c>
      <c r="CB24" s="77" t="n">
        <f aca="false">$D24*BV24</f>
        <v>906473.76</v>
      </c>
      <c r="CC24" s="261" t="n">
        <f aca="false">$AK24</f>
        <v>-4352.8987050081</v>
      </c>
      <c r="CD24" s="77" t="n">
        <f aca="false">$Z24*'Inputs and Assumptions'!$C$15</f>
        <v>9240090.58108071</v>
      </c>
    </row>
    <row r="25" customFormat="false" ht="12.75" hidden="false" customHeight="false" outlineLevel="0" collapsed="false">
      <c r="A25" s="92" t="s">
        <v>307</v>
      </c>
      <c r="B25" s="82" t="s">
        <v>231</v>
      </c>
      <c r="C25" s="82" t="n">
        <v>1</v>
      </c>
      <c r="D25" s="177" t="n">
        <f aca="false">'Test Year 2001 Sales and Revs.'!J27</f>
        <v>12859851252.5824</v>
      </c>
      <c r="E25" s="231" t="n">
        <f aca="false">surcharge_1*D25</f>
        <v>492131383.806544</v>
      </c>
      <c r="F25" s="228"/>
      <c r="G25" s="250" t="n">
        <f aca="false">0.03973</f>
        <v>0.03973</v>
      </c>
      <c r="H25" s="229" t="n">
        <f aca="false">G25*D25</f>
        <v>510921890.265098</v>
      </c>
      <c r="I25" s="91" t="n">
        <f aca="false">H25/$H$127</f>
        <v>0.162534375364468</v>
      </c>
      <c r="J25" s="231" t="n">
        <f aca="false">I25*$E$129</f>
        <v>399790537.354386</v>
      </c>
      <c r="K25" s="228"/>
      <c r="L25" s="251" t="n">
        <v>1203810675.75424</v>
      </c>
      <c r="M25" s="91" t="n">
        <f aca="false">L25/$L$127</f>
        <v>0.172420057657143</v>
      </c>
      <c r="N25" s="231" t="n">
        <f aca="false">M25*$E$129</f>
        <v>424106638.037955</v>
      </c>
      <c r="O25" s="228"/>
      <c r="P25" s="244" t="n">
        <f aca="false">S_Equal</f>
        <v>0.0385694346851059</v>
      </c>
      <c r="Q25" s="229" t="n">
        <f aca="false">P25*D25</f>
        <v>495997192.946653</v>
      </c>
      <c r="R25" s="228"/>
      <c r="S25" s="211" t="n">
        <f aca="false">$D25/$D$26</f>
        <v>0.993000472136267</v>
      </c>
      <c r="T25" s="245" t="n">
        <v>265858160.320532</v>
      </c>
      <c r="U25" s="70" t="n">
        <f aca="false">$S25*T25</f>
        <v>263997278.719568</v>
      </c>
      <c r="V25" s="91" t="n">
        <f aca="false">U25/$U$127</f>
        <v>0.163474682395768</v>
      </c>
      <c r="W25" s="245" t="n">
        <v>256687060.549238</v>
      </c>
      <c r="X25" s="70" t="n">
        <f aca="false">$S25*W25</f>
        <v>254890372.316664</v>
      </c>
      <c r="Y25" s="91" t="n">
        <f aca="false">X25/$X$127</f>
        <v>0.168151147379564</v>
      </c>
      <c r="Z25" s="91" t="n">
        <f aca="false">AVERAGE(V25,Y25)</f>
        <v>0.165812914887666</v>
      </c>
      <c r="AA25" s="232" t="n">
        <f aca="false">$Z25*'Inputs and Assumptions'!$C$6</f>
        <v>407854856.516273</v>
      </c>
      <c r="AB25" s="237"/>
      <c r="AC25" s="262" t="n">
        <f aca="false">CHOOSE(gen_choice,'Generation Calculations'!$O27,'Generation Calculations'!$P27)</f>
        <v>0.0649486313232127</v>
      </c>
      <c r="AD25" s="263" t="n">
        <f aca="false">EPS</f>
        <v>0.01</v>
      </c>
      <c r="AE25" s="264" t="n">
        <f aca="false">AG25-SUM(AC25:AD25,AF25)</f>
        <v>0.0313599303112709</v>
      </c>
      <c r="AF25" s="253" t="n">
        <f aca="false">AK25/$D25*-1</f>
        <v>7.47228474065307E-005</v>
      </c>
      <c r="AG25" s="253" t="n">
        <f aca="false">AL25/$D25</f>
        <v>0.10638328448189</v>
      </c>
      <c r="AH25" s="231" t="n">
        <f aca="false">AL25+AK25-SUM(AI25:AJ25)</f>
        <v>403284039.094294</v>
      </c>
      <c r="AI25" s="254" t="n">
        <f aca="false">CHOOSE(gen_choice,'Generation Calculations'!M27,'Generation Calculations'!N27)</f>
        <v>835229737.875327</v>
      </c>
      <c r="AJ25" s="231" t="n">
        <f aca="false">$D25*AD25</f>
        <v>128598512.525824</v>
      </c>
      <c r="AK25" s="231" t="n">
        <f aca="false">CHOOSE(gen_choice,'Generation Calculations'!K27,'Generation Calculations'!L27)</f>
        <v>-960924.702817396</v>
      </c>
      <c r="AL25" s="231" t="n">
        <f aca="false">$D25*gen_equal</f>
        <v>1368073214.19826</v>
      </c>
      <c r="AM25" s="228"/>
      <c r="AN25" s="262" t="n">
        <f aca="false">CHOOSE(gen_choice,'Generation Calculations'!$O27,'Generation Calculations'!$P27)</f>
        <v>0.0649486313232127</v>
      </c>
      <c r="AO25" s="263" t="n">
        <f aca="false">EPS</f>
        <v>0.01</v>
      </c>
      <c r="AP25" s="264" t="n">
        <f aca="false">AR25-SUM(AN25:AO25,AQ25)</f>
        <v>0.0248955964442285</v>
      </c>
      <c r="AQ25" s="253" t="n">
        <f aca="false">AV25/$D25*-1</f>
        <v>7.47228474065307E-005</v>
      </c>
      <c r="AR25" s="253" t="n">
        <f aca="false">AW25/$D25</f>
        <v>0.0999189506148476</v>
      </c>
      <c r="AS25" s="231" t="n">
        <f aca="false">AW25+AV25-SUM(AT25:AU25)</f>
        <v>320153667.117097</v>
      </c>
      <c r="AT25" s="231" t="n">
        <f aca="false">$AI25</f>
        <v>835229737.875327</v>
      </c>
      <c r="AU25" s="231" t="n">
        <f aca="false">$D25*AO25</f>
        <v>128598512.525824</v>
      </c>
      <c r="AV25" s="231" t="n">
        <f aca="false">$AK25</f>
        <v>-960924.702817396</v>
      </c>
      <c r="AW25" s="231" t="n">
        <f aca="false">$I25*'Inputs and Assumptions'!$C$15</f>
        <v>1284942842.22106</v>
      </c>
      <c r="AX25" s="228"/>
      <c r="AY25" s="262" t="n">
        <f aca="false">CHOOSE(gen_choice,'Generation Calculations'!$O27,'Generation Calculations'!$P27)</f>
        <v>0.0649486313232127</v>
      </c>
      <c r="AZ25" s="263" t="n">
        <f aca="false">EPS</f>
        <v>0.01</v>
      </c>
      <c r="BA25" s="264" t="n">
        <f aca="false">BC25-SUM(AY25:AZ25,BB25)</f>
        <v>0.0309728770107602</v>
      </c>
      <c r="BB25" s="253" t="n">
        <f aca="false">BG25/$D25*-1</f>
        <v>7.47228474065307E-005</v>
      </c>
      <c r="BC25" s="253" t="n">
        <f aca="false">BH25/$D25</f>
        <v>0.105996231181379</v>
      </c>
      <c r="BD25" s="231" t="n">
        <f aca="false">BH25+BG25-SUM(BE25:BF25)</f>
        <v>398306591.222905</v>
      </c>
      <c r="BE25" s="231" t="n">
        <f aca="false">$AI25</f>
        <v>835229737.875327</v>
      </c>
      <c r="BF25" s="231" t="n">
        <f aca="false">$D25*AZ25</f>
        <v>128598512.525824</v>
      </c>
      <c r="BG25" s="231" t="n">
        <f aca="false">$AK25</f>
        <v>-960924.702817396</v>
      </c>
      <c r="BH25" s="231" t="n">
        <f aca="false">$M25*'Inputs and Assumptions'!$C$15</f>
        <v>1363095766.32687</v>
      </c>
      <c r="BI25" s="228"/>
      <c r="BJ25" s="262" t="n">
        <f aca="false">CHOOSE(gen_choice,'Generation Calculations'!$O27,'Generation Calculations'!$P27)</f>
        <v>0.0649486313232127</v>
      </c>
      <c r="BK25" s="263" t="n">
        <f aca="false">EPS</f>
        <v>0.01</v>
      </c>
      <c r="BL25" s="264" t="n">
        <f aca="false">BN25-SUM(BJ25:BK25,BM25)</f>
        <v>0.0246326072749809</v>
      </c>
      <c r="BM25" s="253" t="n">
        <f aca="false">BR25/$D25*-1</f>
        <v>7.47228474065307E-005</v>
      </c>
      <c r="BN25" s="253" t="n">
        <f aca="false">BS25/$D25</f>
        <v>0.0996559614456001</v>
      </c>
      <c r="BO25" s="231" t="n">
        <f aca="false">BS25+BR25-SUM(BP25:BQ25)</f>
        <v>316771665.519533</v>
      </c>
      <c r="BP25" s="231" t="n">
        <f aca="false">$AI25</f>
        <v>835229737.875327</v>
      </c>
      <c r="BQ25" s="231" t="n">
        <f aca="false">$D25*BK25</f>
        <v>128598512.525824</v>
      </c>
      <c r="BR25" s="231" t="n">
        <f aca="false">$AK25</f>
        <v>-960924.702817396</v>
      </c>
      <c r="BS25" s="231" t="n">
        <f aca="false">D25*s_equal_gen</f>
        <v>1281560840.6235</v>
      </c>
      <c r="BT25" s="228"/>
      <c r="BU25" s="262" t="n">
        <f aca="false">CHOOSE(gen_choice,'Generation Calculations'!$O27,'Generation Calculations'!$P27)</f>
        <v>0.0649486313232127</v>
      </c>
      <c r="BV25" s="263" t="n">
        <f aca="false">EPS</f>
        <v>0.01</v>
      </c>
      <c r="BW25" s="264" t="n">
        <f aca="false">BY25-SUM(BU25:BV25,BX25)</f>
        <v>0.0269110976449602</v>
      </c>
      <c r="BX25" s="253" t="n">
        <f aca="false">CC25/$D25*-1</f>
        <v>7.47228474065307E-005</v>
      </c>
      <c r="BY25" s="253" t="n">
        <f aca="false">CD25/$D25</f>
        <v>0.101934451815579</v>
      </c>
      <c r="BZ25" s="231" t="n">
        <f aca="false">CD25+CC25-SUM(CA25:CB25)</f>
        <v>346072712.757908</v>
      </c>
      <c r="CA25" s="231" t="n">
        <f aca="false">$AI25</f>
        <v>835229737.875327</v>
      </c>
      <c r="CB25" s="231" t="n">
        <f aca="false">$D25*BV25</f>
        <v>128598512.525824</v>
      </c>
      <c r="CC25" s="231" t="n">
        <f aca="false">$AK25</f>
        <v>-960924.702817396</v>
      </c>
      <c r="CD25" s="231" t="n">
        <f aca="false">$Z25*'Inputs and Assumptions'!$C$15</f>
        <v>1310861887.86188</v>
      </c>
    </row>
    <row r="26" customFormat="false" ht="12.75" hidden="false" customHeight="false" outlineLevel="0" collapsed="false">
      <c r="A26" s="95" t="s">
        <v>308</v>
      </c>
      <c r="B26" s="84"/>
      <c r="C26" s="84"/>
      <c r="D26" s="159" t="n">
        <f aca="false">SUM(D24:D25)</f>
        <v>12950498628.5824</v>
      </c>
      <c r="E26" s="77" t="n">
        <f aca="false">SUM(E24:E25)</f>
        <v>495600352.281615</v>
      </c>
      <c r="F26" s="215"/>
      <c r="G26" s="242"/>
      <c r="H26" s="13" t="n">
        <f aca="false">SUM(H24:H25)</f>
        <v>514349267.551658</v>
      </c>
      <c r="I26" s="88" t="n">
        <f aca="false">SUM(I24:I25)</f>
        <v>0.16362469198042</v>
      </c>
      <c r="J26" s="77" t="n">
        <f aca="false">SUM(J24:J25)</f>
        <v>402472420.893178</v>
      </c>
      <c r="K26" s="215"/>
      <c r="L26" s="129" t="n">
        <f aca="false">SUM(L24:L25)</f>
        <v>1211873708.97265</v>
      </c>
      <c r="M26" s="88" t="n">
        <f aca="false">SUM(M24:M25)</f>
        <v>0.17357491421425</v>
      </c>
      <c r="N26" s="77" t="n">
        <f aca="false">SUM(N24:N25)</f>
        <v>426947272.349912</v>
      </c>
      <c r="O26" s="215"/>
      <c r="P26" s="244"/>
      <c r="Q26" s="13" t="n">
        <f aca="false">SUM(Q24:Q25)</f>
        <v>499412852.975121</v>
      </c>
      <c r="R26" s="215"/>
      <c r="T26" s="245"/>
      <c r="U26" s="212" t="n">
        <f aca="false">SUM(U24:U25)</f>
        <v>265858160.320532</v>
      </c>
      <c r="V26" s="88" t="n">
        <f aca="false">SUM(V24:V25)</f>
        <v>0.164626993624768</v>
      </c>
      <c r="W26" s="245"/>
      <c r="X26" s="212" t="n">
        <f aca="false">SUM(X24:X25)</f>
        <v>256687060.549238</v>
      </c>
      <c r="Y26" s="88" t="n">
        <f aca="false">SUM(Y24:Y25)</f>
        <v>0.169336422386403</v>
      </c>
      <c r="Z26" s="88" t="n">
        <f aca="false">AVERAGE(V26,Y26)</f>
        <v>0.166981708005585</v>
      </c>
      <c r="AA26" s="129" t="n">
        <f aca="false">SUM(AA24:AA25)</f>
        <v>410729770.992802</v>
      </c>
      <c r="AB26" s="217"/>
      <c r="AC26" s="19" t="n">
        <f aca="false">CHOOSE(gen_choice,'Generation Calculations'!$O29,'Generation Calculations'!$P29)</f>
        <v>0.064943397603254</v>
      </c>
      <c r="AD26" s="249" t="n">
        <f aca="false">EPS</f>
        <v>0.01</v>
      </c>
      <c r="AE26" s="226" t="n">
        <f aca="false">AH26/$D26</f>
        <v>0.0313653509376499</v>
      </c>
      <c r="AF26" s="226" t="n">
        <f aca="false">AK26/$D26</f>
        <v>-7.45359409862405E-005</v>
      </c>
      <c r="AG26" s="226" t="n">
        <f aca="false">AL26/$D26</f>
        <v>0.10638328448189</v>
      </c>
      <c r="AH26" s="77" t="n">
        <f aca="false">AL26+AK26-SUM(AI26:AJ26)</f>
        <v>406196934.30304</v>
      </c>
      <c r="AI26" s="77" t="n">
        <f aca="false">SUM(AI24:AI25)</f>
        <v>841049381.59642</v>
      </c>
      <c r="AJ26" s="77" t="n">
        <f aca="false">SUM(AJ24:AJ25)</f>
        <v>129504986.285824</v>
      </c>
      <c r="AK26" s="77" t="n">
        <f aca="false">SUM(AK24:AK25)</f>
        <v>-965277.601522404</v>
      </c>
      <c r="AL26" s="77" t="n">
        <f aca="false">SUM(AL24:AL25)</f>
        <v>1377716579.78681</v>
      </c>
      <c r="AM26" s="215"/>
      <c r="AN26" s="19" t="n">
        <f aca="false">CHOOSE(gen_choice,'Generation Calculations'!$O29,'Generation Calculations'!$P29)</f>
        <v>0.064943397603254</v>
      </c>
      <c r="AO26" s="249" t="n">
        <f aca="false">EPS</f>
        <v>0.01</v>
      </c>
      <c r="AP26" s="226" t="n">
        <f aca="false">AS26/$D26</f>
        <v>0.0248672184267722</v>
      </c>
      <c r="AQ26" s="226" t="n">
        <f aca="false">AV26/$D26</f>
        <v>-7.45359409862405E-005</v>
      </c>
      <c r="AR26" s="226" t="n">
        <f aca="false">AW26/$D26</f>
        <v>0.0998851519710125</v>
      </c>
      <c r="AS26" s="77" t="n">
        <f aca="false">SUM(AS24:AS25)</f>
        <v>322042878.132572</v>
      </c>
      <c r="AT26" s="77" t="n">
        <f aca="false">SUM(AT24:AT25)</f>
        <v>841049381.59642</v>
      </c>
      <c r="AU26" s="77" t="n">
        <f aca="false">SUM(AU24:AU25)</f>
        <v>129504986.285824</v>
      </c>
      <c r="AV26" s="77" t="n">
        <f aca="false">SUM(AV24:AV25)</f>
        <v>-965277.601522404</v>
      </c>
      <c r="AW26" s="77" t="n">
        <f aca="false">SUM(AW24:AW25)</f>
        <v>1293562523.61634</v>
      </c>
      <c r="AX26" s="215"/>
      <c r="AY26" s="19" t="n">
        <f aca="false">CHOOSE(gen_choice,'Generation Calculations'!$O29,'Generation Calculations'!$P29)</f>
        <v>0.064943397603254</v>
      </c>
      <c r="AZ26" s="249" t="n">
        <f aca="false">EPS</f>
        <v>0.01</v>
      </c>
      <c r="BA26" s="226" t="n">
        <f aca="false">BD26/$D26</f>
        <v>0.0309413594866704</v>
      </c>
      <c r="BB26" s="226" t="n">
        <f aca="false">BG26/$D26</f>
        <v>-7.45359409862405E-005</v>
      </c>
      <c r="BC26" s="226" t="n">
        <f aca="false">BH26/$D26</f>
        <v>0.105959293030911</v>
      </c>
      <c r="BD26" s="77" t="n">
        <f aca="false">SUM(BD24:BD25)</f>
        <v>400706033.5986</v>
      </c>
      <c r="BE26" s="77" t="n">
        <f aca="false">SUM(BE24:BE25)</f>
        <v>841049381.59642</v>
      </c>
      <c r="BF26" s="77" t="n">
        <f aca="false">SUM(BF24:BF25)</f>
        <v>129504986.285824</v>
      </c>
      <c r="BG26" s="77" t="n">
        <f aca="false">SUM(BG24:BG25)</f>
        <v>-965277.601522404</v>
      </c>
      <c r="BH26" s="77" t="n">
        <f aca="false">SUM(BH24:BH25)</f>
        <v>1372225679.08237</v>
      </c>
      <c r="BI26" s="215"/>
      <c r="BJ26" s="19" t="n">
        <f aca="false">CHOOSE(gen_choice,'Generation Calculations'!$O29,'Generation Calculations'!$P29)</f>
        <v>0.064943397603254</v>
      </c>
      <c r="BK26" s="249" t="n">
        <f aca="false">EPS</f>
        <v>0.01</v>
      </c>
      <c r="BL26" s="226" t="n">
        <f aca="false">BO26/$D26</f>
        <v>0.0246219554433202</v>
      </c>
      <c r="BM26" s="226" t="n">
        <f aca="false">BR26/$D26</f>
        <v>-7.45359409862405E-005</v>
      </c>
      <c r="BN26" s="226" t="n">
        <f aca="false">BS26/$D26</f>
        <v>0.0996398889875604</v>
      </c>
      <c r="BO26" s="77" t="n">
        <f aca="false">SUM(BO24:BO25)</f>
        <v>318866600.201734</v>
      </c>
      <c r="BP26" s="77" t="n">
        <f aca="false">SUM(BP24:BP25)</f>
        <v>841049381.59642</v>
      </c>
      <c r="BQ26" s="77" t="n">
        <f aca="false">SUM(BQ24:BQ25)</f>
        <v>129504986.285824</v>
      </c>
      <c r="BR26" s="77" t="n">
        <f aca="false">SUM(BR24:BR25)</f>
        <v>-965277.601522404</v>
      </c>
      <c r="BS26" s="77" t="n">
        <f aca="false">SUM(BS24:BS25)</f>
        <v>1290386245.6855</v>
      </c>
      <c r="BT26" s="215"/>
      <c r="BU26" s="19" t="n">
        <f aca="false">CHOOSE(gen_choice,'Generation Calculations'!$O29,'Generation Calculations'!$P29)</f>
        <v>0.064943397603254</v>
      </c>
      <c r="BV26" s="249" t="n">
        <f aca="false">EPS</f>
        <v>0.01</v>
      </c>
      <c r="BW26" s="226" t="n">
        <f aca="false">BZ26/$D26</f>
        <v>0.0269165182713392</v>
      </c>
      <c r="BX26" s="226" t="n">
        <f aca="false">CC26/$D26</f>
        <v>-7.45359409862405E-005</v>
      </c>
      <c r="BY26" s="226" t="n">
        <f aca="false">CD26/$D26</f>
        <v>0.101934451815579</v>
      </c>
      <c r="BZ26" s="77" t="n">
        <f aca="false">SUM(BZ24:BZ25)</f>
        <v>348582332.95919</v>
      </c>
      <c r="CA26" s="77" t="n">
        <f aca="false">SUM(CA24:CA25)</f>
        <v>841049381.59642</v>
      </c>
      <c r="CB26" s="77" t="n">
        <f aca="false">SUM(CB24:CB25)</f>
        <v>129504986.285824</v>
      </c>
      <c r="CC26" s="77" t="n">
        <f aca="false">SUM(CC24:CC25)</f>
        <v>-965277.601522404</v>
      </c>
      <c r="CD26" s="77" t="n">
        <f aca="false">SUM(CD24:CD25)</f>
        <v>1320101978.44296</v>
      </c>
    </row>
    <row r="27" customFormat="false" ht="12.75" hidden="false" customHeight="false" outlineLevel="0" collapsed="false">
      <c r="A27" s="92"/>
      <c r="B27" s="79"/>
      <c r="C27" s="79"/>
      <c r="D27" s="159"/>
      <c r="E27" s="77"/>
      <c r="F27" s="215"/>
      <c r="G27" s="242"/>
      <c r="H27" s="13"/>
      <c r="I27" s="88"/>
      <c r="J27" s="77"/>
      <c r="K27" s="215"/>
      <c r="L27" s="129"/>
      <c r="M27" s="88"/>
      <c r="N27" s="77"/>
      <c r="O27" s="215"/>
      <c r="P27" s="244"/>
      <c r="Q27" s="13"/>
      <c r="R27" s="215"/>
      <c r="T27" s="245"/>
      <c r="V27" s="88"/>
      <c r="W27" s="245"/>
      <c r="X27" s="212"/>
      <c r="Y27" s="88"/>
      <c r="Z27" s="88"/>
      <c r="AA27" s="129"/>
      <c r="AB27" s="217"/>
      <c r="AC27" s="74"/>
      <c r="AD27" s="19"/>
      <c r="AH27" s="77"/>
      <c r="AJ27" s="77"/>
      <c r="AK27" s="77"/>
      <c r="AL27" s="77" t="n">
        <f aca="false">AL26-SUM(AH26:AJ26)+AK26</f>
        <v>4.16766852140427E-008</v>
      </c>
      <c r="AM27" s="215"/>
      <c r="AN27" s="74"/>
      <c r="AO27" s="19"/>
      <c r="AP27" s="0"/>
      <c r="AQ27" s="0"/>
      <c r="AR27" s="0"/>
      <c r="AS27" s="77"/>
      <c r="AT27" s="77"/>
      <c r="AU27" s="77"/>
      <c r="AV27" s="77"/>
      <c r="AW27" s="77"/>
      <c r="AX27" s="215"/>
      <c r="AY27" s="74"/>
      <c r="AZ27" s="19"/>
      <c r="BA27" s="0"/>
      <c r="BB27" s="0"/>
      <c r="BC27" s="0"/>
      <c r="BD27" s="77"/>
      <c r="BE27" s="77"/>
      <c r="BF27" s="77"/>
      <c r="BG27" s="77"/>
      <c r="BH27" s="77"/>
      <c r="BI27" s="215"/>
      <c r="BJ27" s="74"/>
      <c r="BK27" s="19"/>
      <c r="BL27" s="0"/>
      <c r="BM27" s="0"/>
      <c r="BN27" s="0"/>
      <c r="BO27" s="77"/>
      <c r="BP27" s="77"/>
      <c r="BQ27" s="77"/>
      <c r="BR27" s="77"/>
      <c r="BS27" s="77"/>
      <c r="BT27" s="215"/>
      <c r="BU27" s="74"/>
      <c r="BV27" s="19"/>
      <c r="BW27" s="0"/>
      <c r="BX27" s="0"/>
      <c r="BY27" s="0"/>
      <c r="BZ27" s="77"/>
      <c r="CA27" s="77"/>
      <c r="CB27" s="77"/>
      <c r="CC27" s="77"/>
      <c r="CD27" s="77"/>
    </row>
    <row r="28" customFormat="false" ht="12.75" hidden="false" customHeight="false" outlineLevel="0" collapsed="false">
      <c r="A28" s="96" t="s">
        <v>309</v>
      </c>
      <c r="B28" s="79"/>
      <c r="C28" s="79"/>
      <c r="D28" s="159"/>
      <c r="E28" s="77"/>
      <c r="F28" s="215"/>
      <c r="G28" s="242"/>
      <c r="H28" s="13"/>
      <c r="I28" s="88"/>
      <c r="J28" s="77"/>
      <c r="K28" s="215"/>
      <c r="L28" s="129"/>
      <c r="M28" s="88"/>
      <c r="N28" s="77"/>
      <c r="O28" s="215"/>
      <c r="P28" s="244"/>
      <c r="Q28" s="13"/>
      <c r="R28" s="215"/>
      <c r="T28" s="245"/>
      <c r="V28" s="88"/>
      <c r="W28" s="245"/>
      <c r="X28" s="212"/>
      <c r="Y28" s="88"/>
      <c r="Z28" s="88"/>
      <c r="AA28" s="129"/>
      <c r="AB28" s="217"/>
      <c r="AC28" s="74"/>
      <c r="AD28" s="19"/>
      <c r="AH28" s="77"/>
      <c r="AJ28" s="77"/>
      <c r="AK28" s="77"/>
      <c r="AL28" s="77"/>
      <c r="AM28" s="215"/>
      <c r="AN28" s="74"/>
      <c r="AO28" s="19"/>
      <c r="AP28" s="0"/>
      <c r="AQ28" s="0"/>
      <c r="AR28" s="0"/>
      <c r="AS28" s="77"/>
      <c r="AT28" s="77"/>
      <c r="AU28" s="77"/>
      <c r="AV28" s="77"/>
      <c r="AW28" s="77"/>
      <c r="AX28" s="215"/>
      <c r="AY28" s="74"/>
      <c r="AZ28" s="19"/>
      <c r="BA28" s="0"/>
      <c r="BB28" s="0"/>
      <c r="BC28" s="0"/>
      <c r="BD28" s="77"/>
      <c r="BE28" s="77"/>
      <c r="BF28" s="77"/>
      <c r="BG28" s="77"/>
      <c r="BH28" s="77"/>
      <c r="BI28" s="215"/>
      <c r="BJ28" s="74"/>
      <c r="BK28" s="19"/>
      <c r="BL28" s="0"/>
      <c r="BM28" s="0"/>
      <c r="BN28" s="0"/>
      <c r="BO28" s="77"/>
      <c r="BP28" s="77"/>
      <c r="BQ28" s="77"/>
      <c r="BR28" s="77"/>
      <c r="BS28" s="77"/>
      <c r="BT28" s="215"/>
      <c r="BU28" s="74"/>
      <c r="BV28" s="19"/>
      <c r="BW28" s="0"/>
      <c r="BX28" s="0"/>
      <c r="BY28" s="0"/>
      <c r="BZ28" s="77"/>
      <c r="CA28" s="77"/>
      <c r="CB28" s="77"/>
      <c r="CC28" s="77"/>
      <c r="CD28" s="77"/>
    </row>
    <row r="29" customFormat="false" ht="12.75" hidden="false" customHeight="false" outlineLevel="0" collapsed="false">
      <c r="A29" s="94" t="s">
        <v>310</v>
      </c>
      <c r="B29" s="82" t="s">
        <v>236</v>
      </c>
      <c r="C29" s="82" t="n">
        <v>3</v>
      </c>
      <c r="D29" s="170" t="n">
        <f aca="false">'Test Year 2001 Sales and Revs.'!J32</f>
        <v>8709991.76865869</v>
      </c>
      <c r="E29" s="77" t="n">
        <f aca="false">surcharge_1*D29</f>
        <v>333321.141735045</v>
      </c>
      <c r="F29" s="215"/>
      <c r="G29" s="242" t="n">
        <f aca="false">0.0366</f>
        <v>0.0366</v>
      </c>
      <c r="H29" s="13" t="n">
        <f aca="false">G29*D29</f>
        <v>318785.698732908</v>
      </c>
      <c r="I29" s="88" t="n">
        <f aca="false">H29/$H$127</f>
        <v>0.000101412046353689</v>
      </c>
      <c r="J29" s="77" t="n">
        <f aca="false">I29*$E$129</f>
        <v>249446.164326988</v>
      </c>
      <c r="K29" s="215"/>
      <c r="L29" s="243" t="n">
        <v>699934.938529412</v>
      </c>
      <c r="M29" s="88" t="n">
        <f aca="false">L29/$L$127</f>
        <v>0.000100250666394761</v>
      </c>
      <c r="N29" s="77" t="n">
        <f aca="false">M29*$E$129</f>
        <v>246589.484213558</v>
      </c>
      <c r="O29" s="215"/>
      <c r="P29" s="244" t="n">
        <f aca="false">T_Equal</f>
        <v>0.0362588233906064</v>
      </c>
      <c r="Q29" s="13" t="n">
        <f aca="false">P29*D29</f>
        <v>315814.053273431</v>
      </c>
      <c r="R29" s="215"/>
      <c r="S29" s="211" t="n">
        <f aca="false">$D29/($D$29+$D$31+$D$34+$D$36)</f>
        <v>0.0127469200226283</v>
      </c>
      <c r="T29" s="245" t="n">
        <v>10214106.5595594</v>
      </c>
      <c r="U29" s="212" t="n">
        <f aca="false">$S29*T29</f>
        <v>130198.399417306</v>
      </c>
      <c r="V29" s="88" t="n">
        <f aca="false">U29/$U$127</f>
        <v>8.06225810220973E-005</v>
      </c>
      <c r="W29" s="245" t="n">
        <v>10208434.467121</v>
      </c>
      <c r="X29" s="212" t="n">
        <f aca="false">$S29*W29</f>
        <v>130126.097708633</v>
      </c>
      <c r="Y29" s="88" t="n">
        <f aca="false">X29/$X$127</f>
        <v>8.58441707109601E-005</v>
      </c>
      <c r="Z29" s="88" t="n">
        <f aca="false">AVERAGE(V29,Y29)</f>
        <v>8.32333758665287E-005</v>
      </c>
      <c r="AA29" s="129" t="n">
        <f aca="false">$Z29*'Inputs and Assumptions'!$C$6</f>
        <v>204731.559024859</v>
      </c>
      <c r="AB29" s="217"/>
      <c r="AC29" s="255" t="n">
        <f aca="false">CHOOSE(gen_choice,'Generation Calculations'!$O32,'Generation Calculations'!$P32)</f>
        <v>0.0672109493121302</v>
      </c>
      <c r="AD29" s="256" t="n">
        <f aca="false">EPS</f>
        <v>0.01</v>
      </c>
      <c r="AE29" s="247" t="n">
        <f aca="false">AG29-SUM(AC29:AD29,AF29)</f>
        <v>0.0286591377398098</v>
      </c>
      <c r="AF29" s="226" t="n">
        <f aca="false">AK29/$D29*-1</f>
        <v>0.000513197429950164</v>
      </c>
      <c r="AG29" s="226" t="n">
        <f aca="false">AL29/$D29</f>
        <v>0.10638328448189</v>
      </c>
      <c r="AH29" s="77" t="n">
        <f aca="false">$D29*AE29</f>
        <v>249620.853810599</v>
      </c>
      <c r="AI29" s="258" t="n">
        <f aca="false">CHOOSE(gen_choice,'Generation Calculations'!$M32,'Generation Calculations'!$N32)</f>
        <v>585406.81527239</v>
      </c>
      <c r="AJ29" s="77" t="n">
        <f aca="false">$D29*AD29</f>
        <v>87099.9176865869</v>
      </c>
      <c r="AK29" s="248" t="n">
        <f aca="false">CHOOSE(gen_choice,'Generation Calculations'!K32,'Generation Calculations'!L32)</f>
        <v>-4469.94539056272</v>
      </c>
      <c r="AL29" s="77" t="n">
        <f aca="false">$D29*gen_equal</f>
        <v>926597.532160138</v>
      </c>
      <c r="AM29" s="215"/>
      <c r="AN29" s="255" t="n">
        <f aca="false">CHOOSE(gen_choice,'Generation Calculations'!$O32,'Generation Calculations'!$P32)</f>
        <v>0.0672109493121302</v>
      </c>
      <c r="AO29" s="256" t="n">
        <f aca="false">EPS</f>
        <v>0.01</v>
      </c>
      <c r="AP29" s="247" t="n">
        <f aca="false">AR29-SUM(AN29:AO29,AQ29)</f>
        <v>0.0143230113878825</v>
      </c>
      <c r="AQ29" s="226" t="n">
        <f aca="false">AV29/$D29*-1</f>
        <v>0.000513197429950164</v>
      </c>
      <c r="AR29" s="226" t="n">
        <f aca="false">AW29/$D29</f>
        <v>0.0920471581299629</v>
      </c>
      <c r="AS29" s="77" t="n">
        <f aca="false">$D29*AP29</f>
        <v>124753.311290862</v>
      </c>
      <c r="AT29" s="261" t="n">
        <f aca="false">$AI29</f>
        <v>585406.81527239</v>
      </c>
      <c r="AU29" s="77" t="n">
        <f aca="false">$D29*AO29</f>
        <v>87099.9176865869</v>
      </c>
      <c r="AV29" s="261" t="n">
        <f aca="false">$AK29</f>
        <v>-4469.94539056272</v>
      </c>
      <c r="AW29" s="77" t="n">
        <f aca="false">$I29*'Inputs and Assumptions'!$C$15</f>
        <v>801729.989640401</v>
      </c>
      <c r="AX29" s="215"/>
      <c r="AY29" s="255" t="n">
        <f aca="false">CHOOSE(gen_choice,'Generation Calculations'!$O32,'Generation Calculations'!$P32)</f>
        <v>0.0672109493121302</v>
      </c>
      <c r="AZ29" s="256" t="n">
        <f aca="false">EPS</f>
        <v>0.01</v>
      </c>
      <c r="BA29" s="247" t="n">
        <f aca="false">BC29-SUM(AY29:AZ29,BB29)</f>
        <v>0.0132688789788432</v>
      </c>
      <c r="BB29" s="226" t="n">
        <f aca="false">BG29/$D29*-1</f>
        <v>0.000513197429950164</v>
      </c>
      <c r="BC29" s="226" t="n">
        <f aca="false">BH29/$D29</f>
        <v>0.0909930257209235</v>
      </c>
      <c r="BD29" s="77" t="n">
        <f aca="false">$D29*BA29</f>
        <v>115571.826685053</v>
      </c>
      <c r="BE29" s="261" t="n">
        <f aca="false">$AI29</f>
        <v>585406.81527239</v>
      </c>
      <c r="BF29" s="77" t="n">
        <f aca="false">$D29*AZ29</f>
        <v>87099.9176865869</v>
      </c>
      <c r="BG29" s="261" t="n">
        <f aca="false">$AK29</f>
        <v>-4469.94539056272</v>
      </c>
      <c r="BH29" s="77" t="n">
        <f aca="false">$M29*'Inputs and Assumptions'!$C$15</f>
        <v>792548.505034592</v>
      </c>
      <c r="BI29" s="215"/>
      <c r="BJ29" s="255" t="n">
        <f aca="false">CHOOSE(gen_choice,'Generation Calculations'!$O32,'Generation Calculations'!$P32)</f>
        <v>0.0672109493121302</v>
      </c>
      <c r="BK29" s="256" t="n">
        <f aca="false">EPS</f>
        <v>0.01</v>
      </c>
      <c r="BL29" s="247" t="n">
        <f aca="false">BN29-SUM(BJ29:BK29,BM29)</f>
        <v>0.015961641898023</v>
      </c>
      <c r="BM29" s="226" t="n">
        <f aca="false">BR29/$D29*-1</f>
        <v>0.000513197429950164</v>
      </c>
      <c r="BN29" s="226" t="n">
        <f aca="false">BS29/$D29</f>
        <v>0.0936857886401033</v>
      </c>
      <c r="BO29" s="77" t="n">
        <f aca="false">$D29*BL29</f>
        <v>139025.769546058</v>
      </c>
      <c r="BP29" s="261" t="n">
        <f aca="false">$AI29</f>
        <v>585406.81527239</v>
      </c>
      <c r="BQ29" s="77" t="n">
        <f aca="false">$D29*BK29</f>
        <v>87099.9176865869</v>
      </c>
      <c r="BR29" s="261" t="n">
        <f aca="false">$AK29</f>
        <v>-4469.94539056272</v>
      </c>
      <c r="BS29" s="77" t="n">
        <f aca="false">D29*T_equal_gen</f>
        <v>816002.447895597</v>
      </c>
      <c r="BT29" s="215"/>
      <c r="BU29" s="255" t="n">
        <f aca="false">CHOOSE(gen_choice,'Generation Calculations'!$O32,'Generation Calculations'!$P32)</f>
        <v>0.0672109493121302</v>
      </c>
      <c r="BV29" s="256" t="n">
        <f aca="false">EPS</f>
        <v>0.01</v>
      </c>
      <c r="BW29" s="247" t="n">
        <f aca="false">BY29-SUM(BU29:BV29,BX29)</f>
        <v>-0.00217695106320844</v>
      </c>
      <c r="BX29" s="226" t="n">
        <f aca="false">CC29/$D29*-1</f>
        <v>0.000513197429950164</v>
      </c>
      <c r="BY29" s="226" t="n">
        <f aca="false">CD29/$D29</f>
        <v>0.0755471956788719</v>
      </c>
      <c r="BZ29" s="77" t="n">
        <f aca="false">$D29*BW29</f>
        <v>-18961.2258413182</v>
      </c>
      <c r="CA29" s="261" t="n">
        <f aca="false">$AI29</f>
        <v>585406.81527239</v>
      </c>
      <c r="CB29" s="77" t="n">
        <f aca="false">$D29*BV29</f>
        <v>87099.9176865869</v>
      </c>
      <c r="CC29" s="261" t="n">
        <f aca="false">$AK29</f>
        <v>-4469.94539056272</v>
      </c>
      <c r="CD29" s="77" t="n">
        <f aca="false">$Z29*'Inputs and Assumptions'!$C$15</f>
        <v>658015.452508221</v>
      </c>
    </row>
    <row r="30" customFormat="false" ht="12.75" hidden="false" customHeight="false" outlineLevel="0" collapsed="false">
      <c r="A30" s="94" t="s">
        <v>311</v>
      </c>
      <c r="B30" s="82" t="s">
        <v>236</v>
      </c>
      <c r="C30" s="82" t="n">
        <v>3</v>
      </c>
      <c r="D30" s="170" t="n">
        <f aca="false">'Test Year 2001 Sales and Revs.'!J33</f>
        <v>2138278.4139578</v>
      </c>
      <c r="E30" s="77" t="n">
        <f aca="false">surcharge_1*D30</f>
        <v>81829.4002128057</v>
      </c>
      <c r="F30" s="215"/>
      <c r="G30" s="242" t="n">
        <v>0.03598</v>
      </c>
      <c r="H30" s="13" t="n">
        <f aca="false">G30*D30</f>
        <v>76935.2573342016</v>
      </c>
      <c r="I30" s="88" t="n">
        <f aca="false">H30/$H$127</f>
        <v>2.44746295521433E-005</v>
      </c>
      <c r="J30" s="77" t="n">
        <f aca="false">I30*$E$129</f>
        <v>60200.9592017663</v>
      </c>
      <c r="K30" s="215"/>
      <c r="L30" s="243" t="n">
        <v>171618.225504253</v>
      </c>
      <c r="M30" s="88" t="n">
        <f aca="false">L30/$L$127</f>
        <v>2.4580629605997E-005</v>
      </c>
      <c r="N30" s="77" t="n">
        <f aca="false">M30*$E$129</f>
        <v>60461.6906217798</v>
      </c>
      <c r="O30" s="215"/>
      <c r="P30" s="244" t="n">
        <f aca="false">T_Equal</f>
        <v>0.0362588233906064</v>
      </c>
      <c r="Q30" s="13" t="n">
        <f aca="false">P30*D30</f>
        <v>77531.4593716419</v>
      </c>
      <c r="R30" s="215"/>
      <c r="S30" s="211" t="n">
        <f aca="false">$D30/($D$30+$D$35+$D$40)</f>
        <v>0.000388295592766173</v>
      </c>
      <c r="T30" s="245" t="n">
        <v>87095960.4430121</v>
      </c>
      <c r="U30" s="212" t="n">
        <f aca="false">$S30*T30</f>
        <v>33818.9775877585</v>
      </c>
      <c r="V30" s="88" t="n">
        <f aca="false">U30/$U$127</f>
        <v>2.09416803344445E-005</v>
      </c>
      <c r="W30" s="245" t="n">
        <v>83009492.2893343</v>
      </c>
      <c r="X30" s="212" t="n">
        <f aca="false">$S30*W30</f>
        <v>32232.2200137061</v>
      </c>
      <c r="Y30" s="88" t="n">
        <f aca="false">X30/$X$127</f>
        <v>2.12635915928666E-005</v>
      </c>
      <c r="Z30" s="88" t="n">
        <f aca="false">AVERAGE(V30,Y30)</f>
        <v>2.11026359636555E-005</v>
      </c>
      <c r="AA30" s="129" t="n">
        <f aca="false">$Z30*'Inputs and Assumptions'!$C$6</f>
        <v>51906.7683533743</v>
      </c>
      <c r="AB30" s="217"/>
      <c r="AC30" s="255" t="n">
        <f aca="false">CHOOSE(gen_choice,'Generation Calculations'!$O33,'Generation Calculations'!$P33)</f>
        <v>0.065728314603661</v>
      </c>
      <c r="AD30" s="256" t="n">
        <f aca="false">EPS</f>
        <v>0.01</v>
      </c>
      <c r="AE30" s="247" t="n">
        <f aca="false">AG30-SUM(AC30:AD30,AF30)</f>
        <v>0.0299670687792089</v>
      </c>
      <c r="AF30" s="226" t="n">
        <f aca="false">AK30/$D30*-1</f>
        <v>0.000687901099020237</v>
      </c>
      <c r="AG30" s="226" t="n">
        <f aca="false">AL30/$D30</f>
        <v>0.10638328448189</v>
      </c>
      <c r="AH30" s="77" t="n">
        <f aca="false">$D30*AE30</f>
        <v>64077.9363001711</v>
      </c>
      <c r="AI30" s="258" t="n">
        <f aca="false">CHOOSE(gen_choice,'Generation Calculations'!$M33,'Generation Calculations'!$N33)</f>
        <v>140545.436302835</v>
      </c>
      <c r="AJ30" s="77" t="n">
        <f aca="false">$D30*AD30</f>
        <v>21382.784139578</v>
      </c>
      <c r="AK30" s="248" t="n">
        <f aca="false">CHOOSE(gen_choice,'Generation Calculations'!K33,'Generation Calculations'!L33)</f>
        <v>-1470.92407097282</v>
      </c>
      <c r="AL30" s="77" t="n">
        <f aca="false">$D30*gen_equal</f>
        <v>227477.080813557</v>
      </c>
      <c r="AM30" s="215"/>
      <c r="AN30" s="255" t="n">
        <f aca="false">CHOOSE(gen_choice,'Generation Calculations'!$O33,'Generation Calculations'!$P33)</f>
        <v>0.065728314603661</v>
      </c>
      <c r="AO30" s="256" t="n">
        <f aca="false">EPS</f>
        <v>0.01</v>
      </c>
      <c r="AP30" s="247" t="n">
        <f aca="false">AR30-SUM(AN30:AO30,AQ30)</f>
        <v>0.0140716736283588</v>
      </c>
      <c r="AQ30" s="226" t="n">
        <f aca="false">AV30/$D30*-1</f>
        <v>0.000687901099020237</v>
      </c>
      <c r="AR30" s="226" t="n">
        <f aca="false">AW30/$D30</f>
        <v>0.09048788933104</v>
      </c>
      <c r="AS30" s="77" t="n">
        <f aca="false">$D30*AP30</f>
        <v>30089.1559677788</v>
      </c>
      <c r="AT30" s="261" t="n">
        <f aca="false">$AI30</f>
        <v>140545.436302835</v>
      </c>
      <c r="AU30" s="77" t="n">
        <f aca="false">$D30*AO30</f>
        <v>21382.784139578</v>
      </c>
      <c r="AV30" s="261" t="n">
        <f aca="false">$AK30</f>
        <v>-1470.92407097282</v>
      </c>
      <c r="AW30" s="77" t="n">
        <f aca="false">$I30*'Inputs and Assumptions'!$C$15</f>
        <v>193488.300481165</v>
      </c>
      <c r="AX30" s="215"/>
      <c r="AY30" s="255" t="n">
        <f aca="false">CHOOSE(gen_choice,'Generation Calculations'!$O33,'Generation Calculations'!$P33)</f>
        <v>0.065728314603661</v>
      </c>
      <c r="AZ30" s="256" t="n">
        <f aca="false">EPS</f>
        <v>0.01</v>
      </c>
      <c r="BA30" s="247" t="n">
        <f aca="false">BC30-SUM(AY30:AZ30,BB30)</f>
        <v>0.0144635782789181</v>
      </c>
      <c r="BB30" s="226" t="n">
        <f aca="false">BG30/$D30*-1</f>
        <v>0.000687901099020237</v>
      </c>
      <c r="BC30" s="226" t="n">
        <f aca="false">BH30/$D30</f>
        <v>0.0908797939815993</v>
      </c>
      <c r="BD30" s="77" t="n">
        <f aca="false">$D30*BA30</f>
        <v>30927.1572223995</v>
      </c>
      <c r="BE30" s="261" t="n">
        <f aca="false">$AI30</f>
        <v>140545.436302835</v>
      </c>
      <c r="BF30" s="77" t="n">
        <f aca="false">$D30*AZ30</f>
        <v>21382.784139578</v>
      </c>
      <c r="BG30" s="261" t="n">
        <f aca="false">$AK30</f>
        <v>-1470.92407097282</v>
      </c>
      <c r="BH30" s="77" t="n">
        <f aca="false">$M30*'Inputs and Assumptions'!$C$15</f>
        <v>194326.301735786</v>
      </c>
      <c r="BI30" s="215"/>
      <c r="BJ30" s="255" t="n">
        <f aca="false">CHOOSE(gen_choice,'Generation Calculations'!$O33,'Generation Calculations'!$P33)</f>
        <v>0.065728314603661</v>
      </c>
      <c r="BK30" s="256" t="n">
        <f aca="false">EPS</f>
        <v>0.01</v>
      </c>
      <c r="BL30" s="247" t="n">
        <f aca="false">BN30-SUM(BJ30:BK30,BM30)</f>
        <v>0.0172695729374221</v>
      </c>
      <c r="BM30" s="226" t="n">
        <f aca="false">BR30/$D30*-1</f>
        <v>0.000687901099020237</v>
      </c>
      <c r="BN30" s="226" t="n">
        <f aca="false">BS30/$D30</f>
        <v>0.0936857886401033</v>
      </c>
      <c r="BO30" s="77" t="n">
        <f aca="false">$D30*BL30</f>
        <v>36927.1550303595</v>
      </c>
      <c r="BP30" s="261" t="n">
        <f aca="false">$AI30</f>
        <v>140545.436302835</v>
      </c>
      <c r="BQ30" s="77" t="n">
        <f aca="false">$D30*BK30</f>
        <v>21382.784139578</v>
      </c>
      <c r="BR30" s="261" t="n">
        <f aca="false">$AK30</f>
        <v>-1470.92407097282</v>
      </c>
      <c r="BS30" s="77" t="n">
        <f aca="false">D30*T_equal_gen</f>
        <v>200326.299543746</v>
      </c>
      <c r="BT30" s="215"/>
      <c r="BU30" s="255" t="n">
        <f aca="false">CHOOSE(gen_choice,'Generation Calculations'!$O33,'Generation Calculations'!$P33)</f>
        <v>0.065728314603661</v>
      </c>
      <c r="BV30" s="256" t="n">
        <f aca="false">EPS</f>
        <v>0.01</v>
      </c>
      <c r="BW30" s="247" t="n">
        <f aca="false">BY30-SUM(BU30:BV30,BX30)</f>
        <v>0.00160469912277987</v>
      </c>
      <c r="BX30" s="226" t="n">
        <f aca="false">CC30/$D30*-1</f>
        <v>0.000687901099020237</v>
      </c>
      <c r="BY30" s="226" t="n">
        <f aca="false">CD30/$D30</f>
        <v>0.0780209148254611</v>
      </c>
      <c r="BZ30" s="77" t="n">
        <f aca="false">$D30*BW30</f>
        <v>3431.29349513721</v>
      </c>
      <c r="CA30" s="261" t="n">
        <f aca="false">$AI30</f>
        <v>140545.436302835</v>
      </c>
      <c r="CB30" s="77" t="n">
        <f aca="false">$D30*BV30</f>
        <v>21382.784139578</v>
      </c>
      <c r="CC30" s="261" t="n">
        <f aca="false">$AK30</f>
        <v>-1470.92407097282</v>
      </c>
      <c r="CD30" s="77" t="n">
        <f aca="false">$Z30*'Inputs and Assumptions'!$C$15</f>
        <v>166830.438008523</v>
      </c>
    </row>
    <row r="31" customFormat="false" ht="12.75" hidden="false" customHeight="false" outlineLevel="0" collapsed="false">
      <c r="A31" s="94" t="s">
        <v>312</v>
      </c>
      <c r="B31" s="82" t="s">
        <v>236</v>
      </c>
      <c r="C31" s="82" t="n">
        <v>3</v>
      </c>
      <c r="D31" s="170" t="n">
        <v>0</v>
      </c>
      <c r="E31" s="231"/>
      <c r="F31" s="228"/>
      <c r="G31" s="250" t="n">
        <f aca="false">G29</f>
        <v>0.0366</v>
      </c>
      <c r="H31" s="229" t="n">
        <f aca="false">G31*D31</f>
        <v>0</v>
      </c>
      <c r="I31" s="91" t="n">
        <f aca="false">H31/$H$127</f>
        <v>0</v>
      </c>
      <c r="J31" s="231" t="n">
        <f aca="false">I31*$E$129</f>
        <v>0</v>
      </c>
      <c r="K31" s="228"/>
      <c r="L31" s="251" t="n">
        <v>0</v>
      </c>
      <c r="M31" s="91" t="n">
        <f aca="false">L31/$L$127</f>
        <v>0</v>
      </c>
      <c r="N31" s="231" t="n">
        <f aca="false">M31*$E$129</f>
        <v>0</v>
      </c>
      <c r="O31" s="228"/>
      <c r="P31" s="244" t="n">
        <f aca="false">T_Equal</f>
        <v>0.0362588233906064</v>
      </c>
      <c r="Q31" s="229" t="n">
        <f aca="false">P31*D31</f>
        <v>0</v>
      </c>
      <c r="R31" s="228"/>
      <c r="S31" s="211" t="n">
        <f aca="false">$D31/($D$29+$D$31+$D$34+$D$36)</f>
        <v>0</v>
      </c>
      <c r="T31" s="245" t="n">
        <v>10214106.5595594</v>
      </c>
      <c r="U31" s="70" t="n">
        <f aca="false">$S31*T31</f>
        <v>0</v>
      </c>
      <c r="V31" s="91" t="n">
        <f aca="false">U31/$U$127</f>
        <v>0</v>
      </c>
      <c r="W31" s="245" t="n">
        <v>10208434.467121</v>
      </c>
      <c r="X31" s="70" t="n">
        <f aca="false">$S31*W31</f>
        <v>0</v>
      </c>
      <c r="Y31" s="91" t="n">
        <f aca="false">X31/$X$127</f>
        <v>0</v>
      </c>
      <c r="Z31" s="91" t="n">
        <f aca="false">AVERAGE(V31,Y31)</f>
        <v>0</v>
      </c>
      <c r="AA31" s="232" t="n">
        <f aca="false">$Z31*'Inputs and Assumptions'!$C$6</f>
        <v>0</v>
      </c>
      <c r="AB31" s="237"/>
      <c r="AC31" s="252"/>
      <c r="AD31" s="259" t="n">
        <f aca="false">EPS</f>
        <v>0.01</v>
      </c>
      <c r="AE31" s="226"/>
      <c r="AF31" s="226"/>
      <c r="AG31" s="226"/>
      <c r="AH31" s="231"/>
      <c r="AI31" s="231"/>
      <c r="AJ31" s="231" t="n">
        <f aca="false">$D31*AD31</f>
        <v>0</v>
      </c>
      <c r="AK31" s="254" t="n">
        <f aca="false">CHOOSE(gen_choice,'Generation Calculations'!K34,'Generation Calculations'!L34)</f>
        <v>0</v>
      </c>
      <c r="AL31" s="231" t="n">
        <f aca="false">$D31*gen_equal</f>
        <v>0</v>
      </c>
      <c r="AM31" s="228"/>
      <c r="AN31" s="252"/>
      <c r="AO31" s="259" t="n">
        <f aca="false">EPS</f>
        <v>0.01</v>
      </c>
      <c r="AP31" s="226"/>
      <c r="AQ31" s="226"/>
      <c r="AR31" s="226"/>
      <c r="AS31" s="231"/>
      <c r="AT31" s="231"/>
      <c r="AU31" s="231" t="n">
        <f aca="false">$D31*AO31</f>
        <v>0</v>
      </c>
      <c r="AV31" s="231"/>
      <c r="AW31" s="231" t="n">
        <f aca="false">$D31*gen_equal</f>
        <v>0</v>
      </c>
      <c r="AX31" s="228"/>
      <c r="AY31" s="252"/>
      <c r="AZ31" s="259" t="n">
        <f aca="false">EPS</f>
        <v>0.01</v>
      </c>
      <c r="BA31" s="226"/>
      <c r="BB31" s="226"/>
      <c r="BC31" s="226"/>
      <c r="BD31" s="231"/>
      <c r="BE31" s="231"/>
      <c r="BF31" s="231" t="n">
        <f aca="false">$D31*AZ31</f>
        <v>0</v>
      </c>
      <c r="BG31" s="231"/>
      <c r="BH31" s="231" t="n">
        <f aca="false">$D31*gen_equal</f>
        <v>0</v>
      </c>
      <c r="BI31" s="228"/>
      <c r="BJ31" s="252"/>
      <c r="BK31" s="259" t="n">
        <f aca="false">EPS</f>
        <v>0.01</v>
      </c>
      <c r="BL31" s="226"/>
      <c r="BM31" s="226"/>
      <c r="BN31" s="226"/>
      <c r="BO31" s="231"/>
      <c r="BP31" s="231"/>
      <c r="BQ31" s="231" t="n">
        <f aca="false">$D31*BK31</f>
        <v>0</v>
      </c>
      <c r="BR31" s="231"/>
      <c r="BS31" s="231" t="n">
        <f aca="false">D31*s_equal_gen</f>
        <v>0</v>
      </c>
      <c r="BT31" s="228"/>
      <c r="BU31" s="252"/>
      <c r="BV31" s="259" t="n">
        <f aca="false">EPS</f>
        <v>0.01</v>
      </c>
      <c r="BW31" s="226"/>
      <c r="BX31" s="226"/>
      <c r="BY31" s="226"/>
      <c r="BZ31" s="231"/>
      <c r="CA31" s="231"/>
      <c r="CB31" s="231" t="n">
        <f aca="false">$D31*BV31</f>
        <v>0</v>
      </c>
      <c r="CC31" s="231"/>
      <c r="CD31" s="231" t="n">
        <f aca="false">$D31*gen_equal</f>
        <v>0</v>
      </c>
    </row>
    <row r="32" customFormat="false" ht="12.75" hidden="false" customHeight="false" outlineLevel="0" collapsed="false">
      <c r="A32" s="97" t="s">
        <v>313</v>
      </c>
      <c r="B32" s="98" t="s">
        <v>236</v>
      </c>
      <c r="C32" s="98"/>
      <c r="D32" s="159" t="n">
        <f aca="false">SUM(D29:D31)</f>
        <v>10848270.1826165</v>
      </c>
      <c r="E32" s="77" t="n">
        <f aca="false">SUM(E29:E31)</f>
        <v>415150.541947851</v>
      </c>
      <c r="F32" s="215"/>
      <c r="G32" s="242"/>
      <c r="H32" s="13" t="n">
        <f aca="false">SUM(H29:H31)</f>
        <v>395720.95606711</v>
      </c>
      <c r="I32" s="88" t="n">
        <f aca="false">SUM(I29:I31)</f>
        <v>0.000125886675905833</v>
      </c>
      <c r="J32" s="77" t="n">
        <f aca="false">SUM(J29:J31)</f>
        <v>309647.123528754</v>
      </c>
      <c r="K32" s="215"/>
      <c r="L32" s="129" t="n">
        <f aca="false">SUM(L29:L31)</f>
        <v>871553.164033665</v>
      </c>
      <c r="M32" s="88" t="n">
        <f aca="false">SUM(M29:M31)</f>
        <v>0.000124831296000758</v>
      </c>
      <c r="N32" s="77" t="n">
        <f aca="false">SUM(N29:N31)</f>
        <v>307051.174835337</v>
      </c>
      <c r="O32" s="215"/>
      <c r="P32" s="244"/>
      <c r="Q32" s="13" t="n">
        <f aca="false">SUM(Q29:Q31)</f>
        <v>393345.512645073</v>
      </c>
      <c r="R32" s="215"/>
      <c r="T32" s="245"/>
      <c r="U32" s="212" t="n">
        <f aca="false">SUM(U29:U31)</f>
        <v>164017.377005065</v>
      </c>
      <c r="V32" s="88" t="n">
        <f aca="false">SUM(V29:V31)</f>
        <v>0.000101564261356542</v>
      </c>
      <c r="W32" s="245"/>
      <c r="X32" s="212" t="n">
        <f aca="false">SUM(X29:X31)</f>
        <v>162358.317722339</v>
      </c>
      <c r="Y32" s="88" t="n">
        <f aca="false">SUM(Y29:Y31)</f>
        <v>0.000107107762303827</v>
      </c>
      <c r="Z32" s="88" t="n">
        <f aca="false">AVERAGE(V32,Y32)</f>
        <v>0.000104336011830184</v>
      </c>
      <c r="AA32" s="129" t="n">
        <f aca="false">SUM(AA29:AA31)</f>
        <v>256638.327378233</v>
      </c>
      <c r="AB32" s="217"/>
      <c r="AC32" s="19" t="n">
        <f aca="false">CHOOSE(gen_choice,'Generation Calculations'!$O35,'Generation Calculations'!$P35)</f>
        <v>0.0669187104814653</v>
      </c>
      <c r="AD32" s="249" t="n">
        <f aca="false">EPS</f>
        <v>0.01</v>
      </c>
      <c r="AE32" s="226" t="n">
        <f aca="false">AH32/$D32</f>
        <v>0.0289169411187277</v>
      </c>
      <c r="AF32" s="226" t="n">
        <f aca="false">AK32/$D32*-1</f>
        <v>0.00054763288169715</v>
      </c>
      <c r="AG32" s="226" t="n">
        <f aca="false">AL32/$D32</f>
        <v>0.10638328448189</v>
      </c>
      <c r="AH32" s="77" t="n">
        <f aca="false">AL32+AK32-SUM(AI32:AJ32)</f>
        <v>313698.79011077</v>
      </c>
      <c r="AI32" s="77" t="n">
        <f aca="false">SUM(AI29:AI31)</f>
        <v>725952.251575225</v>
      </c>
      <c r="AJ32" s="77" t="n">
        <f aca="false">SUM(AJ29:AJ31)</f>
        <v>108482.701826165</v>
      </c>
      <c r="AK32" s="77" t="n">
        <f aca="false">SUM(AK29:AK31)</f>
        <v>-5940.86946153554</v>
      </c>
      <c r="AL32" s="77" t="n">
        <f aca="false">SUM(AL29:AL31)</f>
        <v>1154074.6129737</v>
      </c>
      <c r="AM32" s="215"/>
      <c r="AN32" s="19" t="n">
        <f aca="false">CHOOSE(gen_choice,'Generation Calculations'!$O35,'Generation Calculations'!$P35)</f>
        <v>0.0669187104814653</v>
      </c>
      <c r="AO32" s="249" t="n">
        <f aca="false">EPS</f>
        <v>0.01</v>
      </c>
      <c r="AP32" s="226" t="n">
        <f aca="false">AS32/$D32</f>
        <v>0.0142734707609664</v>
      </c>
      <c r="AQ32" s="226" t="n">
        <f aca="false">AV32/$D32*-1</f>
        <v>0.00054763288169715</v>
      </c>
      <c r="AR32" s="226" t="n">
        <f aca="false">AW32/$D32</f>
        <v>0.0917398141241289</v>
      </c>
      <c r="AS32" s="77" t="n">
        <f aca="false">SUM(AS29:AS31)</f>
        <v>154842.46725864</v>
      </c>
      <c r="AT32" s="77" t="n">
        <f aca="false">SUM(AT29:AT31)</f>
        <v>725952.251575225</v>
      </c>
      <c r="AU32" s="77" t="n">
        <f aca="false">SUM(AU29:AU31)</f>
        <v>108482.701826165</v>
      </c>
      <c r="AV32" s="77" t="n">
        <f aca="false">SUM(AV29:AV31)</f>
        <v>-5940.86946153554</v>
      </c>
      <c r="AW32" s="77" t="n">
        <f aca="false">SUM(AW29:AW31)</f>
        <v>995218.290121566</v>
      </c>
      <c r="AX32" s="215"/>
      <c r="AY32" s="19" t="n">
        <f aca="false">CHOOSE(gen_choice,'Generation Calculations'!$O35,'Generation Calculations'!$P35)</f>
        <v>0.0669187104814653</v>
      </c>
      <c r="AZ32" s="249" t="n">
        <f aca="false">EPS</f>
        <v>0.01</v>
      </c>
      <c r="BA32" s="226" t="n">
        <f aca="false">BD32/$D32</f>
        <v>0.0135043635014</v>
      </c>
      <c r="BB32" s="226" t="n">
        <f aca="false">BG32/$D32*-1</f>
        <v>0.00054763288169715</v>
      </c>
      <c r="BC32" s="226" t="n">
        <f aca="false">BH32/$D32</f>
        <v>0.0909707068645625</v>
      </c>
      <c r="BD32" s="77" t="n">
        <f aca="false">SUM(BD29:BD31)</f>
        <v>146498.983907452</v>
      </c>
      <c r="BE32" s="77" t="n">
        <f aca="false">SUM(BE29:BE31)</f>
        <v>725952.251575225</v>
      </c>
      <c r="BF32" s="77" t="n">
        <f aca="false">SUM(BF29:BF31)</f>
        <v>108482.701826165</v>
      </c>
      <c r="BG32" s="77" t="n">
        <f aca="false">SUM(BG29:BG31)</f>
        <v>-5940.86946153554</v>
      </c>
      <c r="BH32" s="77" t="n">
        <f aca="false">SUM(BH29:BH31)</f>
        <v>986874.806770377</v>
      </c>
      <c r="BI32" s="215"/>
      <c r="BJ32" s="19" t="n">
        <f aca="false">CHOOSE(gen_choice,'Generation Calculations'!$O35,'Generation Calculations'!$P35)</f>
        <v>0.0669187104814653</v>
      </c>
      <c r="BK32" s="249" t="n">
        <f aca="false">EPS</f>
        <v>0.01</v>
      </c>
      <c r="BL32" s="226" t="n">
        <f aca="false">BO32/$D32</f>
        <v>0.0162194452769409</v>
      </c>
      <c r="BM32" s="226" t="n">
        <f aca="false">BR32/$D32*-1</f>
        <v>0.00054763288169715</v>
      </c>
      <c r="BN32" s="226" t="n">
        <f aca="false">BS32/$D32</f>
        <v>0.0936857886401033</v>
      </c>
      <c r="BO32" s="77" t="n">
        <f aca="false">SUM(BO29:BO31)</f>
        <v>175952.924576418</v>
      </c>
      <c r="BP32" s="77" t="n">
        <f aca="false">SUM(BP29:BP31)</f>
        <v>725952.251575225</v>
      </c>
      <c r="BQ32" s="77" t="n">
        <f aca="false">SUM(BQ29:BQ31)</f>
        <v>108482.701826165</v>
      </c>
      <c r="BR32" s="77" t="n">
        <f aca="false">SUM(BR29:BR31)</f>
        <v>-5940.86946153554</v>
      </c>
      <c r="BS32" s="77" t="n">
        <f aca="false">SUM(BS29:BS31)</f>
        <v>1016328.74743934</v>
      </c>
      <c r="BT32" s="215"/>
      <c r="BU32" s="19" t="n">
        <f aca="false">CHOOSE(gen_choice,'Generation Calculations'!$O35,'Generation Calculations'!$P35)</f>
        <v>0.0669187104814653</v>
      </c>
      <c r="BV32" s="249" t="n">
        <f aca="false">EPS</f>
        <v>0.01</v>
      </c>
      <c r="BW32" s="226" t="n">
        <f aca="false">BZ32/$D32</f>
        <v>-0.00143155840375976</v>
      </c>
      <c r="BX32" s="226" t="n">
        <f aca="false">CC32/$D32*-1</f>
        <v>0.00054763288169715</v>
      </c>
      <c r="BY32" s="226" t="n">
        <f aca="false">CD32/$D32</f>
        <v>0.0760347849594027</v>
      </c>
      <c r="BZ32" s="77" t="n">
        <f aca="false">SUM(BZ29:BZ31)</f>
        <v>-15529.932346181</v>
      </c>
      <c r="CA32" s="77" t="n">
        <f aca="false">SUM(CA29:CA31)</f>
        <v>725952.251575225</v>
      </c>
      <c r="CB32" s="77" t="n">
        <f aca="false">SUM(CB29:CB31)</f>
        <v>108482.701826165</v>
      </c>
      <c r="CC32" s="77" t="n">
        <f aca="false">SUM(CC29:CC31)</f>
        <v>-5940.86946153554</v>
      </c>
      <c r="CD32" s="77" t="n">
        <f aca="false">SUM(CD29:CD31)</f>
        <v>824845.890516744</v>
      </c>
    </row>
    <row r="33" customFormat="false" ht="12.75" hidden="false" customHeight="false" outlineLevel="0" collapsed="false">
      <c r="A33" s="92"/>
      <c r="B33" s="79"/>
      <c r="C33" s="79"/>
      <c r="D33" s="159"/>
      <c r="E33" s="77"/>
      <c r="F33" s="215"/>
      <c r="G33" s="242"/>
      <c r="H33" s="13"/>
      <c r="I33" s="88"/>
      <c r="J33" s="77"/>
      <c r="K33" s="215"/>
      <c r="L33" s="129"/>
      <c r="M33" s="88"/>
      <c r="N33" s="77"/>
      <c r="O33" s="215"/>
      <c r="P33" s="244"/>
      <c r="Q33" s="13"/>
      <c r="R33" s="215"/>
      <c r="T33" s="245"/>
      <c r="V33" s="88"/>
      <c r="W33" s="245"/>
      <c r="X33" s="212"/>
      <c r="Y33" s="88"/>
      <c r="Z33" s="88"/>
      <c r="AA33" s="129"/>
      <c r="AB33" s="217"/>
      <c r="AC33" s="74"/>
      <c r="AD33" s="19"/>
      <c r="AH33" s="77"/>
      <c r="AJ33" s="77"/>
      <c r="AK33" s="77"/>
      <c r="AL33" s="77"/>
      <c r="AM33" s="215"/>
      <c r="AN33" s="74"/>
      <c r="AO33" s="19"/>
      <c r="AP33" s="0"/>
      <c r="AQ33" s="0"/>
      <c r="AR33" s="0"/>
      <c r="AS33" s="77"/>
      <c r="AT33" s="77"/>
      <c r="AU33" s="77"/>
      <c r="AV33" s="77"/>
      <c r="AW33" s="77"/>
      <c r="AX33" s="215"/>
      <c r="AY33" s="74"/>
      <c r="AZ33" s="19"/>
      <c r="BA33" s="0"/>
      <c r="BB33" s="0"/>
      <c r="BC33" s="0"/>
      <c r="BD33" s="77"/>
      <c r="BE33" s="77"/>
      <c r="BF33" s="77"/>
      <c r="BG33" s="77"/>
      <c r="BH33" s="77"/>
      <c r="BI33" s="215"/>
      <c r="BJ33" s="74"/>
      <c r="BK33" s="19"/>
      <c r="BL33" s="0"/>
      <c r="BM33" s="0"/>
      <c r="BN33" s="0"/>
      <c r="BO33" s="77"/>
      <c r="BP33" s="77"/>
      <c r="BQ33" s="77"/>
      <c r="BR33" s="77"/>
      <c r="BS33" s="77"/>
      <c r="BT33" s="215"/>
      <c r="BU33" s="74"/>
      <c r="BV33" s="19"/>
      <c r="BW33" s="0"/>
      <c r="BX33" s="0"/>
      <c r="BY33" s="0"/>
      <c r="BZ33" s="77"/>
      <c r="CA33" s="77"/>
      <c r="CB33" s="77"/>
      <c r="CC33" s="77"/>
      <c r="CD33" s="77"/>
    </row>
    <row r="34" customFormat="false" ht="12.75" hidden="false" customHeight="false" outlineLevel="0" collapsed="false">
      <c r="A34" s="94" t="s">
        <v>310</v>
      </c>
      <c r="B34" s="82" t="s">
        <v>234</v>
      </c>
      <c r="C34" s="82" t="n">
        <v>2</v>
      </c>
      <c r="D34" s="170" t="n">
        <f aca="false">'Test Year 2001 Sales and Revs.'!J37</f>
        <v>632005210.98755</v>
      </c>
      <c r="E34" s="77" t="n">
        <f aca="false">surcharge_1*D34</f>
        <v>24186096.1645099</v>
      </c>
      <c r="F34" s="215"/>
      <c r="G34" s="242" t="n">
        <f aca="false">0.03736</f>
        <v>0.03736</v>
      </c>
      <c r="H34" s="13" t="n">
        <f aca="false">G34*D34</f>
        <v>23611714.6824949</v>
      </c>
      <c r="I34" s="88" t="n">
        <f aca="false">H34/$H$127</f>
        <v>0.0075113542213118</v>
      </c>
      <c r="J34" s="77" t="n">
        <f aca="false">I34*$E$129</f>
        <v>18475896.7674592</v>
      </c>
      <c r="K34" s="215"/>
      <c r="L34" s="243" t="n">
        <v>51900267.9262976</v>
      </c>
      <c r="M34" s="88" t="n">
        <f aca="false">L34/$L$127</f>
        <v>0.00743360012376258</v>
      </c>
      <c r="N34" s="77" t="n">
        <f aca="false">M34*$E$129</f>
        <v>18284642.7489108</v>
      </c>
      <c r="O34" s="215"/>
      <c r="P34" s="244" t="n">
        <f aca="false">P_Equal</f>
        <v>0.0376807380333753</v>
      </c>
      <c r="Q34" s="13" t="n">
        <f aca="false">P34*D34</f>
        <v>23814422.79095</v>
      </c>
      <c r="R34" s="215"/>
      <c r="S34" s="211" t="n">
        <f aca="false">$D34/($D$29+$D$31+$D$34+$D$36)</f>
        <v>0.924928529477039</v>
      </c>
      <c r="T34" s="245" t="n">
        <v>10214106.5595594</v>
      </c>
      <c r="U34" s="212" t="n">
        <f aca="false">$S34*T34</f>
        <v>9447318.56005507</v>
      </c>
      <c r="V34" s="88" t="n">
        <f aca="false">U34/$U$127</f>
        <v>0.00585005045728972</v>
      </c>
      <c r="W34" s="245" t="n">
        <v>10208434.467121</v>
      </c>
      <c r="X34" s="212" t="n">
        <f aca="false">$S34*W34</f>
        <v>9442072.27993692</v>
      </c>
      <c r="Y34" s="88" t="n">
        <f aca="false">X34/$X$127</f>
        <v>0.00622893392591421</v>
      </c>
      <c r="Z34" s="88" t="n">
        <f aca="false">AVERAGE(V34,Y34)</f>
        <v>0.00603949219160196</v>
      </c>
      <c r="AA34" s="129" t="n">
        <f aca="false">$Z34*'Inputs and Assumptions'!$C$6</f>
        <v>14855514.8608644</v>
      </c>
      <c r="AB34" s="217"/>
      <c r="AC34" s="255" t="n">
        <f aca="false">CHOOSE(gen_choice,'Generation Calculations'!$O37,'Generation Calculations'!$P37)</f>
        <v>0.0563726018032009</v>
      </c>
      <c r="AD34" s="256" t="n">
        <f aca="false">EPS</f>
        <v>0.01</v>
      </c>
      <c r="AE34" s="247" t="n">
        <f aca="false">AG34-SUM(AC34:AD34,AF34)</f>
        <v>0.0399280658731549</v>
      </c>
      <c r="AF34" s="247" t="n">
        <f aca="false">AK34/$D34*-1</f>
        <v>8.26168055343509E-005</v>
      </c>
      <c r="AG34" s="226" t="n">
        <f aca="false">AL34/$D34</f>
        <v>0.10638328448189</v>
      </c>
      <c r="AH34" s="77" t="n">
        <f aca="false">$D34*AE34</f>
        <v>25234745.696488</v>
      </c>
      <c r="AI34" s="258" t="n">
        <f aca="false">CHOOSE(gen_choice,'Generation Calculations'!$M37,'Generation Calculations'!$N37)</f>
        <v>35627778.0965491</v>
      </c>
      <c r="AJ34" s="77" t="n">
        <f aca="false">$D34*AD34</f>
        <v>6320052.1098755</v>
      </c>
      <c r="AK34" s="248" t="n">
        <f aca="false">CHOOSE(gen_choice,'Generation Calculations'!K37,'Generation Calculations'!L37)</f>
        <v>-52214.2516128548</v>
      </c>
      <c r="AL34" s="77" t="n">
        <f aca="false">$D34*gen_equal</f>
        <v>67234790.1545255</v>
      </c>
      <c r="AM34" s="215"/>
      <c r="AN34" s="255" t="n">
        <f aca="false">CHOOSE(gen_choice,'Generation Calculations'!$O37,'Generation Calculations'!$P37)</f>
        <v>0.0563726018032009</v>
      </c>
      <c r="AO34" s="256" t="n">
        <f aca="false">EPS</f>
        <v>0.01</v>
      </c>
      <c r="AP34" s="247" t="n">
        <f aca="false">AR34-SUM(AN34:AO34,AQ34)</f>
        <v>0.0275033012747459</v>
      </c>
      <c r="AQ34" s="247" t="n">
        <f aca="false">AV34/$D34*-1</f>
        <v>8.26168055343509E-005</v>
      </c>
      <c r="AR34" s="226" t="n">
        <f aca="false">AW34/$D34</f>
        <v>0.0939585198834812</v>
      </c>
      <c r="AS34" s="77" t="n">
        <f aca="false">$D34*AP34</f>
        <v>17382229.725</v>
      </c>
      <c r="AT34" s="77" t="n">
        <f aca="false">$AI34</f>
        <v>35627778.0965491</v>
      </c>
      <c r="AU34" s="77" t="n">
        <f aca="false">$D34*AO34</f>
        <v>6320052.1098755</v>
      </c>
      <c r="AV34" s="77" t="n">
        <f aca="false">$AK34</f>
        <v>-52214.2516128548</v>
      </c>
      <c r="AW34" s="77" t="n">
        <f aca="false">$I34*'Inputs and Assumptions'!$C$15</f>
        <v>59382274.1830374</v>
      </c>
      <c r="AX34" s="215"/>
      <c r="AY34" s="255" t="n">
        <f aca="false">CHOOSE(gen_choice,'Generation Calculations'!$O37,'Generation Calculations'!$P37)</f>
        <v>0.0563726018032009</v>
      </c>
      <c r="AZ34" s="256" t="n">
        <f aca="false">EPS</f>
        <v>0.01</v>
      </c>
      <c r="BA34" s="247" t="n">
        <f aca="false">BC34-SUM(AY34:AZ34,BB34)</f>
        <v>0.0265306857242941</v>
      </c>
      <c r="BB34" s="247" t="n">
        <f aca="false">BG34/$D34*-1</f>
        <v>8.26168055343509E-005</v>
      </c>
      <c r="BC34" s="226" t="n">
        <f aca="false">BH34/$D34</f>
        <v>0.0929859043330294</v>
      </c>
      <c r="BD34" s="77" t="n">
        <f aca="false">$D34*BA34</f>
        <v>16767531.6288269</v>
      </c>
      <c r="BE34" s="77" t="n">
        <f aca="false">$AI34</f>
        <v>35627778.0965491</v>
      </c>
      <c r="BF34" s="77" t="n">
        <f aca="false">$D34*AZ34</f>
        <v>6320052.1098755</v>
      </c>
      <c r="BG34" s="77" t="n">
        <f aca="false">$AK34</f>
        <v>-52214.2516128548</v>
      </c>
      <c r="BH34" s="77" t="n">
        <f aca="false">$M34*'Inputs and Assumptions'!$C$15</f>
        <v>58767576.0868644</v>
      </c>
      <c r="BI34" s="215"/>
      <c r="BJ34" s="255" t="n">
        <f aca="false">CHOOSE(gen_choice,'Generation Calculations'!$O37,'Generation Calculations'!$P37)</f>
        <v>0.0563726018032009</v>
      </c>
      <c r="BK34" s="256" t="n">
        <f aca="false">EPS</f>
        <v>0.01</v>
      </c>
      <c r="BL34" s="247" t="n">
        <f aca="false">BN34-SUM(BJ34:BK34,BM34)</f>
        <v>0.0309045225270584</v>
      </c>
      <c r="BM34" s="247" t="n">
        <f aca="false">BR34/$D34*-1</f>
        <v>8.26168055343509E-005</v>
      </c>
      <c r="BN34" s="226" t="n">
        <f aca="false">BS34/$D34</f>
        <v>0.0973597411357937</v>
      </c>
      <c r="BO34" s="77" t="n">
        <f aca="false">$D34*BL34</f>
        <v>19531819.280183</v>
      </c>
      <c r="BP34" s="77" t="n">
        <f aca="false">$AI34</f>
        <v>35627778.0965491</v>
      </c>
      <c r="BQ34" s="77" t="n">
        <f aca="false">$D34*BK34</f>
        <v>6320052.1098755</v>
      </c>
      <c r="BR34" s="77" t="n">
        <f aca="false">$AK34</f>
        <v>-52214.2516128548</v>
      </c>
      <c r="BS34" s="77" t="n">
        <f aca="false">D34*P_equal_gen</f>
        <v>61531863.7382205</v>
      </c>
      <c r="BT34" s="215"/>
      <c r="BU34" s="255" t="n">
        <f aca="false">CHOOSE(gen_choice,'Generation Calculations'!$O37,'Generation Calculations'!$P37)</f>
        <v>0.0563726018032009</v>
      </c>
      <c r="BV34" s="256" t="n">
        <f aca="false">EPS</f>
        <v>0.01</v>
      </c>
      <c r="BW34" s="247" t="n">
        <f aca="false">BY34-SUM(BU34:BV34,BX34)</f>
        <v>0.00909197707013659</v>
      </c>
      <c r="BX34" s="247" t="n">
        <f aca="false">CC34/$D34*-1</f>
        <v>8.26168055343509E-005</v>
      </c>
      <c r="BY34" s="226" t="n">
        <f aca="false">CD34/$D34</f>
        <v>0.0755471956788719</v>
      </c>
      <c r="BZ34" s="77" t="n">
        <f aca="false">$D34*BW34</f>
        <v>5746176.88650564</v>
      </c>
      <c r="CA34" s="77" t="n">
        <f aca="false">$AI34</f>
        <v>35627778.0965491</v>
      </c>
      <c r="CB34" s="77" t="n">
        <f aca="false">$D34*BV34</f>
        <v>6320052.1098755</v>
      </c>
      <c r="CC34" s="77" t="n">
        <f aca="false">$AK34</f>
        <v>-52214.2516128548</v>
      </c>
      <c r="CD34" s="77" t="n">
        <f aca="false">$Z34*'Inputs and Assumptions'!$C$15</f>
        <v>47746221.3445431</v>
      </c>
    </row>
    <row r="35" customFormat="false" ht="12.75" hidden="false" customHeight="false" outlineLevel="0" collapsed="false">
      <c r="A35" s="94" t="s">
        <v>311</v>
      </c>
      <c r="B35" s="82" t="s">
        <v>234</v>
      </c>
      <c r="C35" s="82" t="n">
        <v>2</v>
      </c>
      <c r="D35" s="170" t="n">
        <f aca="false">'Test Year 2001 Sales and Revs.'!J38</f>
        <v>109361623.948624</v>
      </c>
      <c r="E35" s="77" t="n">
        <f aca="false">surcharge_1*D35</f>
        <v>4185140.73546221</v>
      </c>
      <c r="F35" s="215"/>
      <c r="G35" s="242" t="n">
        <f aca="false">0.03672</f>
        <v>0.03672</v>
      </c>
      <c r="H35" s="13" t="n">
        <f aca="false">G35*D35</f>
        <v>4015758.83139347</v>
      </c>
      <c r="I35" s="88" t="n">
        <f aca="false">H35/$H$127</f>
        <v>0.00127749244201736</v>
      </c>
      <c r="J35" s="77" t="n">
        <f aca="false">I35*$E$129</f>
        <v>3142285.37018722</v>
      </c>
      <c r="K35" s="215"/>
      <c r="L35" s="243" t="n">
        <v>8968746.78002665</v>
      </c>
      <c r="M35" s="88" t="n">
        <f aca="false">L35/$L$127</f>
        <v>0.00128458059732327</v>
      </c>
      <c r="N35" s="77" t="n">
        <f aca="false">M35*$E$129</f>
        <v>3159720.31225563</v>
      </c>
      <c r="O35" s="215"/>
      <c r="P35" s="244" t="n">
        <f aca="false">P_Equal</f>
        <v>0.0376807380333753</v>
      </c>
      <c r="Q35" s="13" t="n">
        <f aca="false">P35*D35</f>
        <v>4120826.7029126</v>
      </c>
      <c r="R35" s="215"/>
      <c r="S35" s="211" t="n">
        <f aca="false">$D35/($D$30+$D$35+$D$40)</f>
        <v>0.0198592644998007</v>
      </c>
      <c r="T35" s="245" t="n">
        <v>87095960.4430121</v>
      </c>
      <c r="U35" s="212" t="n">
        <f aca="false">$S35*T35</f>
        <v>1729661.71530195</v>
      </c>
      <c r="V35" s="88" t="n">
        <f aca="false">U35/$U$127</f>
        <v>0.00107105611441346</v>
      </c>
      <c r="W35" s="245" t="n">
        <v>83009492.2893343</v>
      </c>
      <c r="X35" s="212" t="n">
        <f aca="false">$S35*W35</f>
        <v>1648507.46336806</v>
      </c>
      <c r="Y35" s="88" t="n">
        <f aca="false">X35/$X$127</f>
        <v>0.00108752017155334</v>
      </c>
      <c r="Z35" s="88" t="n">
        <f aca="false">AVERAGE(V35,Y35)</f>
        <v>0.0010792881429834</v>
      </c>
      <c r="AA35" s="129" t="n">
        <f aca="false">$Z35*'Inputs and Assumptions'!$C$6</f>
        <v>2654756.48259623</v>
      </c>
      <c r="AB35" s="217"/>
      <c r="AC35" s="255" t="n">
        <f aca="false">CHOOSE(gen_choice,'Generation Calculations'!$O38,'Generation Calculations'!$P38)</f>
        <v>0.0559854255832437</v>
      </c>
      <c r="AD35" s="256" t="n">
        <f aca="false">EPS</f>
        <v>0.01</v>
      </c>
      <c r="AE35" s="247" t="n">
        <f aca="false">AG35-SUM(AC35:AD35,AF35)</f>
        <v>0.0402609803022615</v>
      </c>
      <c r="AF35" s="247" t="n">
        <f aca="false">AK35/$D35*-1</f>
        <v>0.000136878596384882</v>
      </c>
      <c r="AG35" s="226" t="n">
        <f aca="false">AL35/$D35</f>
        <v>0.10638328448189</v>
      </c>
      <c r="AH35" s="77" t="n">
        <f aca="false">$D35*AE35</f>
        <v>4403006.18761888</v>
      </c>
      <c r="AI35" s="258" t="n">
        <f aca="false">CHOOSE(gen_choice,'Generation Calculations'!$M38,'Generation Calculations'!$N38)</f>
        <v>6122657.05923837</v>
      </c>
      <c r="AJ35" s="77" t="n">
        <f aca="false">$D35*AD35</f>
        <v>1093616.23948624</v>
      </c>
      <c r="AK35" s="248" t="n">
        <f aca="false">CHOOSE(gen_choice,'Generation Calculations'!K38,'Generation Calculations'!L38)</f>
        <v>-14969.2655844589</v>
      </c>
      <c r="AL35" s="77" t="n">
        <f aca="false">$D35*gen_equal</f>
        <v>11634248.7519279</v>
      </c>
      <c r="AM35" s="215"/>
      <c r="AN35" s="255" t="n">
        <f aca="false">CHOOSE(gen_choice,'Generation Calculations'!$O38,'Generation Calculations'!$P38)</f>
        <v>0.0559854255832437</v>
      </c>
      <c r="AO35" s="256" t="n">
        <f aca="false">EPS</f>
        <v>0.01</v>
      </c>
      <c r="AP35" s="247" t="n">
        <f aca="false">AR35-SUM(AN35:AO35,AQ35)</f>
        <v>0.0262266479114161</v>
      </c>
      <c r="AQ35" s="247" t="n">
        <f aca="false">AV35/$D35*-1</f>
        <v>0.000136878596384882</v>
      </c>
      <c r="AR35" s="226" t="n">
        <f aca="false">AW35/$D35</f>
        <v>0.0923489520910447</v>
      </c>
      <c r="AS35" s="77" t="n">
        <f aca="false">$D35*AP35</f>
        <v>2868188.80632125</v>
      </c>
      <c r="AT35" s="77" t="n">
        <f aca="false">$AI35</f>
        <v>6122657.05923837</v>
      </c>
      <c r="AU35" s="77" t="n">
        <f aca="false">$D35*AO35</f>
        <v>1093616.23948624</v>
      </c>
      <c r="AV35" s="77" t="n">
        <f aca="false">$AK35</f>
        <v>-14969.2655844589</v>
      </c>
      <c r="AW35" s="77" t="n">
        <f aca="false">$I35*'Inputs and Assumptions'!$C$15</f>
        <v>10099431.3706303</v>
      </c>
      <c r="AX35" s="215"/>
      <c r="AY35" s="255" t="n">
        <f aca="false">CHOOSE(gen_choice,'Generation Calculations'!$O38,'Generation Calculations'!$P38)</f>
        <v>0.0559854255832437</v>
      </c>
      <c r="AZ35" s="256" t="n">
        <f aca="false">EPS</f>
        <v>0.01</v>
      </c>
      <c r="BA35" s="247" t="n">
        <f aca="false">BC35-SUM(AY35:AZ35,BB35)</f>
        <v>0.0267390452401441</v>
      </c>
      <c r="BB35" s="247" t="n">
        <f aca="false">BG35/$D35*-1</f>
        <v>0.000136878596384882</v>
      </c>
      <c r="BC35" s="226" t="n">
        <f aca="false">BH35/$D35</f>
        <v>0.0928613494197727</v>
      </c>
      <c r="BD35" s="77" t="n">
        <f aca="false">$D35*BA35</f>
        <v>2924225.41029788</v>
      </c>
      <c r="BE35" s="77" t="n">
        <f aca="false">$AI35</f>
        <v>6122657.05923837</v>
      </c>
      <c r="BF35" s="77" t="n">
        <f aca="false">$D35*AZ35</f>
        <v>1093616.23948624</v>
      </c>
      <c r="BG35" s="77" t="n">
        <f aca="false">$AK35</f>
        <v>-14969.2655844589</v>
      </c>
      <c r="BH35" s="77" t="n">
        <f aca="false">$M35*'Inputs and Assumptions'!$C$15</f>
        <v>10155467.974607</v>
      </c>
      <c r="BI35" s="215"/>
      <c r="BJ35" s="255" t="n">
        <f aca="false">CHOOSE(gen_choice,'Generation Calculations'!$O38,'Generation Calculations'!$P38)</f>
        <v>0.0559854255832437</v>
      </c>
      <c r="BK35" s="256" t="n">
        <f aca="false">EPS</f>
        <v>0.01</v>
      </c>
      <c r="BL35" s="247" t="n">
        <f aca="false">BN35-SUM(BJ35:BK35,BM35)</f>
        <v>0.0312374369561651</v>
      </c>
      <c r="BM35" s="247" t="n">
        <f aca="false">BR35/$D35*-1</f>
        <v>0.000136878596384882</v>
      </c>
      <c r="BN35" s="226" t="n">
        <f aca="false">BS35/$D35</f>
        <v>0.0973597411357937</v>
      </c>
      <c r="BO35" s="77" t="n">
        <f aca="false">$D35*BL35</f>
        <v>3416176.83351897</v>
      </c>
      <c r="BP35" s="77" t="n">
        <f aca="false">$AI35</f>
        <v>6122657.05923837</v>
      </c>
      <c r="BQ35" s="77" t="n">
        <f aca="false">$D35*BK35</f>
        <v>1093616.23948624</v>
      </c>
      <c r="BR35" s="77" t="n">
        <f aca="false">$AK35</f>
        <v>-14969.2655844589</v>
      </c>
      <c r="BS35" s="77" t="n">
        <f aca="false">D35*P_equal_gen</f>
        <v>10647419.397828</v>
      </c>
      <c r="BT35" s="215"/>
      <c r="BU35" s="255" t="n">
        <f aca="false">CHOOSE(gen_choice,'Generation Calculations'!$O38,'Generation Calculations'!$P38)</f>
        <v>0.0559854255832437</v>
      </c>
      <c r="BV35" s="256" t="n">
        <f aca="false">EPS</f>
        <v>0.01</v>
      </c>
      <c r="BW35" s="247" t="n">
        <f aca="false">BY35-SUM(BU35:BV35,BX35)</f>
        <v>0.0118986106458325</v>
      </c>
      <c r="BX35" s="247" t="n">
        <f aca="false">CC35/$D35*-1</f>
        <v>0.000136878596384882</v>
      </c>
      <c r="BY35" s="226" t="n">
        <f aca="false">CD35/$D35</f>
        <v>0.0780209148254611</v>
      </c>
      <c r="BZ35" s="77" t="n">
        <f aca="false">$D35*BW35</f>
        <v>1301251.38296062</v>
      </c>
      <c r="CA35" s="77" t="n">
        <f aca="false">$AI35</f>
        <v>6122657.05923837</v>
      </c>
      <c r="CB35" s="77" t="n">
        <f aca="false">$D35*BV35</f>
        <v>1093616.23948624</v>
      </c>
      <c r="CC35" s="77" t="n">
        <f aca="false">$AK35</f>
        <v>-14969.2655844589</v>
      </c>
      <c r="CD35" s="77" t="n">
        <f aca="false">$Z35*'Inputs and Assumptions'!$C$15</f>
        <v>8532493.94726969</v>
      </c>
    </row>
    <row r="36" customFormat="false" ht="12.75" hidden="false" customHeight="false" outlineLevel="0" collapsed="false">
      <c r="A36" s="94" t="s">
        <v>312</v>
      </c>
      <c r="B36" s="82" t="s">
        <v>234</v>
      </c>
      <c r="C36" s="82" t="n">
        <v>2</v>
      </c>
      <c r="D36" s="177" t="n">
        <f aca="false">'Test Year 2001 Sales and Revs.'!J39</f>
        <v>42586469.5847774</v>
      </c>
      <c r="E36" s="231" t="n">
        <f aca="false">surcharge_1*D36</f>
        <v>1629734.10784851</v>
      </c>
      <c r="F36" s="228"/>
      <c r="G36" s="250" t="n">
        <f aca="false">G34</f>
        <v>0.03736</v>
      </c>
      <c r="H36" s="229" t="n">
        <f aca="false">G36*D36</f>
        <v>1591030.50368728</v>
      </c>
      <c r="I36" s="91" t="n">
        <f aca="false">H36/$H$127</f>
        <v>0.000506138323743482</v>
      </c>
      <c r="J36" s="231" t="n">
        <f aca="false">I36*$E$129</f>
        <v>1244963.17761277</v>
      </c>
      <c r="K36" s="228"/>
      <c r="L36" s="251" t="n">
        <v>3497200.88230192</v>
      </c>
      <c r="M36" s="91" t="n">
        <f aca="false">L36/$L$127</f>
        <v>0.000500899011704904</v>
      </c>
      <c r="N36" s="231" t="n">
        <f aca="false">M36*$E$129</f>
        <v>1232075.88918179</v>
      </c>
      <c r="O36" s="228"/>
      <c r="P36" s="244" t="n">
        <f aca="false">P_Equal</f>
        <v>0.0376807380333753</v>
      </c>
      <c r="Q36" s="229" t="n">
        <f aca="false">P36*D36</f>
        <v>1604689.6041903</v>
      </c>
      <c r="R36" s="228"/>
      <c r="S36" s="211" t="n">
        <f aca="false">$D36/($D$29+$D$31+$D$34+$D$36)</f>
        <v>0.0623245505003325</v>
      </c>
      <c r="T36" s="245" t="n">
        <v>10214106.5595594</v>
      </c>
      <c r="U36" s="70" t="n">
        <f aca="false">$S36*T36</f>
        <v>636589.600087038</v>
      </c>
      <c r="V36" s="91" t="n">
        <f aca="false">U36/$U$127</f>
        <v>0.000394194528047475</v>
      </c>
      <c r="W36" s="245" t="n">
        <v>10208434.467121</v>
      </c>
      <c r="X36" s="70" t="n">
        <f aca="false">$S36*W36</f>
        <v>636236.089475415</v>
      </c>
      <c r="Y36" s="91" t="n">
        <f aca="false">X36/$X$127</f>
        <v>0.000419724870253893</v>
      </c>
      <c r="Z36" s="91" t="n">
        <f aca="false">AVERAGE(V36,Y36)</f>
        <v>0.000406959699150684</v>
      </c>
      <c r="AA36" s="232" t="n">
        <f aca="false">$Z36*'Inputs and Assumptions'!$C$6</f>
        <v>1001010.62584573</v>
      </c>
      <c r="AB36" s="237"/>
      <c r="AC36" s="262" t="n">
        <f aca="false">CHOOSE(gen_choice,'Generation Calculations'!$O39,'Generation Calculations'!$P39)</f>
        <v>0.0546986131974264</v>
      </c>
      <c r="AD36" s="263" t="n">
        <f aca="false">EPS</f>
        <v>0.01</v>
      </c>
      <c r="AE36" s="264" t="n">
        <f aca="false">AG36-SUM(AC36:AD36,AF36)</f>
        <v>0.0526925808239029</v>
      </c>
      <c r="AF36" s="264" t="n">
        <f aca="false">AK36/$D36*-1</f>
        <v>-0.0110079095394391</v>
      </c>
      <c r="AG36" s="253" t="n">
        <f aca="false">AL36/$D36</f>
        <v>0.10638328448189</v>
      </c>
      <c r="AH36" s="231" t="n">
        <f aca="false">$D36*AE36</f>
        <v>2243990.99060057</v>
      </c>
      <c r="AI36" s="260" t="n">
        <f aca="false">CHOOSE(gen_choice,'Generation Calculations'!$M39,'Generation Calculations'!$N39)</f>
        <v>2329420.8272617</v>
      </c>
      <c r="AJ36" s="231" t="n">
        <f aca="false">$D36*AD36</f>
        <v>425864.695847774</v>
      </c>
      <c r="AK36" s="254" t="n">
        <f aca="false">CHOOSE(gen_choice,'Generation Calculations'!K39,'Generation Calculations'!L39)</f>
        <v>468788.004793305</v>
      </c>
      <c r="AL36" s="231" t="n">
        <f aca="false">$D36*gen_equal</f>
        <v>4530488.50891674</v>
      </c>
      <c r="AM36" s="228"/>
      <c r="AN36" s="262" t="n">
        <f aca="false">CHOOSE(gen_choice,'Generation Calculations'!$O39,'Generation Calculations'!$P39)</f>
        <v>0.0546986131974264</v>
      </c>
      <c r="AO36" s="263" t="n">
        <f aca="false">EPS</f>
        <v>0.01</v>
      </c>
      <c r="AP36" s="264" t="n">
        <f aca="false">AR36-SUM(AN36:AO36,AQ36)</f>
        <v>0.040267816225494</v>
      </c>
      <c r="AQ36" s="264" t="n">
        <f aca="false">AV36/$D36*-1</f>
        <v>-0.0110079095394391</v>
      </c>
      <c r="AR36" s="253" t="n">
        <f aca="false">AW36/$D36</f>
        <v>0.0939585198834812</v>
      </c>
      <c r="AS36" s="231" t="n">
        <f aca="false">$D36*AP36</f>
        <v>1714864.13093241</v>
      </c>
      <c r="AT36" s="231" t="n">
        <f aca="false">$AI36</f>
        <v>2329420.8272617</v>
      </c>
      <c r="AU36" s="231" t="n">
        <f aca="false">$D36*AO36</f>
        <v>425864.695847774</v>
      </c>
      <c r="AV36" s="231" t="n">
        <f aca="false">$AK36</f>
        <v>468788.004793305</v>
      </c>
      <c r="AW36" s="231" t="n">
        <f aca="false">$I36*'Inputs and Assumptions'!$C$15</f>
        <v>4001361.64924858</v>
      </c>
      <c r="AX36" s="228"/>
      <c r="AY36" s="262" t="n">
        <f aca="false">CHOOSE(gen_choice,'Generation Calculations'!$O39,'Generation Calculations'!$P39)</f>
        <v>0.0546986131974264</v>
      </c>
      <c r="AZ36" s="263" t="n">
        <f aca="false">EPS</f>
        <v>0.01</v>
      </c>
      <c r="BA36" s="264" t="n">
        <f aca="false">BC36-SUM(AY36:AZ36,BB36)</f>
        <v>0.0392952006750421</v>
      </c>
      <c r="BB36" s="264" t="n">
        <f aca="false">BG36/$D36*-1</f>
        <v>-0.0110079095394391</v>
      </c>
      <c r="BC36" s="253" t="n">
        <f aca="false">BH36/$D36</f>
        <v>0.0929859043330294</v>
      </c>
      <c r="BD36" s="231" t="n">
        <f aca="false">$D36*BA36</f>
        <v>1673443.86837541</v>
      </c>
      <c r="BE36" s="231" t="n">
        <f aca="false">$AI36</f>
        <v>2329420.8272617</v>
      </c>
      <c r="BF36" s="231" t="n">
        <f aca="false">$D36*AZ36</f>
        <v>425864.695847774</v>
      </c>
      <c r="BG36" s="231" t="n">
        <f aca="false">$AK36</f>
        <v>468788.004793305</v>
      </c>
      <c r="BH36" s="231" t="n">
        <f aca="false">$M36*'Inputs and Assumptions'!$C$15</f>
        <v>3959941.38669158</v>
      </c>
      <c r="BI36" s="228"/>
      <c r="BJ36" s="262" t="n">
        <f aca="false">CHOOSE(gen_choice,'Generation Calculations'!$O39,'Generation Calculations'!$P39)</f>
        <v>0.0546986131974264</v>
      </c>
      <c r="BK36" s="263" t="n">
        <f aca="false">EPS</f>
        <v>0.01</v>
      </c>
      <c r="BL36" s="264" t="n">
        <f aca="false">BN36-SUM(BJ36:BK36,BM36)</f>
        <v>0.0436690374778064</v>
      </c>
      <c r="BM36" s="264" t="n">
        <f aca="false">BR36/$D36*-1</f>
        <v>-0.0110079095394391</v>
      </c>
      <c r="BN36" s="253" t="n">
        <f aca="false">BS36/$D36</f>
        <v>0.0973597411357937</v>
      </c>
      <c r="BO36" s="231" t="n">
        <f aca="false">$D36*BL36</f>
        <v>1859710.13634511</v>
      </c>
      <c r="BP36" s="231" t="n">
        <f aca="false">$AI36</f>
        <v>2329420.8272617</v>
      </c>
      <c r="BQ36" s="231" t="n">
        <f aca="false">$D36*BK36</f>
        <v>425864.695847774</v>
      </c>
      <c r="BR36" s="231" t="n">
        <f aca="false">$AK36</f>
        <v>468788.004793305</v>
      </c>
      <c r="BS36" s="231" t="n">
        <f aca="false">D36*P_equal_gen</f>
        <v>4146207.65466128</v>
      </c>
      <c r="BT36" s="228"/>
      <c r="BU36" s="262" t="n">
        <f aca="false">CHOOSE(gen_choice,'Generation Calculations'!$O39,'Generation Calculations'!$P39)</f>
        <v>0.0546986131974264</v>
      </c>
      <c r="BV36" s="263" t="n">
        <f aca="false">EPS</f>
        <v>0.01</v>
      </c>
      <c r="BW36" s="264" t="n">
        <f aca="false">BY36-SUM(BU36:BV36,BX36)</f>
        <v>0.0218564920208846</v>
      </c>
      <c r="BX36" s="264" t="n">
        <f aca="false">CC36/$D36*-1</f>
        <v>-0.0110079095394391</v>
      </c>
      <c r="BY36" s="253" t="n">
        <f aca="false">CD36/$D36</f>
        <v>0.0755471956788719</v>
      </c>
      <c r="BZ36" s="231" t="n">
        <f aca="false">$D36*BW36</f>
        <v>930790.832677333</v>
      </c>
      <c r="CA36" s="231" t="n">
        <f aca="false">$AI36</f>
        <v>2329420.8272617</v>
      </c>
      <c r="CB36" s="231" t="n">
        <f aca="false">$D36*BV36</f>
        <v>425864.695847774</v>
      </c>
      <c r="CC36" s="231" t="n">
        <f aca="false">$AK36</f>
        <v>468788.004793305</v>
      </c>
      <c r="CD36" s="231" t="n">
        <f aca="false">$Z36*'Inputs and Assumptions'!$C$15</f>
        <v>3217288.3509935</v>
      </c>
    </row>
    <row r="37" customFormat="false" ht="12.75" hidden="false" customHeight="false" outlineLevel="0" collapsed="false">
      <c r="A37" s="97" t="s">
        <v>313</v>
      </c>
      <c r="B37" s="98" t="s">
        <v>234</v>
      </c>
      <c r="C37" s="98"/>
      <c r="D37" s="159" t="n">
        <f aca="false">SUM(D34:D36)</f>
        <v>783953304.520951</v>
      </c>
      <c r="E37" s="77" t="n">
        <f aca="false">SUM(E34:E36)</f>
        <v>30000971.0078206</v>
      </c>
      <c r="F37" s="215"/>
      <c r="G37" s="242"/>
      <c r="H37" s="13" t="n">
        <f aca="false">SUM(H34:H36)</f>
        <v>29218504.0175756</v>
      </c>
      <c r="I37" s="88" t="n">
        <f aca="false">SUM(I34:I36)</f>
        <v>0.00929498498707264</v>
      </c>
      <c r="J37" s="77" t="n">
        <f aca="false">SUM(J34:J36)</f>
        <v>22863145.3152592</v>
      </c>
      <c r="K37" s="215"/>
      <c r="L37" s="129" t="n">
        <f aca="false">SUM(L34:L36)</f>
        <v>64366215.5886262</v>
      </c>
      <c r="M37" s="88" t="n">
        <f aca="false">SUM(M34:M36)</f>
        <v>0.00921907973279076</v>
      </c>
      <c r="N37" s="77" t="n">
        <f aca="false">SUM(N34:N36)</f>
        <v>22676438.9503483</v>
      </c>
      <c r="O37" s="215"/>
      <c r="P37" s="244"/>
      <c r="Q37" s="13" t="n">
        <f aca="false">SUM(Q34:Q36)</f>
        <v>29539939.0980529</v>
      </c>
      <c r="R37" s="215"/>
      <c r="T37" s="245"/>
      <c r="U37" s="212" t="n">
        <f aca="false">SUM(U34:U36)</f>
        <v>11813569.8754441</v>
      </c>
      <c r="V37" s="88" t="n">
        <f aca="false">SUM(V34:V36)</f>
        <v>0.00731530109975065</v>
      </c>
      <c r="W37" s="245"/>
      <c r="X37" s="212" t="n">
        <f aca="false">SUM(X34:X36)</f>
        <v>11726815.8327804</v>
      </c>
      <c r="Y37" s="88" t="n">
        <f aca="false">SUM(Y34:Y36)</f>
        <v>0.00773617896772144</v>
      </c>
      <c r="Z37" s="88" t="n">
        <f aca="false">AVERAGE(V37,Y37)</f>
        <v>0.00752574003373605</v>
      </c>
      <c r="AA37" s="129" t="n">
        <f aca="false">SUM(AA34:AA36)</f>
        <v>18511281.9693064</v>
      </c>
      <c r="AB37" s="217"/>
      <c r="AC37" s="19" t="n">
        <f aca="false">CHOOSE(gen_choice,'Generation Calculations'!$O40,'Generation Calculations'!$P40)</f>
        <v>0.056227655051451</v>
      </c>
      <c r="AD37" s="249" t="n">
        <f aca="false">EPS</f>
        <v>0.01</v>
      </c>
      <c r="AE37" s="226" t="n">
        <f aca="false">AH37/$D37</f>
        <v>0.0406679105641239</v>
      </c>
      <c r="AF37" s="226" t="n">
        <f aca="false">AK37/$D37*-1</f>
        <v>-0.000512281133684868</v>
      </c>
      <c r="AG37" s="226" t="n">
        <f aca="false">AL37/$D37</f>
        <v>0.10638328448189</v>
      </c>
      <c r="AH37" s="77" t="n">
        <f aca="false">AL37+AK37-SUM(AI37:AJ37)</f>
        <v>31881742.8747075</v>
      </c>
      <c r="AI37" s="77" t="n">
        <f aca="false">SUM(AI34:AI36)</f>
        <v>44079855.9830492</v>
      </c>
      <c r="AJ37" s="77" t="n">
        <f aca="false">SUM(AJ34:AJ36)</f>
        <v>7839533.04520951</v>
      </c>
      <c r="AK37" s="77" t="n">
        <f aca="false">SUM(AK34:AK36)</f>
        <v>401604.487595992</v>
      </c>
      <c r="AL37" s="77" t="n">
        <f aca="false">SUM(AL34:AL36)</f>
        <v>83399527.4153702</v>
      </c>
      <c r="AM37" s="215"/>
      <c r="AN37" s="19" t="n">
        <f aca="false">CHOOSE(gen_choice,'Generation Calculations'!$O40,'Generation Calculations'!$P40)</f>
        <v>0.056227655051451</v>
      </c>
      <c r="AO37" s="249" t="n">
        <f aca="false">EPS</f>
        <v>0.01</v>
      </c>
      <c r="AP37" s="226" t="n">
        <f aca="false">AS37/$D37</f>
        <v>0.0280186109754023</v>
      </c>
      <c r="AQ37" s="226" t="n">
        <f aca="false">AV37/$D37*-1</f>
        <v>-0.000512281133684868</v>
      </c>
      <c r="AR37" s="226" t="n">
        <f aca="false">AW37/$D37</f>
        <v>0.0937339848931684</v>
      </c>
      <c r="AS37" s="77" t="n">
        <f aca="false">SUM(AS34:AS36)</f>
        <v>21965282.6622536</v>
      </c>
      <c r="AT37" s="77" t="n">
        <f aca="false">SUM(AT34:AT36)</f>
        <v>44079855.9830492</v>
      </c>
      <c r="AU37" s="77" t="n">
        <f aca="false">SUM(AU34:AU36)</f>
        <v>7839533.04520951</v>
      </c>
      <c r="AV37" s="77" t="n">
        <f aca="false">SUM(AV34:AV36)</f>
        <v>401604.487595992</v>
      </c>
      <c r="AW37" s="77" t="n">
        <f aca="false">SUM(AW34:AW36)</f>
        <v>73483067.2029163</v>
      </c>
      <c r="AX37" s="215"/>
      <c r="AY37" s="19" t="n">
        <f aca="false">CHOOSE(gen_choice,'Generation Calculations'!$O40,'Generation Calculations'!$P40)</f>
        <v>0.056227655051451</v>
      </c>
      <c r="AZ37" s="249" t="n">
        <f aca="false">EPS</f>
        <v>0.01</v>
      </c>
      <c r="BA37" s="226" t="n">
        <f aca="false">BD37/$D37</f>
        <v>0.0272531549829435</v>
      </c>
      <c r="BB37" s="226" t="n">
        <f aca="false">BG37/$D37*-1</f>
        <v>-0.000512281133684868</v>
      </c>
      <c r="BC37" s="226" t="n">
        <f aca="false">BH37/$D37</f>
        <v>0.0929685289007096</v>
      </c>
      <c r="BD37" s="77" t="n">
        <f aca="false">SUM(BD34:BD36)</f>
        <v>21365200.9075002</v>
      </c>
      <c r="BE37" s="77" t="n">
        <f aca="false">SUM(BE34:BE36)</f>
        <v>44079855.9830492</v>
      </c>
      <c r="BF37" s="77" t="n">
        <f aca="false">SUM(BF34:BF36)</f>
        <v>7839533.04520951</v>
      </c>
      <c r="BG37" s="77" t="n">
        <f aca="false">SUM(BG34:BG36)</f>
        <v>401604.487595992</v>
      </c>
      <c r="BH37" s="77" t="n">
        <f aca="false">SUM(BH34:BH36)</f>
        <v>72882985.4481629</v>
      </c>
      <c r="BI37" s="215"/>
      <c r="BJ37" s="19" t="n">
        <f aca="false">CHOOSE(gen_choice,'Generation Calculations'!$O40,'Generation Calculations'!$P40)</f>
        <v>0.056227655051451</v>
      </c>
      <c r="BK37" s="249" t="n">
        <f aca="false">EPS</f>
        <v>0.01</v>
      </c>
      <c r="BL37" s="226" t="n">
        <f aca="false">BO37/$D37</f>
        <v>0.0316443672180275</v>
      </c>
      <c r="BM37" s="226" t="n">
        <f aca="false">BR37/$D37*-1</f>
        <v>-0.000512281133684868</v>
      </c>
      <c r="BN37" s="226" t="n">
        <f aca="false">BS37/$D37</f>
        <v>0.0973597411357937</v>
      </c>
      <c r="BO37" s="77" t="n">
        <f aca="false">SUM(BO34:BO36)</f>
        <v>24807706.2500471</v>
      </c>
      <c r="BP37" s="77" t="n">
        <f aca="false">SUM(BP34:BP36)</f>
        <v>44079855.9830492</v>
      </c>
      <c r="BQ37" s="77" t="n">
        <f aca="false">SUM(BQ34:BQ36)</f>
        <v>7839533.04520951</v>
      </c>
      <c r="BR37" s="77" t="n">
        <f aca="false">SUM(BR34:BR36)</f>
        <v>401604.487595992</v>
      </c>
      <c r="BS37" s="77" t="n">
        <f aca="false">SUM(BS34:BS36)</f>
        <v>76325490.7907098</v>
      </c>
      <c r="BT37" s="215"/>
      <c r="BU37" s="19" t="n">
        <f aca="false">CHOOSE(gen_choice,'Generation Calculations'!$O40,'Generation Calculations'!$P40)</f>
        <v>0.056227655051451</v>
      </c>
      <c r="BV37" s="249" t="n">
        <f aca="false">EPS</f>
        <v>0.01</v>
      </c>
      <c r="BW37" s="226" t="n">
        <f aca="false">BZ37/$D37</f>
        <v>0.0101769060174047</v>
      </c>
      <c r="BX37" s="226" t="n">
        <f aca="false">CC37/$D37*-1</f>
        <v>-0.000512281133684868</v>
      </c>
      <c r="BY37" s="226" t="n">
        <f aca="false">CD37/$D37</f>
        <v>0.0758922799351709</v>
      </c>
      <c r="BZ37" s="77" t="n">
        <f aca="false">SUM(BZ34:BZ36)</f>
        <v>7978219.1021436</v>
      </c>
      <c r="CA37" s="77" t="n">
        <f aca="false">SUM(CA34:CA36)</f>
        <v>44079855.9830492</v>
      </c>
      <c r="CB37" s="77" t="n">
        <f aca="false">SUM(CB34:CB36)</f>
        <v>7839533.04520951</v>
      </c>
      <c r="CC37" s="77" t="n">
        <f aca="false">SUM(CC34:CC36)</f>
        <v>401604.487595992</v>
      </c>
      <c r="CD37" s="77" t="n">
        <f aca="false">SUM(CD34:CD36)</f>
        <v>59496003.6428063</v>
      </c>
    </row>
    <row r="38" customFormat="false" ht="12.75" hidden="false" customHeight="false" outlineLevel="0" collapsed="false">
      <c r="A38" s="92"/>
      <c r="B38" s="79"/>
      <c r="C38" s="79"/>
      <c r="D38" s="159"/>
      <c r="E38" s="77"/>
      <c r="F38" s="215"/>
      <c r="G38" s="242"/>
      <c r="H38" s="13"/>
      <c r="I38" s="88"/>
      <c r="J38" s="77"/>
      <c r="K38" s="215"/>
      <c r="L38" s="129"/>
      <c r="M38" s="88"/>
      <c r="N38" s="77"/>
      <c r="O38" s="215"/>
      <c r="P38" s="244"/>
      <c r="Q38" s="13"/>
      <c r="R38" s="215"/>
      <c r="T38" s="245"/>
      <c r="V38" s="88"/>
      <c r="W38" s="245"/>
      <c r="X38" s="212"/>
      <c r="Y38" s="88"/>
      <c r="Z38" s="88"/>
      <c r="AA38" s="129"/>
      <c r="AB38" s="217"/>
      <c r="AC38" s="74"/>
      <c r="AD38" s="19"/>
      <c r="AH38" s="77"/>
      <c r="AJ38" s="77"/>
      <c r="AK38" s="77"/>
      <c r="AL38" s="77"/>
      <c r="AM38" s="215"/>
      <c r="AN38" s="74"/>
      <c r="AO38" s="19"/>
      <c r="AP38" s="0"/>
      <c r="AQ38" s="0"/>
      <c r="AR38" s="0"/>
      <c r="AS38" s="77"/>
      <c r="AT38" s="77"/>
      <c r="AU38" s="77"/>
      <c r="AV38" s="77"/>
      <c r="AW38" s="77"/>
      <c r="AX38" s="215"/>
      <c r="AY38" s="74"/>
      <c r="AZ38" s="19"/>
      <c r="BA38" s="0"/>
      <c r="BB38" s="0"/>
      <c r="BC38" s="0"/>
      <c r="BD38" s="77"/>
      <c r="BE38" s="77"/>
      <c r="BF38" s="77"/>
      <c r="BG38" s="77"/>
      <c r="BH38" s="77"/>
      <c r="BI38" s="215"/>
      <c r="BJ38" s="74"/>
      <c r="BK38" s="19"/>
      <c r="BL38" s="0"/>
      <c r="BM38" s="0"/>
      <c r="BN38" s="0"/>
      <c r="BO38" s="77"/>
      <c r="BP38" s="77"/>
      <c r="BQ38" s="77"/>
      <c r="BR38" s="77"/>
      <c r="BS38" s="77"/>
      <c r="BT38" s="215"/>
      <c r="BU38" s="74"/>
      <c r="BV38" s="19"/>
      <c r="BW38" s="0"/>
      <c r="BX38" s="0"/>
      <c r="BY38" s="0"/>
      <c r="BZ38" s="77"/>
      <c r="CA38" s="77"/>
      <c r="CB38" s="77"/>
      <c r="CC38" s="77"/>
      <c r="CD38" s="77"/>
    </row>
    <row r="39" customFormat="false" ht="12.75" hidden="false" customHeight="false" outlineLevel="0" collapsed="false">
      <c r="A39" s="94" t="s">
        <v>310</v>
      </c>
      <c r="B39" s="82" t="s">
        <v>231</v>
      </c>
      <c r="C39" s="82" t="n">
        <v>1</v>
      </c>
      <c r="D39" s="170" t="n">
        <f aca="false">'Test Year 2001 Sales and Revs.'!J42</f>
        <v>4754609035.14343</v>
      </c>
      <c r="E39" s="77" t="n">
        <f aca="false">surcharge_1*D39</f>
        <v>181953296.190293</v>
      </c>
      <c r="F39" s="215"/>
      <c r="G39" s="242" t="n">
        <f aca="false">0.04008</f>
        <v>0.04008</v>
      </c>
      <c r="H39" s="13" t="n">
        <f aca="false">G39*D39</f>
        <v>190564730.128548</v>
      </c>
      <c r="I39" s="88" t="n">
        <f aca="false">H39/$H$127</f>
        <v>0.0606224160054509</v>
      </c>
      <c r="J39" s="77" t="n">
        <f aca="false">I39*$E$129</f>
        <v>149114722.446823</v>
      </c>
      <c r="K39" s="215"/>
      <c r="L39" s="243" t="n">
        <v>419831977.803164</v>
      </c>
      <c r="M39" s="88" t="n">
        <f aca="false">L39/$L$127</f>
        <v>0.060131925457282</v>
      </c>
      <c r="N39" s="77" t="n">
        <f aca="false">M39*$E$129</f>
        <v>147908248.558576</v>
      </c>
      <c r="O39" s="215"/>
      <c r="P39" s="244" t="n">
        <f aca="false">S_Equal</f>
        <v>0.0385694346851059</v>
      </c>
      <c r="Q39" s="13" t="n">
        <f aca="false">P39*D39</f>
        <v>183382582.634179</v>
      </c>
      <c r="R39" s="215"/>
      <c r="S39" s="211" t="n">
        <f aca="false">$D39/($D$39+$D$41+$D$46)</f>
        <v>0.985361172787876</v>
      </c>
      <c r="T39" s="245" t="n">
        <v>83958782.992269</v>
      </c>
      <c r="U39" s="212" t="n">
        <f aca="false">$S39*T39</f>
        <v>82729724.875105</v>
      </c>
      <c r="V39" s="88" t="n">
        <f aca="false">U39/$U$127</f>
        <v>0.0512286170684859</v>
      </c>
      <c r="W39" s="245" t="n">
        <v>81212350.4608416</v>
      </c>
      <c r="X39" s="212" t="n">
        <f aca="false">$S39*W39</f>
        <v>80023496.8949548</v>
      </c>
      <c r="Y39" s="88" t="n">
        <f aca="false">X39/$X$127</f>
        <v>0.0527914910944321</v>
      </c>
      <c r="Z39" s="88" t="n">
        <f aca="false">AVERAGE(V39,Y39)</f>
        <v>0.052010054081459</v>
      </c>
      <c r="AA39" s="129" t="n">
        <f aca="false">$Z39*'Inputs and Assumptions'!$C$6</f>
        <v>127930644.963138</v>
      </c>
      <c r="AB39" s="217"/>
      <c r="AC39" s="255" t="n">
        <f aca="false">CHOOSE(gen_choice,'Generation Calculations'!$O42,'Generation Calculations'!$P42)</f>
        <v>0.0617437228500652</v>
      </c>
      <c r="AD39" s="256" t="n">
        <f aca="false">EPS</f>
        <v>0.01</v>
      </c>
      <c r="AE39" s="247" t="n">
        <f aca="false">AG39-SUM(AC39:AD39,AF39)</f>
        <v>0.0346233479608326</v>
      </c>
      <c r="AF39" s="247" t="n">
        <f aca="false">AK39/$D39*-1</f>
        <v>1.62136709923381E-005</v>
      </c>
      <c r="AG39" s="226" t="n">
        <f aca="false">AL39/$D39</f>
        <v>0.10638328448189</v>
      </c>
      <c r="AH39" s="77" t="n">
        <f aca="false">$D39*AE39</f>
        <v>164620483.041489</v>
      </c>
      <c r="AI39" s="258" t="n">
        <f aca="false">CHOOSE(gen_choice,'Generation Calculations'!$M42,'Generation Calculations'!$N42)</f>
        <v>293567262.526311</v>
      </c>
      <c r="AJ39" s="77" t="n">
        <f aca="false">$D39*AD39</f>
        <v>47546090.3514343</v>
      </c>
      <c r="AK39" s="248" t="n">
        <f aca="false">CHOOSE(gen_choice,'Generation Calculations'!K42,'Generation Calculations'!L42)</f>
        <v>-77089.6665930135</v>
      </c>
      <c r="AL39" s="77" t="n">
        <f aca="false">$D39*gen_equal</f>
        <v>505810925.585828</v>
      </c>
      <c r="AM39" s="215"/>
      <c r="AN39" s="255" t="n">
        <f aca="false">CHOOSE(gen_choice,'Generation Calculations'!$O42,'Generation Calculations'!$P42)</f>
        <v>0.0617437228500652</v>
      </c>
      <c r="AO39" s="256" t="n">
        <f aca="false">EPS</f>
        <v>0.01</v>
      </c>
      <c r="AP39" s="247" t="n">
        <f aca="false">AR39-SUM(AN39:AO39,AQ39)</f>
        <v>0.0290392464802789</v>
      </c>
      <c r="AQ39" s="247" t="n">
        <f aca="false">AV39/$D39*-1</f>
        <v>1.62136709923381E-005</v>
      </c>
      <c r="AR39" s="226" t="n">
        <f aca="false">AW39/$D39</f>
        <v>0.100799183001336</v>
      </c>
      <c r="AS39" s="77" t="n">
        <f aca="false">$D39*AP39</f>
        <v>138070263.688891</v>
      </c>
      <c r="AT39" s="77" t="n">
        <f aca="false">$AI39</f>
        <v>293567262.526311</v>
      </c>
      <c r="AU39" s="77" t="n">
        <f aca="false">$D39*AO39</f>
        <v>47546090.3514343</v>
      </c>
      <c r="AV39" s="77" t="n">
        <f aca="false">$AK39</f>
        <v>-77089.6665930135</v>
      </c>
      <c r="AW39" s="77" t="n">
        <f aca="false">$I39*'Inputs and Assumptions'!$C$15</f>
        <v>479260706.233229</v>
      </c>
      <c r="AX39" s="215"/>
      <c r="AY39" s="255" t="n">
        <f aca="false">CHOOSE(gen_choice,'Generation Calculations'!$O42,'Generation Calculations'!$P42)</f>
        <v>0.0617437228500652</v>
      </c>
      <c r="AZ39" s="256" t="n">
        <f aca="false">EPS</f>
        <v>0.01</v>
      </c>
      <c r="BA39" s="247" t="n">
        <f aca="false">BC39-SUM(AY39:AZ39,BB39)</f>
        <v>0.0282236893022071</v>
      </c>
      <c r="BB39" s="247" t="n">
        <f aca="false">BG39/$D39*-1</f>
        <v>1.62136709923381E-005</v>
      </c>
      <c r="BC39" s="226" t="n">
        <f aca="false">BH39/$D39</f>
        <v>0.0999836258232646</v>
      </c>
      <c r="BD39" s="77" t="n">
        <f aca="false">$D39*BA39</f>
        <v>134192608.161355</v>
      </c>
      <c r="BE39" s="77" t="n">
        <f aca="false">$AI39</f>
        <v>293567262.526311</v>
      </c>
      <c r="BF39" s="77" t="n">
        <f aca="false">$D39*AZ39</f>
        <v>47546090.3514343</v>
      </c>
      <c r="BG39" s="77" t="n">
        <f aca="false">$AK39</f>
        <v>-77089.6665930135</v>
      </c>
      <c r="BH39" s="77" t="n">
        <f aca="false">$M39*'Inputs and Assumptions'!$C$15</f>
        <v>475383050.705693</v>
      </c>
      <c r="BI39" s="215"/>
      <c r="BJ39" s="255" t="n">
        <f aca="false">CHOOSE(gen_choice,'Generation Calculations'!$O42,'Generation Calculations'!$P42)</f>
        <v>0.0617437228500652</v>
      </c>
      <c r="BK39" s="256" t="n">
        <f aca="false">EPS</f>
        <v>0.01</v>
      </c>
      <c r="BL39" s="247" t="n">
        <f aca="false">BN39-SUM(BJ39:BK39,BM39)</f>
        <v>0.0278960249245426</v>
      </c>
      <c r="BM39" s="247" t="n">
        <f aca="false">BR39/$D39*-1</f>
        <v>1.62136709923381E-005</v>
      </c>
      <c r="BN39" s="226" t="n">
        <f aca="false">BS39/$D39</f>
        <v>0.0996559614456001</v>
      </c>
      <c r="BO39" s="77" t="n">
        <f aca="false">$D39*BL39</f>
        <v>132634692.150816</v>
      </c>
      <c r="BP39" s="77" t="n">
        <f aca="false">$AI39</f>
        <v>293567262.526311</v>
      </c>
      <c r="BQ39" s="77" t="n">
        <f aca="false">$D39*BK39</f>
        <v>47546090.3514343</v>
      </c>
      <c r="BR39" s="77" t="n">
        <f aca="false">$AK39</f>
        <v>-77089.6665930135</v>
      </c>
      <c r="BS39" s="77" t="n">
        <f aca="false">D39*s_equal_gen</f>
        <v>473825134.695155</v>
      </c>
      <c r="BT39" s="215"/>
      <c r="BU39" s="255" t="n">
        <f aca="false">CHOOSE(gen_choice,'Generation Calculations'!$O42,'Generation Calculations'!$P42)</f>
        <v>0.0617437228500652</v>
      </c>
      <c r="BV39" s="256" t="n">
        <f aca="false">EPS</f>
        <v>0.01</v>
      </c>
      <c r="BW39" s="247" t="n">
        <f aca="false">BY39-SUM(BU39:BV39,BX39)</f>
        <v>0.0147191467077435</v>
      </c>
      <c r="BX39" s="247" t="n">
        <f aca="false">CC39/$D39*-1</f>
        <v>1.62136709923381E-005</v>
      </c>
      <c r="BY39" s="226" t="n">
        <f aca="false">CD39/$D39</f>
        <v>0.0864790832288011</v>
      </c>
      <c r="BZ39" s="77" t="n">
        <f aca="false">$D39*BW39</f>
        <v>69983787.926239</v>
      </c>
      <c r="CA39" s="77" t="n">
        <f aca="false">$AI39</f>
        <v>293567262.526311</v>
      </c>
      <c r="CB39" s="77" t="n">
        <f aca="false">$D39*BV39</f>
        <v>47546090.3514343</v>
      </c>
      <c r="CC39" s="77" t="n">
        <f aca="false">$AK39</f>
        <v>-77089.6665930135</v>
      </c>
      <c r="CD39" s="77" t="n">
        <f aca="false">$Z39*'Inputs and Assumptions'!$C$15</f>
        <v>411174230.470578</v>
      </c>
    </row>
    <row r="40" customFormat="false" ht="12.75" hidden="false" customHeight="false" outlineLevel="0" collapsed="false">
      <c r="A40" s="94" t="s">
        <v>311</v>
      </c>
      <c r="B40" s="82" t="s">
        <v>231</v>
      </c>
      <c r="C40" s="82" t="n">
        <v>1</v>
      </c>
      <c r="D40" s="170" t="n">
        <f aca="false">'Test Year 2001 Sales and Revs.'!J43</f>
        <v>5395331629.57665</v>
      </c>
      <c r="E40" s="77" t="n">
        <f aca="false">surcharge_1*D40</f>
        <v>206472996.367325</v>
      </c>
      <c r="F40" s="215"/>
      <c r="G40" s="242" t="n">
        <f aca="false">0.03857</f>
        <v>0.03857</v>
      </c>
      <c r="H40" s="13" t="n">
        <f aca="false">G40*D40</f>
        <v>208097940.952772</v>
      </c>
      <c r="I40" s="88" t="n">
        <f aca="false">H40/$H$127</f>
        <v>0.0662000777258559</v>
      </c>
      <c r="J40" s="77" t="n">
        <f aca="false">I40*$E$129</f>
        <v>162834259.445574</v>
      </c>
      <c r="K40" s="215"/>
      <c r="L40" s="243" t="n">
        <v>465347353.050986</v>
      </c>
      <c r="M40" s="88" t="n">
        <f aca="false">L40/$L$127</f>
        <v>0.0666510266603006</v>
      </c>
      <c r="N40" s="77" t="n">
        <f aca="false">M40*$E$129</f>
        <v>163943471.674782</v>
      </c>
      <c r="O40" s="215"/>
      <c r="P40" s="244" t="n">
        <f aca="false">S_Equal</f>
        <v>0.0385694346851059</v>
      </c>
      <c r="Q40" s="13" t="n">
        <f aca="false">P40*D40</f>
        <v>208094890.891443</v>
      </c>
      <c r="R40" s="215"/>
      <c r="S40" s="211" t="n">
        <f aca="false">$D40/($D$30+$D$35+$D$40)</f>
        <v>0.979752439907433</v>
      </c>
      <c r="T40" s="245" t="n">
        <v>87095960.4430121</v>
      </c>
      <c r="U40" s="212" t="n">
        <f aca="false">$S40*T40</f>
        <v>85332479.7501224</v>
      </c>
      <c r="V40" s="88" t="n">
        <f aca="false">U40/$U$127</f>
        <v>0.0528403174943811</v>
      </c>
      <c r="W40" s="245" t="n">
        <v>83009492.2893343</v>
      </c>
      <c r="X40" s="212" t="n">
        <f aca="false">$S40*W40</f>
        <v>81328752.6059525</v>
      </c>
      <c r="Y40" s="88" t="n">
        <f aca="false">X40/$X$127</f>
        <v>0.0536525681270135</v>
      </c>
      <c r="Z40" s="88" t="n">
        <f aca="false">AVERAGE(V40,Y40)</f>
        <v>0.0532464428106973</v>
      </c>
      <c r="AA40" s="129" t="n">
        <f aca="false">$Z40*'Inputs and Assumptions'!$C$6</f>
        <v>130971826.333741</v>
      </c>
      <c r="AB40" s="217"/>
      <c r="AC40" s="255" t="n">
        <f aca="false">CHOOSE(gen_choice,'Generation Calculations'!$O43,'Generation Calculations'!$P43)</f>
        <v>0.0583010285588659</v>
      </c>
      <c r="AD40" s="256" t="n">
        <f aca="false">EPS</f>
        <v>0.01</v>
      </c>
      <c r="AE40" s="247" t="n">
        <f aca="false">AG40-SUM(AC40:AD40,AF40)</f>
        <v>0.038061754546641</v>
      </c>
      <c r="AF40" s="247" t="n">
        <f aca="false">AK40/$D40*-1</f>
        <v>2.05013763832703E-005</v>
      </c>
      <c r="AG40" s="226" t="n">
        <f aca="false">AL40/$D40</f>
        <v>0.10638328448189</v>
      </c>
      <c r="AH40" s="77" t="n">
        <f aca="false">$D40*AE40</f>
        <v>205355788.182675</v>
      </c>
      <c r="AI40" s="258" t="n">
        <f aca="false">CHOOSE(gen_choice,'Generation Calculations'!$M43,'Generation Calculations'!$N43)</f>
        <v>314553383.420501</v>
      </c>
      <c r="AJ40" s="77" t="n">
        <f aca="false">$D40*AD40</f>
        <v>53953316.2957666</v>
      </c>
      <c r="AK40" s="248" t="n">
        <f aca="false">CHOOSE(gen_choice,'Generation Calculations'!K43,'Generation Calculations'!L43)</f>
        <v>-110611.724450514</v>
      </c>
      <c r="AL40" s="77" t="n">
        <f aca="false">$D40*gen_equal</f>
        <v>573973099.623393</v>
      </c>
      <c r="AM40" s="215"/>
      <c r="AN40" s="255" t="n">
        <f aca="false">CHOOSE(gen_choice,'Generation Calculations'!$O43,'Generation Calculations'!$P43)</f>
        <v>0.0583010285588659</v>
      </c>
      <c r="AO40" s="256" t="n">
        <f aca="false">EPS</f>
        <v>0.01</v>
      </c>
      <c r="AP40" s="247" t="n">
        <f aca="false">AR40-SUM(AN40:AO40,AQ40)</f>
        <v>0.0286800790558073</v>
      </c>
      <c r="AQ40" s="247" t="n">
        <f aca="false">AV40/$D40*-1</f>
        <v>2.05013763832703E-005</v>
      </c>
      <c r="AR40" s="226" t="n">
        <f aca="false">AW40/$D40</f>
        <v>0.0970016089910565</v>
      </c>
      <c r="AS40" s="77" t="n">
        <f aca="false">$D40*AP40</f>
        <v>154738537.668556</v>
      </c>
      <c r="AT40" s="129" t="n">
        <f aca="false">$AI40</f>
        <v>314553383.420501</v>
      </c>
      <c r="AU40" s="77" t="n">
        <f aca="false">$D40*AO40</f>
        <v>53953316.2957666</v>
      </c>
      <c r="AV40" s="129" t="n">
        <f aca="false">$AK40</f>
        <v>-110611.724450514</v>
      </c>
      <c r="AW40" s="77" t="n">
        <f aca="false">$I40*'Inputs and Assumptions'!$C$15</f>
        <v>523355849.109274</v>
      </c>
      <c r="AX40" s="215"/>
      <c r="AY40" s="255" t="n">
        <f aca="false">CHOOSE(gen_choice,'Generation Calculations'!$O43,'Generation Calculations'!$P43)</f>
        <v>0.0583010285588659</v>
      </c>
      <c r="AZ40" s="256" t="n">
        <f aca="false">EPS</f>
        <v>0.01</v>
      </c>
      <c r="BA40" s="247" t="n">
        <f aca="false">BC40-SUM(AY40:AZ40,BB40)</f>
        <v>0.0293408452318695</v>
      </c>
      <c r="BB40" s="247" t="n">
        <f aca="false">BG40/$D40*-1</f>
        <v>2.05013763832703E-005</v>
      </c>
      <c r="BC40" s="226" t="n">
        <f aca="false">BH40/$D40</f>
        <v>0.0976623751671186</v>
      </c>
      <c r="BD40" s="77" t="n">
        <f aca="false">$D40*BA40</f>
        <v>158303590.318019</v>
      </c>
      <c r="BE40" s="129" t="n">
        <f aca="false">$AI40</f>
        <v>314553383.420501</v>
      </c>
      <c r="BF40" s="77" t="n">
        <f aca="false">$D40*AZ40</f>
        <v>53953316.2957666</v>
      </c>
      <c r="BG40" s="129" t="n">
        <f aca="false">$AK40</f>
        <v>-110611.724450514</v>
      </c>
      <c r="BH40" s="77" t="n">
        <f aca="false">$M40*'Inputs and Assumptions'!$C$15</f>
        <v>526920901.758737</v>
      </c>
      <c r="BI40" s="215"/>
      <c r="BJ40" s="255" t="n">
        <f aca="false">CHOOSE(gen_choice,'Generation Calculations'!$O43,'Generation Calculations'!$P43)</f>
        <v>0.0583010285588659</v>
      </c>
      <c r="BK40" s="256" t="n">
        <f aca="false">EPS</f>
        <v>0.01</v>
      </c>
      <c r="BL40" s="247" t="n">
        <f aca="false">BN40-SUM(BJ40:BK40,BM40)</f>
        <v>0.031334431510351</v>
      </c>
      <c r="BM40" s="247" t="n">
        <f aca="false">BR40/$D40*-1</f>
        <v>2.05013763832703E-005</v>
      </c>
      <c r="BN40" s="226" t="n">
        <f aca="false">BS40/$D40</f>
        <v>0.0996559614456001</v>
      </c>
      <c r="BO40" s="77" t="n">
        <f aca="false">$D40*BL40</f>
        <v>169059649.4226</v>
      </c>
      <c r="BP40" s="129" t="n">
        <f aca="false">$AI40</f>
        <v>314553383.420501</v>
      </c>
      <c r="BQ40" s="77" t="n">
        <f aca="false">$D40*BK40</f>
        <v>53953316.2957666</v>
      </c>
      <c r="BR40" s="129" t="n">
        <f aca="false">$AK40</f>
        <v>-110611.724450514</v>
      </c>
      <c r="BS40" s="77" t="n">
        <f aca="false">D40*s_equal_gen</f>
        <v>537676960.863318</v>
      </c>
      <c r="BT40" s="215"/>
      <c r="BU40" s="255" t="n">
        <f aca="false">CHOOSE(gen_choice,'Generation Calculations'!$O43,'Generation Calculations'!$P43)</f>
        <v>0.0583010285588659</v>
      </c>
      <c r="BV40" s="256" t="n">
        <f aca="false">EPS</f>
        <v>0.01</v>
      </c>
      <c r="BW40" s="247" t="n">
        <f aca="false">BY40-SUM(BU40:BV40,BX40)</f>
        <v>0.00969938489021195</v>
      </c>
      <c r="BX40" s="247" t="n">
        <f aca="false">CC40/$D40*-1</f>
        <v>2.05013763832703E-005</v>
      </c>
      <c r="BY40" s="226" t="n">
        <f aca="false">CD40/$D40</f>
        <v>0.0780209148254611</v>
      </c>
      <c r="BZ40" s="77" t="n">
        <f aca="false">$D40*BW40</f>
        <v>52331398.0855984</v>
      </c>
      <c r="CA40" s="129" t="n">
        <f aca="false">$AI40</f>
        <v>314553383.420501</v>
      </c>
      <c r="CB40" s="77" t="n">
        <f aca="false">$D40*BV40</f>
        <v>53953316.2957666</v>
      </c>
      <c r="CC40" s="129" t="n">
        <f aca="false">$AK40</f>
        <v>-110611.724450514</v>
      </c>
      <c r="CD40" s="77" t="n">
        <f aca="false">$Z40*'Inputs and Assumptions'!$C$15</f>
        <v>420948709.526316</v>
      </c>
    </row>
    <row r="41" customFormat="false" ht="12.75" hidden="false" customHeight="false" outlineLevel="0" collapsed="false">
      <c r="A41" s="94" t="s">
        <v>312</v>
      </c>
      <c r="B41" s="82" t="s">
        <v>231</v>
      </c>
      <c r="C41" s="82" t="n">
        <v>1</v>
      </c>
      <c r="D41" s="177" t="n">
        <f aca="false">'Test Year 2001 Sales and Revs.'!J44</f>
        <v>24508983.2608089</v>
      </c>
      <c r="E41" s="231" t="n">
        <f aca="false">surcharge_1*D41</f>
        <v>937929.965979288</v>
      </c>
      <c r="F41" s="228"/>
      <c r="G41" s="250" t="n">
        <f aca="false">G39</f>
        <v>0.04008</v>
      </c>
      <c r="H41" s="229" t="n">
        <f aca="false">G41*D41</f>
        <v>982320.049093219</v>
      </c>
      <c r="I41" s="91" t="n">
        <f aca="false">H41/$H$127</f>
        <v>0.000312495468738907</v>
      </c>
      <c r="J41" s="231" t="n">
        <f aca="false">I41*$E$129</f>
        <v>768654.206765728</v>
      </c>
      <c r="K41" s="228"/>
      <c r="L41" s="251" t="n">
        <v>2164143.22192942</v>
      </c>
      <c r="M41" s="91" t="n">
        <f aca="false">L41/$L$127</f>
        <v>0.000309967095838885</v>
      </c>
      <c r="N41" s="231" t="n">
        <f aca="false">M41*$E$129</f>
        <v>762435.09429758</v>
      </c>
      <c r="O41" s="228"/>
      <c r="P41" s="244" t="n">
        <f aca="false">S_Equal</f>
        <v>0.0385694346851059</v>
      </c>
      <c r="Q41" s="229" t="n">
        <f aca="false">P41*D41</f>
        <v>945297.62907612</v>
      </c>
      <c r="R41" s="228"/>
      <c r="S41" s="211" t="n">
        <f aca="false">$D41/($D$39+$D$41+$D$46)</f>
        <v>0.0050793241486743</v>
      </c>
      <c r="T41" s="245" t="n">
        <v>83958782.992269</v>
      </c>
      <c r="U41" s="70" t="n">
        <f aca="false">$S41*T41</f>
        <v>426453.873945938</v>
      </c>
      <c r="V41" s="91" t="n">
        <f aca="false">U41/$U$127</f>
        <v>0.000264072462935542</v>
      </c>
      <c r="W41" s="245" t="n">
        <v>81212350.4608416</v>
      </c>
      <c r="X41" s="70" t="n">
        <f aca="false">$S41*W41</f>
        <v>412503.852866353</v>
      </c>
      <c r="Y41" s="91" t="n">
        <f aca="false">X41/$X$127</f>
        <v>0.000272128741182091</v>
      </c>
      <c r="Z41" s="91" t="n">
        <f aca="false">AVERAGE(V41,Y41)</f>
        <v>0.000268100602058817</v>
      </c>
      <c r="AA41" s="232" t="n">
        <f aca="false">$Z41*'Inputs and Assumptions'!$C$6</f>
        <v>659454.860067469</v>
      </c>
      <c r="AB41" s="237"/>
      <c r="AC41" s="262" t="n">
        <f aca="false">CHOOSE(gen_choice,'Generation Calculations'!$O44,'Generation Calculations'!$P44)</f>
        <v>0.0603340639195073</v>
      </c>
      <c r="AD41" s="263" t="n">
        <f aca="false">EPS</f>
        <v>0.01</v>
      </c>
      <c r="AE41" s="264" t="n">
        <f aca="false">AG41-SUM(AC41:AD41,AF41)</f>
        <v>0.0477017962793238</v>
      </c>
      <c r="AF41" s="264" t="n">
        <f aca="false">AK41/$D41*-1</f>
        <v>-0.011652575716941</v>
      </c>
      <c r="AG41" s="253" t="n">
        <f aca="false">AL41/$D41</f>
        <v>0.10638328448189</v>
      </c>
      <c r="AH41" s="231" t="n">
        <f aca="false">$D41*AE41</f>
        <v>1169122.52652046</v>
      </c>
      <c r="AI41" s="260" t="n">
        <f aca="false">CHOOSE(gen_choice,'Generation Calculations'!$M44,'Generation Calculations'!$N44)</f>
        <v>1478726.56265978</v>
      </c>
      <c r="AJ41" s="231" t="n">
        <f aca="false">$D41*AD41</f>
        <v>245089.832608089</v>
      </c>
      <c r="AK41" s="254" t="n">
        <f aca="false">CHOOSE(gen_choice,'Generation Calculations'!K44,'Generation Calculations'!L44)</f>
        <v>285592.783191814</v>
      </c>
      <c r="AL41" s="231" t="n">
        <f aca="false">$D41*gen_equal</f>
        <v>2607346.13859651</v>
      </c>
      <c r="AM41" s="228"/>
      <c r="AN41" s="262" t="n">
        <f aca="false">CHOOSE(gen_choice,'Generation Calculations'!$O44,'Generation Calculations'!$P44)</f>
        <v>0.0603340639195073</v>
      </c>
      <c r="AO41" s="263" t="n">
        <f aca="false">EPS</f>
        <v>0.01</v>
      </c>
      <c r="AP41" s="264" t="n">
        <f aca="false">AR41-SUM(AN41:AO41,AQ41)</f>
        <v>0.04211769479877</v>
      </c>
      <c r="AQ41" s="264" t="n">
        <f aca="false">AV41/$D41*-1</f>
        <v>-0.011652575716941</v>
      </c>
      <c r="AR41" s="253" t="n">
        <f aca="false">AW41/$D41</f>
        <v>0.100799183001336</v>
      </c>
      <c r="AS41" s="231" t="n">
        <f aca="false">$D41*AP41</f>
        <v>1032261.87680691</v>
      </c>
      <c r="AT41" s="231" t="n">
        <f aca="false">$AI41</f>
        <v>1478726.56265978</v>
      </c>
      <c r="AU41" s="231" t="n">
        <f aca="false">$D41*AO41</f>
        <v>245089.832608089</v>
      </c>
      <c r="AV41" s="231" t="n">
        <f aca="false">$AK41</f>
        <v>285592.783191814</v>
      </c>
      <c r="AW41" s="231" t="n">
        <f aca="false">$I41*'Inputs and Assumptions'!$C$15</f>
        <v>2470485.48888296</v>
      </c>
      <c r="AX41" s="228"/>
      <c r="AY41" s="262" t="n">
        <f aca="false">CHOOSE(gen_choice,'Generation Calculations'!$O44,'Generation Calculations'!$P44)</f>
        <v>0.0603340639195073</v>
      </c>
      <c r="AZ41" s="263" t="n">
        <f aca="false">EPS</f>
        <v>0.01</v>
      </c>
      <c r="BA41" s="264" t="n">
        <f aca="false">BC41-SUM(AY41:AZ41,BB41)</f>
        <v>0.0413021376206983</v>
      </c>
      <c r="BB41" s="264" t="n">
        <f aca="false">BG41/$D41*-1</f>
        <v>-0.011652575716941</v>
      </c>
      <c r="BC41" s="253" t="n">
        <f aca="false">BH41/$D41</f>
        <v>0.0999836258232647</v>
      </c>
      <c r="BD41" s="231" t="n">
        <f aca="false">$D41*BA41</f>
        <v>1012273.39958132</v>
      </c>
      <c r="BE41" s="231" t="n">
        <f aca="false">$AI41</f>
        <v>1478726.56265978</v>
      </c>
      <c r="BF41" s="231" t="n">
        <f aca="false">$D41*AZ41</f>
        <v>245089.832608089</v>
      </c>
      <c r="BG41" s="231" t="n">
        <f aca="false">$AK41</f>
        <v>285592.783191814</v>
      </c>
      <c r="BH41" s="231" t="n">
        <f aca="false">$M41*'Inputs and Assumptions'!$C$15</f>
        <v>2450497.01165737</v>
      </c>
      <c r="BI41" s="228"/>
      <c r="BJ41" s="262" t="n">
        <f aca="false">CHOOSE(gen_choice,'Generation Calculations'!$O44,'Generation Calculations'!$P44)</f>
        <v>0.0603340639195073</v>
      </c>
      <c r="BK41" s="263" t="n">
        <f aca="false">EPS</f>
        <v>0.01</v>
      </c>
      <c r="BL41" s="264" t="n">
        <f aca="false">BN41-SUM(BJ41:BK41,BM41)</f>
        <v>0.0409744732430338</v>
      </c>
      <c r="BM41" s="264" t="n">
        <f aca="false">BR41/$D41*-1</f>
        <v>-0.011652575716941</v>
      </c>
      <c r="BN41" s="253" t="n">
        <f aca="false">BS41/$D41</f>
        <v>0.0996559614456001</v>
      </c>
      <c r="BO41" s="231" t="n">
        <f aca="false">$D41*BL41</f>
        <v>1004242.67883398</v>
      </c>
      <c r="BP41" s="231" t="n">
        <f aca="false">$AI41</f>
        <v>1478726.56265978</v>
      </c>
      <c r="BQ41" s="231" t="n">
        <f aca="false">$D41*BK41</f>
        <v>245089.832608089</v>
      </c>
      <c r="BR41" s="231" t="n">
        <f aca="false">$AK41</f>
        <v>285592.783191814</v>
      </c>
      <c r="BS41" s="231" t="n">
        <f aca="false">D41*s_equal_gen</f>
        <v>2442466.29091003</v>
      </c>
      <c r="BT41" s="228"/>
      <c r="BU41" s="262" t="n">
        <f aca="false">CHOOSE(gen_choice,'Generation Calculations'!$O44,'Generation Calculations'!$P44)</f>
        <v>0.0603340639195073</v>
      </c>
      <c r="BV41" s="263" t="n">
        <f aca="false">EPS</f>
        <v>0.01</v>
      </c>
      <c r="BW41" s="264" t="n">
        <f aca="false">BY41-SUM(BU41:BV41,BX41)</f>
        <v>0.0277975950262347</v>
      </c>
      <c r="BX41" s="264" t="n">
        <f aca="false">CC41/$D41*-1</f>
        <v>-0.011652575716941</v>
      </c>
      <c r="BY41" s="253" t="n">
        <f aca="false">CD41/$D41</f>
        <v>0.0864790832288011</v>
      </c>
      <c r="BZ41" s="231" t="n">
        <f aca="false">$D41*BW41</f>
        <v>681290.791188731</v>
      </c>
      <c r="CA41" s="231" t="n">
        <f aca="false">$AI41</f>
        <v>1478726.56265978</v>
      </c>
      <c r="CB41" s="231" t="n">
        <f aca="false">$D41*BV41</f>
        <v>245089.832608089</v>
      </c>
      <c r="CC41" s="231" t="n">
        <f aca="false">$AK41</f>
        <v>285592.783191814</v>
      </c>
      <c r="CD41" s="231" t="n">
        <f aca="false">$Z41*'Inputs and Assumptions'!$C$15</f>
        <v>2119514.40326478</v>
      </c>
    </row>
    <row r="42" customFormat="false" ht="12.75" hidden="false" customHeight="false" outlineLevel="0" collapsed="false">
      <c r="A42" s="97" t="s">
        <v>313</v>
      </c>
      <c r="B42" s="98" t="s">
        <v>231</v>
      </c>
      <c r="C42" s="98"/>
      <c r="D42" s="159" t="n">
        <f aca="false">SUM(D39:D41)</f>
        <v>10174449647.9809</v>
      </c>
      <c r="E42" s="77" t="n">
        <f aca="false">SUM(E39:E41)</f>
        <v>389364222.523597</v>
      </c>
      <c r="F42" s="215"/>
      <c r="G42" s="242"/>
      <c r="H42" s="13" t="n">
        <f aca="false">SUM(H39:H41)</f>
        <v>399644991.130413</v>
      </c>
      <c r="I42" s="88" t="n">
        <f aca="false">SUM(I39:I41)</f>
        <v>0.127134989200046</v>
      </c>
      <c r="J42" s="77" t="n">
        <f aca="false">SUM(J39:J41)</f>
        <v>312717636.099162</v>
      </c>
      <c r="K42" s="215"/>
      <c r="L42" s="129" t="n">
        <f aca="false">SUM(L39:L41)</f>
        <v>887343474.07608</v>
      </c>
      <c r="M42" s="88" t="n">
        <f aca="false">SUM(M39:M41)</f>
        <v>0.127092919213421</v>
      </c>
      <c r="N42" s="77" t="n">
        <f aca="false">SUM(N39:N41)</f>
        <v>312614155.327656</v>
      </c>
      <c r="O42" s="215"/>
      <c r="P42" s="244"/>
      <c r="Q42" s="13" t="n">
        <f aca="false">SUM(Q39:Q41)</f>
        <v>392422771.154697</v>
      </c>
      <c r="R42" s="215"/>
      <c r="T42" s="245"/>
      <c r="U42" s="212" t="n">
        <f aca="false">SUM(U39:U41)</f>
        <v>168488658.499173</v>
      </c>
      <c r="V42" s="88" t="n">
        <f aca="false">SUM(V39:V41)</f>
        <v>0.104333007025802</v>
      </c>
      <c r="W42" s="245"/>
      <c r="X42" s="212" t="n">
        <f aca="false">SUM(X39:X41)</f>
        <v>161764753.353774</v>
      </c>
      <c r="Y42" s="88" t="n">
        <f aca="false">SUM(Y39:Y41)</f>
        <v>0.106716187962628</v>
      </c>
      <c r="Z42" s="88" t="n">
        <f aca="false">AVERAGE(V42,Y42)</f>
        <v>0.105524597494215</v>
      </c>
      <c r="AA42" s="129" t="n">
        <f aca="false">SUM(AA39:AA41)</f>
        <v>259561926.156947</v>
      </c>
      <c r="AB42" s="217"/>
      <c r="AC42" s="19" t="n">
        <f aca="false">CHOOSE(gen_choice,'Generation Calculations'!$O45,'Generation Calculations'!$P45)</f>
        <v>0.0599147269484445</v>
      </c>
      <c r="AD42" s="249" t="n">
        <f aca="false">EPS</f>
        <v>0.01</v>
      </c>
      <c r="AE42" s="226" t="n">
        <f aca="false">AH42/$D42</f>
        <v>0.0364781788294897</v>
      </c>
      <c r="AF42" s="226" t="n">
        <f aca="false">AK42/$D42*-1</f>
        <v>-9.62129604402856E-006</v>
      </c>
      <c r="AG42" s="226" t="n">
        <f aca="false">AL42/$D42</f>
        <v>0.10638328448189</v>
      </c>
      <c r="AH42" s="77" t="n">
        <f aca="false">AL42+AK42-SUM(AI42:AJ42)</f>
        <v>371145393.750685</v>
      </c>
      <c r="AI42" s="77" t="n">
        <f aca="false">SUM(AI39:AI41)</f>
        <v>609599372.509472</v>
      </c>
      <c r="AJ42" s="77" t="n">
        <f aca="false">SUM(AJ39:AJ41)</f>
        <v>101744496.479809</v>
      </c>
      <c r="AK42" s="77" t="n">
        <f aca="false">SUM(AK39:AK41)</f>
        <v>97891.3921482863</v>
      </c>
      <c r="AL42" s="77" t="n">
        <f aca="false">SUM(AL39:AL41)</f>
        <v>1082391371.34782</v>
      </c>
      <c r="AM42" s="215"/>
      <c r="AN42" s="19" t="n">
        <f aca="false">CHOOSE(gen_choice,'Generation Calculations'!$O45,'Generation Calculations'!$P45)</f>
        <v>0.0599147269484445</v>
      </c>
      <c r="AO42" s="249" t="n">
        <f aca="false">EPS</f>
        <v>0.01</v>
      </c>
      <c r="AP42" s="226" t="n">
        <f aca="false">AS42/$D42</f>
        <v>0.0288802906693402</v>
      </c>
      <c r="AQ42" s="226" t="n">
        <f aca="false">AV42/$D42*-1</f>
        <v>-9.62129604402856E-006</v>
      </c>
      <c r="AR42" s="226" t="n">
        <f aca="false">AW42/$D42</f>
        <v>0.0987853963217406</v>
      </c>
      <c r="AS42" s="77" t="n">
        <f aca="false">SUM(AS39:AS41)</f>
        <v>293841063.234254</v>
      </c>
      <c r="AT42" s="77" t="n">
        <f aca="false">SUM(AT39:AT41)</f>
        <v>609599372.509472</v>
      </c>
      <c r="AU42" s="77" t="n">
        <f aca="false">SUM(AU39:AU41)</f>
        <v>101744496.479809</v>
      </c>
      <c r="AV42" s="77" t="n">
        <f aca="false">SUM(AV39:AV41)</f>
        <v>97891.3921482863</v>
      </c>
      <c r="AW42" s="77" t="n">
        <f aca="false">SUM(AW39:AW41)</f>
        <v>1005087040.83139</v>
      </c>
      <c r="AX42" s="215"/>
      <c r="AY42" s="19" t="n">
        <f aca="false">CHOOSE(gen_choice,'Generation Calculations'!$O45,'Generation Calculations'!$P45)</f>
        <v>0.0599147269484445</v>
      </c>
      <c r="AZ42" s="249" t="n">
        <f aca="false">EPS</f>
        <v>0.01</v>
      </c>
      <c r="BA42" s="226" t="n">
        <f aca="false">BD42/$D42</f>
        <v>0.0288476017901569</v>
      </c>
      <c r="BB42" s="226" t="n">
        <f aca="false">BG42/$D42*-1</f>
        <v>-9.62129604402856E-006</v>
      </c>
      <c r="BC42" s="226" t="n">
        <f aca="false">BH42/$D42</f>
        <v>0.0987527074425574</v>
      </c>
      <c r="BD42" s="77" t="n">
        <f aca="false">SUM(BD39:BD41)</f>
        <v>293508471.878955</v>
      </c>
      <c r="BE42" s="77" t="n">
        <f aca="false">SUM(BE39:BE41)</f>
        <v>609599372.509472</v>
      </c>
      <c r="BF42" s="77" t="n">
        <f aca="false">SUM(BF39:BF41)</f>
        <v>101744496.479809</v>
      </c>
      <c r="BG42" s="77" t="n">
        <f aca="false">SUM(BG39:BG41)</f>
        <v>97891.3921482863</v>
      </c>
      <c r="BH42" s="77" t="n">
        <f aca="false">SUM(BH39:BH41)</f>
        <v>1004754449.47609</v>
      </c>
      <c r="BI42" s="215"/>
      <c r="BJ42" s="19" t="n">
        <f aca="false">CHOOSE(gen_choice,'Generation Calculations'!$O45,'Generation Calculations'!$P45)</f>
        <v>0.0599147269484445</v>
      </c>
      <c r="BK42" s="249" t="n">
        <f aca="false">EPS</f>
        <v>0.01</v>
      </c>
      <c r="BL42" s="226" t="n">
        <f aca="false">BO42/$D42</f>
        <v>0.0297508557931997</v>
      </c>
      <c r="BM42" s="226" t="n">
        <f aca="false">BR42/$D42*-1</f>
        <v>-9.62129604402856E-006</v>
      </c>
      <c r="BN42" s="226" t="n">
        <f aca="false">BS42/$D42</f>
        <v>0.0996559614456001</v>
      </c>
      <c r="BO42" s="77" t="n">
        <f aca="false">SUM(BO39:BO41)</f>
        <v>302698584.252251</v>
      </c>
      <c r="BP42" s="77" t="n">
        <f aca="false">SUM(BP39:BP41)</f>
        <v>609599372.509472</v>
      </c>
      <c r="BQ42" s="77" t="n">
        <f aca="false">SUM(BQ39:BQ41)</f>
        <v>101744496.479809</v>
      </c>
      <c r="BR42" s="77" t="n">
        <f aca="false">SUM(BR39:BR41)</f>
        <v>97891.3921482863</v>
      </c>
      <c r="BS42" s="77" t="n">
        <f aca="false">SUM(BS39:BS41)</f>
        <v>1013944561.84938</v>
      </c>
      <c r="BT42" s="215"/>
      <c r="BU42" s="19" t="n">
        <f aca="false">CHOOSE(gen_choice,'Generation Calculations'!$O45,'Generation Calculations'!$P45)</f>
        <v>0.0599147269484445</v>
      </c>
      <c r="BV42" s="249" t="n">
        <f aca="false">EPS</f>
        <v>0.01</v>
      </c>
      <c r="BW42" s="226" t="n">
        <f aca="false">BZ42/$D42</f>
        <v>0.0120887596930056</v>
      </c>
      <c r="BX42" s="226" t="n">
        <f aca="false">CC42/$D42*-1</f>
        <v>-9.62129604402856E-006</v>
      </c>
      <c r="BY42" s="226" t="n">
        <f aca="false">CD42/$D42</f>
        <v>0.081993865345406</v>
      </c>
      <c r="BZ42" s="77" t="n">
        <f aca="false">SUM(BZ39:BZ41)</f>
        <v>122996476.803026</v>
      </c>
      <c r="CA42" s="77" t="n">
        <f aca="false">SUM(CA39:CA41)</f>
        <v>609599372.509472</v>
      </c>
      <c r="CB42" s="77" t="n">
        <f aca="false">SUM(CB39:CB41)</f>
        <v>101744496.479809</v>
      </c>
      <c r="CC42" s="77" t="n">
        <f aca="false">SUM(CC39:CC41)</f>
        <v>97891.3921482863</v>
      </c>
      <c r="CD42" s="77" t="n">
        <f aca="false">SUM(CD39:CD41)</f>
        <v>834242454.400159</v>
      </c>
    </row>
    <row r="43" customFormat="false" ht="12.75" hidden="false" customHeight="false" outlineLevel="0" collapsed="false">
      <c r="A43" s="94"/>
      <c r="B43" s="82"/>
      <c r="C43" s="82"/>
      <c r="D43" s="159"/>
      <c r="E43" s="77"/>
      <c r="F43" s="215"/>
      <c r="G43" s="242"/>
      <c r="H43" s="13"/>
      <c r="I43" s="88"/>
      <c r="J43" s="77"/>
      <c r="K43" s="215"/>
      <c r="L43" s="129"/>
      <c r="M43" s="88"/>
      <c r="N43" s="77"/>
      <c r="O43" s="215"/>
      <c r="P43" s="244"/>
      <c r="Q43" s="13"/>
      <c r="R43" s="215"/>
      <c r="T43" s="245"/>
      <c r="V43" s="88"/>
      <c r="W43" s="245"/>
      <c r="X43" s="212"/>
      <c r="Y43" s="88"/>
      <c r="Z43" s="88"/>
      <c r="AA43" s="129"/>
      <c r="AB43" s="217"/>
      <c r="AC43" s="74"/>
      <c r="AD43" s="19"/>
      <c r="AE43" s="226"/>
      <c r="AH43" s="77"/>
      <c r="AJ43" s="77"/>
      <c r="AK43" s="77"/>
      <c r="AL43" s="77"/>
      <c r="AM43" s="215"/>
      <c r="AN43" s="74"/>
      <c r="AO43" s="19"/>
      <c r="AP43" s="226"/>
      <c r="AQ43" s="0"/>
      <c r="AR43" s="0"/>
      <c r="AS43" s="77"/>
      <c r="AT43" s="77"/>
      <c r="AU43" s="77"/>
      <c r="AV43" s="77"/>
      <c r="AW43" s="77"/>
      <c r="AX43" s="215"/>
      <c r="AY43" s="74"/>
      <c r="AZ43" s="19"/>
      <c r="BA43" s="226"/>
      <c r="BB43" s="0"/>
      <c r="BC43" s="0"/>
      <c r="BD43" s="77"/>
      <c r="BE43" s="77"/>
      <c r="BF43" s="77"/>
      <c r="BG43" s="77"/>
      <c r="BH43" s="77"/>
      <c r="BI43" s="215"/>
      <c r="BJ43" s="74"/>
      <c r="BK43" s="19"/>
      <c r="BL43" s="226"/>
      <c r="BM43" s="0"/>
      <c r="BN43" s="0"/>
      <c r="BO43" s="77"/>
      <c r="BP43" s="77"/>
      <c r="BQ43" s="77"/>
      <c r="BR43" s="77"/>
      <c r="BS43" s="77"/>
      <c r="BT43" s="215"/>
      <c r="BU43" s="74"/>
      <c r="BV43" s="19"/>
      <c r="BW43" s="226"/>
      <c r="BX43" s="0"/>
      <c r="BY43" s="0"/>
      <c r="BZ43" s="77"/>
      <c r="CA43" s="77"/>
      <c r="CB43" s="77"/>
      <c r="CC43" s="77"/>
      <c r="CD43" s="77"/>
    </row>
    <row r="44" customFormat="false" ht="12.75" hidden="false" customHeight="false" outlineLevel="0" collapsed="false">
      <c r="A44" s="97" t="s">
        <v>313</v>
      </c>
      <c r="B44" s="84"/>
      <c r="C44" s="84"/>
      <c r="D44" s="159" t="n">
        <f aca="false">D32+D37+D42</f>
        <v>10969251222.6845</v>
      </c>
      <c r="E44" s="77" t="n">
        <f aca="false">E32+E37+E42</f>
        <v>419780344.073366</v>
      </c>
      <c r="F44" s="215"/>
      <c r="G44" s="242"/>
      <c r="H44" s="50" t="n">
        <f aca="false">H32+H37+H42</f>
        <v>429259216.104056</v>
      </c>
      <c r="I44" s="88" t="n">
        <f aca="false">H44/$H$127</f>
        <v>0.136555860863024</v>
      </c>
      <c r="J44" s="77" t="n">
        <f aca="false">J32+J37+J42</f>
        <v>335890428.53795</v>
      </c>
      <c r="K44" s="215"/>
      <c r="L44" s="129" t="n">
        <f aca="false">L32+L37+L42</f>
        <v>952581242.82874</v>
      </c>
      <c r="M44" s="88" t="n">
        <f aca="false">L44/$L$127</f>
        <v>0.136436830242213</v>
      </c>
      <c r="N44" s="77" t="n">
        <f aca="false">N32+N37+N42</f>
        <v>335597645.45284</v>
      </c>
      <c r="O44" s="215"/>
      <c r="P44" s="244"/>
      <c r="Q44" s="50" t="n">
        <f aca="false">Q32+Q37+Q42</f>
        <v>422356055.765395</v>
      </c>
      <c r="R44" s="215"/>
      <c r="T44" s="245"/>
      <c r="V44" s="88" t="n">
        <f aca="false">U44/$U$127</f>
        <v>0</v>
      </c>
      <c r="W44" s="245"/>
      <c r="X44" s="212"/>
      <c r="Y44" s="88" t="n">
        <f aca="false">X44/$X$127</f>
        <v>0</v>
      </c>
      <c r="Z44" s="88" t="n">
        <f aca="false">AVERAGE(V44,Y44)</f>
        <v>0</v>
      </c>
      <c r="AA44" s="77" t="n">
        <f aca="false">AA32+AA37+AA42</f>
        <v>278329846.453632</v>
      </c>
      <c r="AB44" s="217"/>
      <c r="AC44" s="226" t="n">
        <f aca="false">AI44/$D44</f>
        <v>0.0596581450692627</v>
      </c>
      <c r="AD44" s="226" t="n">
        <f aca="false">AJ44/$D44</f>
        <v>0.01</v>
      </c>
      <c r="AE44" s="226" t="n">
        <f aca="false">AK44/$D44</f>
        <v>4.49944121310732E-005</v>
      </c>
      <c r="AF44" s="226" t="n">
        <f aca="false">AK44/$D44*-1</f>
        <v>-4.49944121310732E-005</v>
      </c>
      <c r="AG44" s="226" t="n">
        <f aca="false">AL44/$D44</f>
        <v>0.10638328448189</v>
      </c>
      <c r="AH44" s="77" t="n">
        <f aca="false">AH42+AH37+AH32</f>
        <v>403340835.415503</v>
      </c>
      <c r="AI44" s="77" t="n">
        <f aca="false">AI42+AI37+AI32</f>
        <v>654405180.744096</v>
      </c>
      <c r="AJ44" s="77" t="n">
        <f aca="false">AJ42+AJ37+AJ32</f>
        <v>109692512.226845</v>
      </c>
      <c r="AK44" s="77" t="n">
        <f aca="false">AK42+AK37+AK32</f>
        <v>493555.010282742</v>
      </c>
      <c r="AL44" s="77" t="n">
        <f aca="false">AL42+AL37+AL32</f>
        <v>1166944973.37616</v>
      </c>
      <c r="AM44" s="215"/>
      <c r="AN44" s="226" t="n">
        <f aca="false">AT44/$D44</f>
        <v>0.0596581450692627</v>
      </c>
      <c r="AO44" s="226" t="n">
        <f aca="false">AU44/$D44</f>
        <v>0.01</v>
      </c>
      <c r="AP44" s="226" t="n">
        <f aca="false">AV44/$D44</f>
        <v>4.49944121310732E-005</v>
      </c>
      <c r="AQ44" s="226" t="n">
        <f aca="false">AV44/$D44*-1</f>
        <v>-4.49944121310732E-005</v>
      </c>
      <c r="AR44" s="226" t="n">
        <f aca="false">AW44/$D44</f>
        <v>0.0984174128578511</v>
      </c>
      <c r="AS44" s="77" t="n">
        <f aca="false">AS42+AS37+AS32</f>
        <v>315961188.363766</v>
      </c>
      <c r="AT44" s="77" t="n">
        <f aca="false">AT42+AT37+AT32</f>
        <v>654405180.744096</v>
      </c>
      <c r="AU44" s="77" t="n">
        <f aca="false">AU42+AU37+AU32</f>
        <v>109692512.226845</v>
      </c>
      <c r="AV44" s="77" t="n">
        <f aca="false">AV42+AV37+AV32</f>
        <v>493555.010282742</v>
      </c>
      <c r="AW44" s="77" t="n">
        <f aca="false">AW42+AW37+AW32</f>
        <v>1079565326.32442</v>
      </c>
      <c r="AX44" s="215"/>
      <c r="AY44" s="226" t="n">
        <f aca="false">BE44/$D44</f>
        <v>0.0596581450692627</v>
      </c>
      <c r="AZ44" s="226" t="n">
        <f aca="false">BF44/$D44</f>
        <v>0.01</v>
      </c>
      <c r="BA44" s="226" t="n">
        <f aca="false">BG44/$D44</f>
        <v>4.49944121310732E-005</v>
      </c>
      <c r="BB44" s="226" t="n">
        <f aca="false">BG44/$D44*-1</f>
        <v>-4.49944121310732E-005</v>
      </c>
      <c r="BC44" s="226" t="n">
        <f aca="false">BH44/$D44</f>
        <v>0.0983316260913435</v>
      </c>
      <c r="BD44" s="77" t="n">
        <f aca="false">BD42+BD37+BD32</f>
        <v>315020171.770362</v>
      </c>
      <c r="BE44" s="77" t="n">
        <f aca="false">BE42+BE37+BE32</f>
        <v>654405180.744096</v>
      </c>
      <c r="BF44" s="77" t="n">
        <f aca="false">BF42+BF37+BF32</f>
        <v>109692512.226845</v>
      </c>
      <c r="BG44" s="77" t="n">
        <f aca="false">BG42+BG37+BG32</f>
        <v>493555.010282742</v>
      </c>
      <c r="BH44" s="77" t="n">
        <f aca="false">BH42+BH37+BH32</f>
        <v>1078624309.73102</v>
      </c>
      <c r="BI44" s="215"/>
      <c r="BJ44" s="226" t="n">
        <f aca="false">BP44/$D44</f>
        <v>0.0596581450692627</v>
      </c>
      <c r="BK44" s="226" t="n">
        <f aca="false">BQ44/$D44</f>
        <v>0.01</v>
      </c>
      <c r="BL44" s="226" t="n">
        <f aca="false">BR44/$D44</f>
        <v>4.49944121310732E-005</v>
      </c>
      <c r="BM44" s="226" t="n">
        <f aca="false">BR44/$D44*-1</f>
        <v>-4.49944121310732E-005</v>
      </c>
      <c r="BN44" s="226" t="n">
        <f aca="false">BS44/$D44</f>
        <v>0.099485950247064</v>
      </c>
      <c r="BO44" s="77" t="n">
        <f aca="false">BO42+BO37+BO32</f>
        <v>327682243.426874</v>
      </c>
      <c r="BP44" s="77" t="n">
        <f aca="false">BP42+BP37+BP32</f>
        <v>654405180.744096</v>
      </c>
      <c r="BQ44" s="77" t="n">
        <f aca="false">BQ42+BQ37+BQ32</f>
        <v>109692512.226845</v>
      </c>
      <c r="BR44" s="77" t="n">
        <f aca="false">BR42+BR37+BR32</f>
        <v>493555.010282742</v>
      </c>
      <c r="BS44" s="77" t="n">
        <f aca="false">BS42+BS37+BS32</f>
        <v>1091286381.38753</v>
      </c>
      <c r="BT44" s="215"/>
      <c r="BU44" s="226" t="n">
        <f aca="false">CA44/$D44</f>
        <v>0.0596581450692627</v>
      </c>
      <c r="BV44" s="226" t="n">
        <f aca="false">CB44/$D44</f>
        <v>0.01</v>
      </c>
      <c r="BW44" s="226" t="n">
        <f aca="false">CC44/$D44</f>
        <v>4.49944121310732E-005</v>
      </c>
      <c r="BX44" s="226" t="n">
        <f aca="false">CC44/$D44*-1</f>
        <v>-4.49944121310732E-005</v>
      </c>
      <c r="BY44" s="226" t="n">
        <f aca="false">CD44/$D44</f>
        <v>0.0815519022924301</v>
      </c>
      <c r="BZ44" s="77" t="n">
        <f aca="false">BZ42+BZ37+BZ32</f>
        <v>130959165.972824</v>
      </c>
      <c r="CA44" s="77" t="n">
        <f aca="false">CA42+CA37+CA32</f>
        <v>654405180.744096</v>
      </c>
      <c r="CB44" s="77" t="n">
        <f aca="false">CB42+CB37+CB32</f>
        <v>109692512.226845</v>
      </c>
      <c r="CC44" s="77" t="n">
        <f aca="false">CC42+CC37+CC32</f>
        <v>493555.010282742</v>
      </c>
      <c r="CD44" s="77" t="n">
        <f aca="false">CD42+CD37+CD32</f>
        <v>894563303.933482</v>
      </c>
    </row>
    <row r="45" customFormat="false" ht="12.75" hidden="false" customHeight="false" outlineLevel="0" collapsed="false">
      <c r="A45" s="94"/>
      <c r="B45" s="79"/>
      <c r="C45" s="79"/>
      <c r="D45" s="159"/>
      <c r="E45" s="77"/>
      <c r="F45" s="215"/>
      <c r="G45" s="242"/>
      <c r="H45" s="13"/>
      <c r="I45" s="88"/>
      <c r="J45" s="77"/>
      <c r="K45" s="215"/>
      <c r="L45" s="129"/>
      <c r="M45" s="88"/>
      <c r="N45" s="77"/>
      <c r="O45" s="215"/>
      <c r="P45" s="244"/>
      <c r="Q45" s="13"/>
      <c r="R45" s="215"/>
      <c r="T45" s="245"/>
      <c r="V45" s="88"/>
      <c r="W45" s="245"/>
      <c r="X45" s="212"/>
      <c r="Y45" s="88"/>
      <c r="Z45" s="88"/>
      <c r="AA45" s="129"/>
      <c r="AB45" s="217"/>
      <c r="AC45" s="74"/>
      <c r="AD45" s="19"/>
      <c r="AH45" s="77"/>
      <c r="AJ45" s="77"/>
      <c r="AK45" s="77"/>
      <c r="AL45" s="77"/>
      <c r="AM45" s="215"/>
      <c r="AN45" s="74"/>
      <c r="AO45" s="19"/>
      <c r="AP45" s="0"/>
      <c r="AQ45" s="0"/>
      <c r="AR45" s="0"/>
      <c r="AS45" s="77"/>
      <c r="AT45" s="77"/>
      <c r="AU45" s="77"/>
      <c r="AV45" s="77"/>
      <c r="AW45" s="77"/>
      <c r="AX45" s="215"/>
      <c r="AY45" s="74"/>
      <c r="AZ45" s="19"/>
      <c r="BA45" s="0"/>
      <c r="BB45" s="0"/>
      <c r="BC45" s="0"/>
      <c r="BD45" s="77"/>
      <c r="BE45" s="77"/>
      <c r="BF45" s="77"/>
      <c r="BG45" s="77"/>
      <c r="BH45" s="77"/>
      <c r="BI45" s="215"/>
      <c r="BJ45" s="74"/>
      <c r="BK45" s="19"/>
      <c r="BL45" s="0"/>
      <c r="BM45" s="0"/>
      <c r="BN45" s="0"/>
      <c r="BO45" s="77"/>
      <c r="BP45" s="77"/>
      <c r="BQ45" s="77"/>
      <c r="BR45" s="77"/>
      <c r="BS45" s="77"/>
      <c r="BT45" s="215"/>
      <c r="BU45" s="74"/>
      <c r="BV45" s="19"/>
      <c r="BW45" s="0"/>
      <c r="BX45" s="0"/>
      <c r="BY45" s="0"/>
      <c r="BZ45" s="77"/>
      <c r="CA45" s="77"/>
      <c r="CB45" s="77"/>
      <c r="CC45" s="77"/>
      <c r="CD45" s="77"/>
    </row>
    <row r="46" customFormat="false" ht="12.75" hidden="false" customHeight="false" outlineLevel="0" collapsed="false">
      <c r="A46" s="94" t="s">
        <v>314</v>
      </c>
      <c r="B46" s="82" t="s">
        <v>231</v>
      </c>
      <c r="C46" s="82" t="n">
        <v>1</v>
      </c>
      <c r="D46" s="177" t="n">
        <f aca="false">'Test Year 2001 Sales and Revs.'!J47</f>
        <v>46126944</v>
      </c>
      <c r="E46" s="231" t="n">
        <f aca="false">surcharge_1*D46</f>
        <v>1765223.89999873</v>
      </c>
      <c r="F46" s="228"/>
      <c r="G46" s="250" t="n">
        <f aca="false">G41</f>
        <v>0.04008</v>
      </c>
      <c r="H46" s="229" t="n">
        <f aca="false">G46*D46</f>
        <v>1848767.91552</v>
      </c>
      <c r="I46" s="91" t="n">
        <f aca="false">H46/$H$127</f>
        <v>0.000588129700583001</v>
      </c>
      <c r="J46" s="231" t="n">
        <f aca="false">I46*$E$129</f>
        <v>1446639.75545418</v>
      </c>
      <c r="K46" s="228"/>
      <c r="L46" s="251" t="n">
        <v>4073009.1552</v>
      </c>
      <c r="M46" s="91" t="n">
        <f aca="false">L46/$L$127</f>
        <v>0.000583371195755226</v>
      </c>
      <c r="N46" s="231" t="n">
        <f aca="false">M46*$E$129</f>
        <v>1434935.12252448</v>
      </c>
      <c r="O46" s="228"/>
      <c r="P46" s="244" t="n">
        <f aca="false">S_Equal</f>
        <v>0.0385694346851059</v>
      </c>
      <c r="Q46" s="229" t="n">
        <f aca="false">P46*D46</f>
        <v>1779090.15383154</v>
      </c>
      <c r="R46" s="228"/>
      <c r="S46" s="211" t="n">
        <f aca="false">$D46/($D$39+$D$41+$D$46)</f>
        <v>0.00955950306345001</v>
      </c>
      <c r="T46" s="245" t="n">
        <v>83958782.992269</v>
      </c>
      <c r="U46" s="70" t="n">
        <f aca="false">$S46*T46</f>
        <v>802604.24321813</v>
      </c>
      <c r="V46" s="91" t="n">
        <f aca="false">U46/$U$127</f>
        <v>0.000496995553840361</v>
      </c>
      <c r="W46" s="245" t="n">
        <v>81212350.4608416</v>
      </c>
      <c r="X46" s="70" t="n">
        <f aca="false">$S46*W46</f>
        <v>776349.713020391</v>
      </c>
      <c r="Y46" s="91" t="n">
        <f aca="false">X46/$X$127</f>
        <v>0.000512157810535081</v>
      </c>
      <c r="Z46" s="91" t="n">
        <f aca="false">AVERAGE(V46,Y46)</f>
        <v>0.000504576682187721</v>
      </c>
      <c r="AA46" s="232" t="n">
        <f aca="false">$Z46*'Inputs and Assumptions'!$C$6</f>
        <v>1241121.96239087</v>
      </c>
      <c r="AB46" s="237"/>
      <c r="AC46" s="252" t="n">
        <f aca="false">CHOOSE(gen_choice,'Generation Calculations'!$O47,'Generation Calculations'!$P47)</f>
        <v>0.0414735737039609</v>
      </c>
      <c r="AD46" s="259" t="n">
        <f aca="false">EPS</f>
        <v>0.01</v>
      </c>
      <c r="AE46" s="253" t="n">
        <f aca="false">AG46-SUM(AC46:AD46,AF46)</f>
        <v>0.0549097107779292</v>
      </c>
      <c r="AF46" s="253" t="n">
        <f aca="false">AK46/$D46*-1</f>
        <v>-0</v>
      </c>
      <c r="AG46" s="253" t="n">
        <f aca="false">AL46/$D46</f>
        <v>0.10638328448189</v>
      </c>
      <c r="AH46" s="231" t="n">
        <f aca="false">$D46*AE46</f>
        <v>2532817.15410974</v>
      </c>
      <c r="AI46" s="260" t="n">
        <f aca="false">CHOOSE(gen_choice,'Generation Calculations'!$M47,'Generation Calculations'!$N47)</f>
        <v>1913049.21172248</v>
      </c>
      <c r="AJ46" s="231" t="n">
        <f aca="false">$D46*AD46</f>
        <v>461269.44</v>
      </c>
      <c r="AK46" s="254" t="n">
        <f aca="false">CHOOSE(gen_choice,'Generation Calculations'!K47,'Generation Calculations'!L47)</f>
        <v>0</v>
      </c>
      <c r="AL46" s="231" t="n">
        <f aca="false">$D46*gen_equal</f>
        <v>4907135.80583222</v>
      </c>
      <c r="AM46" s="228"/>
      <c r="AN46" s="252" t="n">
        <f aca="false">CHOOSE(gen_choice,'Generation Calculations'!$O47,'Generation Calculations'!$P47)</f>
        <v>0.0414735737039609</v>
      </c>
      <c r="AO46" s="259" t="n">
        <f aca="false">EPS</f>
        <v>0.01</v>
      </c>
      <c r="AP46" s="253" t="n">
        <f aca="false">AR46-SUM(AN46:AO46,AQ46)</f>
        <v>0.0493256092973754</v>
      </c>
      <c r="AQ46" s="253" t="n">
        <f aca="false">AV46/$D46*-1</f>
        <v>-0</v>
      </c>
      <c r="AR46" s="253" t="n">
        <f aca="false">AW46/$D46</f>
        <v>0.100799183001336</v>
      </c>
      <c r="AS46" s="231" t="n">
        <f aca="false">$D46*AP46</f>
        <v>2275239.61782592</v>
      </c>
      <c r="AT46" s="232" t="n">
        <f aca="false">$AI46</f>
        <v>1913049.21172248</v>
      </c>
      <c r="AU46" s="231" t="n">
        <f aca="false">$D46*AO46</f>
        <v>461269.44</v>
      </c>
      <c r="AV46" s="232" t="n">
        <f aca="false">$AK46</f>
        <v>0</v>
      </c>
      <c r="AW46" s="231" t="n">
        <f aca="false">$I46*'Inputs and Assumptions'!$C$15</f>
        <v>4649558.26954839</v>
      </c>
      <c r="AX46" s="228"/>
      <c r="AY46" s="252" t="n">
        <f aca="false">CHOOSE(gen_choice,'Generation Calculations'!$O47,'Generation Calculations'!$P47)</f>
        <v>0.0414735737039609</v>
      </c>
      <c r="AZ46" s="259" t="n">
        <f aca="false">EPS</f>
        <v>0.01</v>
      </c>
      <c r="BA46" s="253" t="n">
        <f aca="false">BC46-SUM(AY46:AZ46,BB46)</f>
        <v>0.0485100521193037</v>
      </c>
      <c r="BB46" s="253" t="n">
        <f aca="false">BG46/$D46*-1</f>
        <v>-0</v>
      </c>
      <c r="BC46" s="253" t="n">
        <f aca="false">BH46/$D46</f>
        <v>0.0999836258232646</v>
      </c>
      <c r="BD46" s="231" t="n">
        <f aca="false">$D46*BA46</f>
        <v>2237620.4575442</v>
      </c>
      <c r="BE46" s="232" t="n">
        <f aca="false">$AI46</f>
        <v>1913049.21172248</v>
      </c>
      <c r="BF46" s="231" t="n">
        <f aca="false">$D46*AZ46</f>
        <v>461269.44</v>
      </c>
      <c r="BG46" s="232" t="n">
        <f aca="false">$AK46</f>
        <v>0</v>
      </c>
      <c r="BH46" s="231" t="n">
        <f aca="false">$M46*'Inputs and Assumptions'!$C$15</f>
        <v>4611939.10926668</v>
      </c>
      <c r="BI46" s="228"/>
      <c r="BJ46" s="252" t="n">
        <f aca="false">CHOOSE(gen_choice,'Generation Calculations'!$O47,'Generation Calculations'!$P47)</f>
        <v>0.0414735737039609</v>
      </c>
      <c r="BK46" s="259" t="n">
        <f aca="false">EPS</f>
        <v>0.01</v>
      </c>
      <c r="BL46" s="253" t="n">
        <f aca="false">BN46-SUM(BJ46:BK46,BM46)</f>
        <v>0.0481823877416392</v>
      </c>
      <c r="BM46" s="253" t="n">
        <f aca="false">BR46/$D46*-1</f>
        <v>-0</v>
      </c>
      <c r="BN46" s="253" t="n">
        <f aca="false">BS46/$D46</f>
        <v>0.0996559614456001</v>
      </c>
      <c r="BO46" s="231" t="n">
        <f aca="false">$D46*BL46</f>
        <v>2222506.30114488</v>
      </c>
      <c r="BP46" s="232" t="n">
        <f aca="false">$AI46</f>
        <v>1913049.21172248</v>
      </c>
      <c r="BQ46" s="231" t="n">
        <f aca="false">$D46*BK46</f>
        <v>461269.44</v>
      </c>
      <c r="BR46" s="232" t="n">
        <f aca="false">$AK46</f>
        <v>0</v>
      </c>
      <c r="BS46" s="231" t="n">
        <f aca="false">D46*s_equal_gen</f>
        <v>4596824.95286736</v>
      </c>
      <c r="BT46" s="228"/>
      <c r="BU46" s="252" t="n">
        <f aca="false">CHOOSE(gen_choice,'Generation Calculations'!$O47,'Generation Calculations'!$P47)</f>
        <v>0.0414735737039609</v>
      </c>
      <c r="BV46" s="259" t="n">
        <f aca="false">EPS</f>
        <v>0.01</v>
      </c>
      <c r="BW46" s="253" t="n">
        <f aca="false">BY46-SUM(BU46:BV46,BX46)</f>
        <v>0.0350055095248401</v>
      </c>
      <c r="BX46" s="253" t="n">
        <f aca="false">CC46/$D46*-1</f>
        <v>-0</v>
      </c>
      <c r="BY46" s="253" t="n">
        <f aca="false">CD46/$D46</f>
        <v>0.086479083228801</v>
      </c>
      <c r="BZ46" s="231" t="n">
        <f aca="false">$D46*BW46</f>
        <v>1614697.17754377</v>
      </c>
      <c r="CA46" s="232" t="n">
        <f aca="false">$AI46</f>
        <v>1913049.21172248</v>
      </c>
      <c r="CB46" s="231" t="n">
        <f aca="false">$D46*BV46</f>
        <v>461269.44</v>
      </c>
      <c r="CC46" s="232" t="n">
        <f aca="false">$AK46</f>
        <v>0</v>
      </c>
      <c r="CD46" s="231" t="n">
        <f aca="false">$Z46*'Inputs and Assumptions'!$C$15</f>
        <v>3989015.82926624</v>
      </c>
    </row>
    <row r="47" customFormat="false" ht="12.75" hidden="false" customHeight="false" outlineLevel="0" collapsed="false">
      <c r="A47" s="97" t="s">
        <v>315</v>
      </c>
      <c r="B47" s="84"/>
      <c r="C47" s="84"/>
      <c r="D47" s="159" t="n">
        <f aca="false">D46</f>
        <v>46126944</v>
      </c>
      <c r="E47" s="77" t="n">
        <f aca="false">E46</f>
        <v>1765223.89999873</v>
      </c>
      <c r="F47" s="215"/>
      <c r="G47" s="242"/>
      <c r="H47" s="13" t="n">
        <f aca="false">H46</f>
        <v>1848767.91552</v>
      </c>
      <c r="I47" s="88" t="n">
        <f aca="false">I46</f>
        <v>0.000588129700583001</v>
      </c>
      <c r="J47" s="77" t="n">
        <f aca="false">SUM(J46)</f>
        <v>1446639.75545418</v>
      </c>
      <c r="K47" s="215"/>
      <c r="L47" s="129" t="n">
        <f aca="false">L46</f>
        <v>4073009.1552</v>
      </c>
      <c r="M47" s="88" t="n">
        <f aca="false">M46</f>
        <v>0.000583371195755226</v>
      </c>
      <c r="N47" s="77" t="n">
        <f aca="false">SUM(N46)</f>
        <v>1434935.12252448</v>
      </c>
      <c r="O47" s="215"/>
      <c r="P47" s="244"/>
      <c r="Q47" s="13" t="n">
        <f aca="false">Q46</f>
        <v>1779090.15383154</v>
      </c>
      <c r="R47" s="215"/>
      <c r="T47" s="245"/>
      <c r="U47" s="212" t="n">
        <f aca="false">U46</f>
        <v>802604.24321813</v>
      </c>
      <c r="V47" s="88" t="n">
        <f aca="false">V46</f>
        <v>0.000496995553840361</v>
      </c>
      <c r="W47" s="245"/>
      <c r="X47" s="212" t="n">
        <f aca="false">X46</f>
        <v>776349.713020391</v>
      </c>
      <c r="Y47" s="88" t="n">
        <f aca="false">Y46</f>
        <v>0.000512157810535081</v>
      </c>
      <c r="Z47" s="88" t="n">
        <f aca="false">AVERAGE(V47,Y47)</f>
        <v>0.000504576682187721</v>
      </c>
      <c r="AA47" s="129" t="n">
        <f aca="false">AA46</f>
        <v>1241121.96239087</v>
      </c>
      <c r="AB47" s="217"/>
      <c r="AC47" s="17" t="n">
        <f aca="false">AC46</f>
        <v>0.0414735737039609</v>
      </c>
      <c r="AD47" s="249" t="n">
        <f aca="false">EPS</f>
        <v>0.01</v>
      </c>
      <c r="AE47" s="226" t="n">
        <f aca="false">AH47/$D47</f>
        <v>0.0549097107779292</v>
      </c>
      <c r="AF47" s="226" t="n">
        <f aca="false">AK47/$D47*-1</f>
        <v>-0</v>
      </c>
      <c r="AG47" s="226" t="n">
        <f aca="false">AL47/$D47</f>
        <v>0.10638328448189</v>
      </c>
      <c r="AH47" s="77" t="n">
        <f aca="false">AL47+AK47-SUM(AI47:AJ47)</f>
        <v>2532817.15410974</v>
      </c>
      <c r="AI47" s="77" t="n">
        <f aca="false">AI46</f>
        <v>1913049.21172248</v>
      </c>
      <c r="AJ47" s="77" t="n">
        <f aca="false">AJ46</f>
        <v>461269.44</v>
      </c>
      <c r="AK47" s="77" t="n">
        <f aca="false">AK46</f>
        <v>0</v>
      </c>
      <c r="AL47" s="77" t="n">
        <f aca="false">AL46</f>
        <v>4907135.80583222</v>
      </c>
      <c r="AM47" s="215"/>
      <c r="AN47" s="17" t="n">
        <f aca="false">AN46</f>
        <v>0.0414735737039609</v>
      </c>
      <c r="AO47" s="249" t="n">
        <f aca="false">EPS</f>
        <v>0.01</v>
      </c>
      <c r="AP47" s="226" t="n">
        <f aca="false">AS47/$D47</f>
        <v>0.0493256092973754</v>
      </c>
      <c r="AQ47" s="226" t="n">
        <f aca="false">AV47/$D47*-1</f>
        <v>-0</v>
      </c>
      <c r="AR47" s="226" t="n">
        <f aca="false">AW47/$D47</f>
        <v>0.100799183001336</v>
      </c>
      <c r="AS47" s="77" t="n">
        <f aca="false">AS46</f>
        <v>2275239.61782592</v>
      </c>
      <c r="AT47" s="77" t="n">
        <f aca="false">AT46</f>
        <v>1913049.21172248</v>
      </c>
      <c r="AU47" s="77" t="n">
        <f aca="false">AU46</f>
        <v>461269.44</v>
      </c>
      <c r="AV47" s="77" t="n">
        <f aca="false">AV46</f>
        <v>0</v>
      </c>
      <c r="AW47" s="77" t="n">
        <f aca="false">AW46</f>
        <v>4649558.26954839</v>
      </c>
      <c r="AX47" s="215"/>
      <c r="AY47" s="17" t="n">
        <f aca="false">AY46</f>
        <v>0.0414735737039609</v>
      </c>
      <c r="AZ47" s="249" t="n">
        <f aca="false">EPS</f>
        <v>0.01</v>
      </c>
      <c r="BA47" s="226" t="n">
        <f aca="false">BD47/$D47</f>
        <v>0.0485100521193037</v>
      </c>
      <c r="BB47" s="226" t="n">
        <f aca="false">BG47/$D47*-1</f>
        <v>-0</v>
      </c>
      <c r="BC47" s="226" t="n">
        <f aca="false">BH47/$D47</f>
        <v>0.0999836258232646</v>
      </c>
      <c r="BD47" s="77" t="n">
        <f aca="false">BD46</f>
        <v>2237620.4575442</v>
      </c>
      <c r="BE47" s="77" t="n">
        <f aca="false">BE46</f>
        <v>1913049.21172248</v>
      </c>
      <c r="BF47" s="77" t="n">
        <f aca="false">BF46</f>
        <v>461269.44</v>
      </c>
      <c r="BG47" s="77" t="n">
        <f aca="false">BG46</f>
        <v>0</v>
      </c>
      <c r="BH47" s="77" t="n">
        <f aca="false">BH46</f>
        <v>4611939.10926668</v>
      </c>
      <c r="BI47" s="215"/>
      <c r="BJ47" s="17" t="n">
        <f aca="false">BJ46</f>
        <v>0.0414735737039609</v>
      </c>
      <c r="BK47" s="249" t="n">
        <f aca="false">EPS</f>
        <v>0.01</v>
      </c>
      <c r="BL47" s="226" t="n">
        <f aca="false">BO47/$D47</f>
        <v>0.0481823877416392</v>
      </c>
      <c r="BM47" s="226" t="n">
        <f aca="false">BR47/$D47*-1</f>
        <v>-0</v>
      </c>
      <c r="BN47" s="226" t="n">
        <f aca="false">BS47/$D47</f>
        <v>0.0996559614456001</v>
      </c>
      <c r="BO47" s="77" t="n">
        <f aca="false">BO46</f>
        <v>2222506.30114488</v>
      </c>
      <c r="BP47" s="77" t="n">
        <f aca="false">BP46</f>
        <v>1913049.21172248</v>
      </c>
      <c r="BQ47" s="77" t="n">
        <f aca="false">BQ46</f>
        <v>461269.44</v>
      </c>
      <c r="BR47" s="77" t="n">
        <f aca="false">BR46</f>
        <v>0</v>
      </c>
      <c r="BS47" s="77" t="n">
        <f aca="false">BS46</f>
        <v>4596824.95286736</v>
      </c>
      <c r="BT47" s="215"/>
      <c r="BU47" s="17" t="n">
        <f aca="false">BU46</f>
        <v>0.0414735737039609</v>
      </c>
      <c r="BV47" s="249" t="n">
        <f aca="false">EPS</f>
        <v>0.01</v>
      </c>
      <c r="BW47" s="226" t="n">
        <f aca="false">BZ47/$D47</f>
        <v>0.0350055095248401</v>
      </c>
      <c r="BX47" s="226" t="n">
        <f aca="false">CC47/$D47*-1</f>
        <v>-0</v>
      </c>
      <c r="BY47" s="226" t="n">
        <f aca="false">CD47/$D47</f>
        <v>0.086479083228801</v>
      </c>
      <c r="BZ47" s="77" t="n">
        <f aca="false">BZ46</f>
        <v>1614697.17754377</v>
      </c>
      <c r="CA47" s="77" t="n">
        <f aca="false">CA46</f>
        <v>1913049.21172248</v>
      </c>
      <c r="CB47" s="77" t="n">
        <f aca="false">CB46</f>
        <v>461269.44</v>
      </c>
      <c r="CC47" s="77" t="n">
        <f aca="false">CC46</f>
        <v>0</v>
      </c>
      <c r="CD47" s="77" t="n">
        <f aca="false">CD46</f>
        <v>3989015.82926624</v>
      </c>
    </row>
    <row r="48" customFormat="false" ht="12.75" hidden="false" customHeight="false" outlineLevel="0" collapsed="false">
      <c r="A48" s="94"/>
      <c r="B48" s="79"/>
      <c r="C48" s="79"/>
      <c r="D48" s="159"/>
      <c r="E48" s="77"/>
      <c r="F48" s="215"/>
      <c r="G48" s="242"/>
      <c r="H48" s="13"/>
      <c r="I48" s="88"/>
      <c r="J48" s="77"/>
      <c r="K48" s="215"/>
      <c r="L48" s="129"/>
      <c r="M48" s="88"/>
      <c r="N48" s="77"/>
      <c r="O48" s="215"/>
      <c r="P48" s="244"/>
      <c r="Q48" s="13"/>
      <c r="R48" s="215"/>
      <c r="T48" s="245"/>
      <c r="V48" s="88"/>
      <c r="W48" s="245"/>
      <c r="X48" s="212"/>
      <c r="Y48" s="88"/>
      <c r="Z48" s="88"/>
      <c r="AA48" s="129"/>
      <c r="AB48" s="217"/>
      <c r="AC48" s="74"/>
      <c r="AD48" s="19"/>
      <c r="AH48" s="77"/>
      <c r="AJ48" s="77"/>
      <c r="AK48" s="77"/>
      <c r="AL48" s="77"/>
      <c r="AM48" s="215"/>
      <c r="AN48" s="74"/>
      <c r="AO48" s="19"/>
      <c r="AP48" s="0"/>
      <c r="AQ48" s="0"/>
      <c r="AR48" s="0"/>
      <c r="AS48" s="77"/>
      <c r="AT48" s="77"/>
      <c r="AU48" s="77"/>
      <c r="AV48" s="77"/>
      <c r="AW48" s="77"/>
      <c r="AX48" s="215"/>
      <c r="AY48" s="74"/>
      <c r="AZ48" s="19"/>
      <c r="BA48" s="0"/>
      <c r="BB48" s="0"/>
      <c r="BC48" s="0"/>
      <c r="BD48" s="77"/>
      <c r="BE48" s="77"/>
      <c r="BF48" s="77"/>
      <c r="BG48" s="77"/>
      <c r="BH48" s="77"/>
      <c r="BI48" s="215"/>
      <c r="BJ48" s="74"/>
      <c r="BK48" s="19"/>
      <c r="BL48" s="0"/>
      <c r="BM48" s="0"/>
      <c r="BN48" s="0"/>
      <c r="BO48" s="77"/>
      <c r="BP48" s="77"/>
      <c r="BQ48" s="77"/>
      <c r="BR48" s="77"/>
      <c r="BS48" s="77"/>
      <c r="BT48" s="215"/>
      <c r="BU48" s="74"/>
      <c r="BV48" s="19"/>
      <c r="BW48" s="0"/>
      <c r="BX48" s="0"/>
      <c r="BY48" s="0"/>
      <c r="BZ48" s="77"/>
      <c r="CA48" s="77"/>
      <c r="CB48" s="77"/>
      <c r="CC48" s="77"/>
      <c r="CD48" s="77"/>
    </row>
    <row r="49" customFormat="false" ht="12.75" hidden="false" customHeight="false" outlineLevel="0" collapsed="false">
      <c r="A49" s="97" t="s">
        <v>316</v>
      </c>
      <c r="B49" s="98" t="s">
        <v>236</v>
      </c>
      <c r="C49" s="98"/>
      <c r="D49" s="159" t="n">
        <f aca="false">D32</f>
        <v>10848270.1826165</v>
      </c>
      <c r="E49" s="77" t="n">
        <f aca="false">E32</f>
        <v>415150.541947851</v>
      </c>
      <c r="F49" s="215"/>
      <c r="G49" s="242"/>
      <c r="H49" s="13" t="n">
        <f aca="false">H32</f>
        <v>395720.95606711</v>
      </c>
      <c r="I49" s="88" t="n">
        <f aca="false">H49/$H$127</f>
        <v>0.000125886675905833</v>
      </c>
      <c r="J49" s="77" t="n">
        <f aca="false">J32</f>
        <v>309647.123528754</v>
      </c>
      <c r="K49" s="215"/>
      <c r="L49" s="129" t="n">
        <f aca="false">L32</f>
        <v>871553.164033665</v>
      </c>
      <c r="M49" s="88" t="n">
        <f aca="false">L49/$L$127</f>
        <v>0.000124831296000758</v>
      </c>
      <c r="N49" s="77" t="n">
        <f aca="false">N32</f>
        <v>307051.174835337</v>
      </c>
      <c r="O49" s="215"/>
      <c r="P49" s="244"/>
      <c r="Q49" s="50" t="n">
        <f aca="false">Q32</f>
        <v>393345.512645073</v>
      </c>
      <c r="R49" s="215"/>
      <c r="T49" s="245"/>
      <c r="U49" s="69" t="n">
        <f aca="false">U32</f>
        <v>164017.377005065</v>
      </c>
      <c r="V49" s="88" t="n">
        <f aca="false">U49/$U$127</f>
        <v>0.000101564261356542</v>
      </c>
      <c r="W49" s="245"/>
      <c r="X49" s="69" t="n">
        <f aca="false">X32</f>
        <v>162358.317722339</v>
      </c>
      <c r="Y49" s="88" t="n">
        <f aca="false">X49/$X$127</f>
        <v>0.000107107762303827</v>
      </c>
      <c r="Z49" s="88" t="n">
        <f aca="false">AVERAGE(V49,Y49)</f>
        <v>0.000104336011830184</v>
      </c>
      <c r="AA49" s="77" t="n">
        <f aca="false">AA32</f>
        <v>256638.327378233</v>
      </c>
      <c r="AB49" s="217"/>
      <c r="AC49" s="19" t="n">
        <f aca="false">CHOOSE(gen_choice,'Generation Calculations'!$O51,'Generation Calculations'!$P51)</f>
        <v>0.0669187104814653</v>
      </c>
      <c r="AD49" s="249" t="n">
        <f aca="false">EPS</f>
        <v>0.01</v>
      </c>
      <c r="AE49" s="226" t="n">
        <f aca="false">AH49/$D49</f>
        <v>0.0289169411187277</v>
      </c>
      <c r="AF49" s="226" t="n">
        <f aca="false">AK49/$D49*-1</f>
        <v>0.00054763288169715</v>
      </c>
      <c r="AG49" s="226" t="n">
        <f aca="false">AL49/$D49</f>
        <v>0.10638328448189</v>
      </c>
      <c r="AH49" s="77" t="n">
        <f aca="false">AH32</f>
        <v>313698.79011077</v>
      </c>
      <c r="AI49" s="77" t="n">
        <f aca="false">AI32</f>
        <v>725952.251575225</v>
      </c>
      <c r="AJ49" s="77" t="n">
        <f aca="false">AJ32</f>
        <v>108482.701826165</v>
      </c>
      <c r="AK49" s="77" t="n">
        <f aca="false">AK32</f>
        <v>-5940.86946153554</v>
      </c>
      <c r="AL49" s="77" t="n">
        <f aca="false">AL32</f>
        <v>1154074.6129737</v>
      </c>
      <c r="AM49" s="215"/>
      <c r="AN49" s="19" t="n">
        <f aca="false">CHOOSE(gen_choice,'Generation Calculations'!$O51,'Generation Calculations'!$P51)</f>
        <v>0.0669187104814653</v>
      </c>
      <c r="AO49" s="249" t="n">
        <f aca="false">EPS</f>
        <v>0.01</v>
      </c>
      <c r="AP49" s="226" t="n">
        <f aca="false">AS49/$D49</f>
        <v>0.0142734707609664</v>
      </c>
      <c r="AQ49" s="226" t="n">
        <f aca="false">AV49/$D49*-1</f>
        <v>0.00054763288169715</v>
      </c>
      <c r="AR49" s="226" t="n">
        <f aca="false">AW49/$D49</f>
        <v>0.0917398141241289</v>
      </c>
      <c r="AS49" s="77" t="n">
        <f aca="false">AS32</f>
        <v>154842.46725864</v>
      </c>
      <c r="AT49" s="77" t="n">
        <f aca="false">AT32</f>
        <v>725952.251575225</v>
      </c>
      <c r="AU49" s="77" t="n">
        <f aca="false">AU32</f>
        <v>108482.701826165</v>
      </c>
      <c r="AV49" s="77" t="n">
        <f aca="false">AV32</f>
        <v>-5940.86946153554</v>
      </c>
      <c r="AW49" s="77" t="n">
        <f aca="false">AW32</f>
        <v>995218.290121566</v>
      </c>
      <c r="AX49" s="215"/>
      <c r="AY49" s="19" t="n">
        <f aca="false">CHOOSE(gen_choice,'Generation Calculations'!$O51,'Generation Calculations'!$P51)</f>
        <v>0.0669187104814653</v>
      </c>
      <c r="AZ49" s="249" t="n">
        <f aca="false">EPS</f>
        <v>0.01</v>
      </c>
      <c r="BA49" s="226" t="n">
        <f aca="false">BD49/$D49</f>
        <v>0.0135043635014</v>
      </c>
      <c r="BB49" s="226" t="n">
        <f aca="false">BG49/$D49*-1</f>
        <v>0.00054763288169715</v>
      </c>
      <c r="BC49" s="226" t="n">
        <f aca="false">BH49/$D49</f>
        <v>0.0909707068645625</v>
      </c>
      <c r="BD49" s="77" t="n">
        <f aca="false">BD32</f>
        <v>146498.983907452</v>
      </c>
      <c r="BE49" s="77" t="n">
        <f aca="false">BE32</f>
        <v>725952.251575225</v>
      </c>
      <c r="BF49" s="77" t="n">
        <f aca="false">BF32</f>
        <v>108482.701826165</v>
      </c>
      <c r="BG49" s="77" t="n">
        <f aca="false">BG32</f>
        <v>-5940.86946153554</v>
      </c>
      <c r="BH49" s="77" t="n">
        <f aca="false">BH32</f>
        <v>986874.806770377</v>
      </c>
      <c r="BI49" s="215"/>
      <c r="BJ49" s="19" t="n">
        <f aca="false">CHOOSE(gen_choice,'Generation Calculations'!$O51,'Generation Calculations'!$P51)</f>
        <v>0.0669187104814653</v>
      </c>
      <c r="BK49" s="249" t="n">
        <f aca="false">EPS</f>
        <v>0.01</v>
      </c>
      <c r="BL49" s="226" t="n">
        <f aca="false">BO49/$D49</f>
        <v>0.0162194452769409</v>
      </c>
      <c r="BM49" s="226" t="n">
        <f aca="false">BR49/$D49*-1</f>
        <v>0.00054763288169715</v>
      </c>
      <c r="BN49" s="226" t="n">
        <f aca="false">BS49/$D49</f>
        <v>0.0936857886401033</v>
      </c>
      <c r="BO49" s="77" t="n">
        <f aca="false">BO32</f>
        <v>175952.924576418</v>
      </c>
      <c r="BP49" s="77" t="n">
        <f aca="false">BP32</f>
        <v>725952.251575225</v>
      </c>
      <c r="BQ49" s="77" t="n">
        <f aca="false">BQ32</f>
        <v>108482.701826165</v>
      </c>
      <c r="BR49" s="77" t="n">
        <f aca="false">BR32</f>
        <v>-5940.86946153554</v>
      </c>
      <c r="BS49" s="77" t="n">
        <f aca="false">BS32</f>
        <v>1016328.74743934</v>
      </c>
      <c r="BT49" s="215"/>
      <c r="BU49" s="19" t="n">
        <f aca="false">CHOOSE(gen_choice,'Generation Calculations'!$O51,'Generation Calculations'!$P51)</f>
        <v>0.0669187104814653</v>
      </c>
      <c r="BV49" s="249" t="n">
        <f aca="false">EPS</f>
        <v>0.01</v>
      </c>
      <c r="BW49" s="226" t="n">
        <f aca="false">BZ49/$D49</f>
        <v>-0.00143155840375976</v>
      </c>
      <c r="BX49" s="226" t="n">
        <f aca="false">CC49/$D49*-1</f>
        <v>0.00054763288169715</v>
      </c>
      <c r="BY49" s="226" t="n">
        <f aca="false">CD49/$D49</f>
        <v>0.0760347849594027</v>
      </c>
      <c r="BZ49" s="77" t="n">
        <f aca="false">BZ32</f>
        <v>-15529.932346181</v>
      </c>
      <c r="CA49" s="77" t="n">
        <f aca="false">CA32</f>
        <v>725952.251575225</v>
      </c>
      <c r="CB49" s="77" t="n">
        <f aca="false">CB32</f>
        <v>108482.701826165</v>
      </c>
      <c r="CC49" s="77" t="n">
        <f aca="false">CC32</f>
        <v>-5940.86946153554</v>
      </c>
      <c r="CD49" s="77" t="n">
        <f aca="false">CD32</f>
        <v>824845.890516744</v>
      </c>
    </row>
    <row r="50" customFormat="false" ht="12.75" hidden="false" customHeight="false" outlineLevel="0" collapsed="false">
      <c r="A50" s="97" t="s">
        <v>316</v>
      </c>
      <c r="B50" s="98" t="s">
        <v>234</v>
      </c>
      <c r="C50" s="98"/>
      <c r="D50" s="159" t="n">
        <f aca="false">D37</f>
        <v>783953304.520951</v>
      </c>
      <c r="E50" s="77" t="n">
        <f aca="false">E37</f>
        <v>30000971.0078206</v>
      </c>
      <c r="F50" s="215"/>
      <c r="G50" s="242"/>
      <c r="H50" s="13" t="n">
        <f aca="false">H37</f>
        <v>29218504.0175756</v>
      </c>
      <c r="I50" s="88" t="n">
        <f aca="false">H50/$H$127</f>
        <v>0.00929498498707264</v>
      </c>
      <c r="J50" s="77" t="n">
        <f aca="false">J37</f>
        <v>22863145.3152592</v>
      </c>
      <c r="K50" s="215"/>
      <c r="L50" s="129" t="n">
        <f aca="false">L37</f>
        <v>64366215.5886262</v>
      </c>
      <c r="M50" s="88" t="n">
        <f aca="false">L50/$L$127</f>
        <v>0.00921907973279076</v>
      </c>
      <c r="N50" s="77" t="n">
        <f aca="false">N37</f>
        <v>22676438.9503483</v>
      </c>
      <c r="O50" s="215"/>
      <c r="P50" s="244"/>
      <c r="Q50" s="50" t="n">
        <f aca="false">Q37</f>
        <v>29539939.0980529</v>
      </c>
      <c r="R50" s="215"/>
      <c r="T50" s="245"/>
      <c r="U50" s="69" t="n">
        <f aca="false">U37</f>
        <v>11813569.8754441</v>
      </c>
      <c r="V50" s="88" t="n">
        <f aca="false">U50/$U$127</f>
        <v>0.00731530109975065</v>
      </c>
      <c r="W50" s="245"/>
      <c r="X50" s="69" t="n">
        <f aca="false">X37</f>
        <v>11726815.8327804</v>
      </c>
      <c r="Y50" s="88" t="n">
        <f aca="false">X50/$X$127</f>
        <v>0.00773617896772144</v>
      </c>
      <c r="Z50" s="88" t="n">
        <f aca="false">AVERAGE(V50,Y50)</f>
        <v>0.00752574003373605</v>
      </c>
      <c r="AA50" s="77" t="n">
        <f aca="false">AA37</f>
        <v>18511281.9693064</v>
      </c>
      <c r="AB50" s="217"/>
      <c r="AC50" s="19" t="n">
        <f aca="false">CHOOSE(gen_choice,'Generation Calculations'!$O52,'Generation Calculations'!$P52)</f>
        <v>0.056227655051451</v>
      </c>
      <c r="AD50" s="249" t="n">
        <f aca="false">EPS</f>
        <v>0.01</v>
      </c>
      <c r="AE50" s="226" t="n">
        <f aca="false">AH50/$D50</f>
        <v>0.0406679105641239</v>
      </c>
      <c r="AF50" s="226" t="n">
        <f aca="false">AK50/$D50*-1</f>
        <v>-0.000512281133684868</v>
      </c>
      <c r="AG50" s="226" t="n">
        <f aca="false">AL50/$D50</f>
        <v>0.10638328448189</v>
      </c>
      <c r="AH50" s="77" t="n">
        <f aca="false">AH37</f>
        <v>31881742.8747075</v>
      </c>
      <c r="AI50" s="77" t="n">
        <f aca="false">AI37</f>
        <v>44079855.9830492</v>
      </c>
      <c r="AJ50" s="77" t="n">
        <f aca="false">AJ37</f>
        <v>7839533.04520951</v>
      </c>
      <c r="AK50" s="77" t="n">
        <f aca="false">AK37</f>
        <v>401604.487595992</v>
      </c>
      <c r="AL50" s="77" t="n">
        <f aca="false">AL37</f>
        <v>83399527.4153702</v>
      </c>
      <c r="AM50" s="215"/>
      <c r="AN50" s="19" t="n">
        <f aca="false">CHOOSE(gen_choice,'Generation Calculations'!$O52,'Generation Calculations'!$P52)</f>
        <v>0.056227655051451</v>
      </c>
      <c r="AO50" s="249" t="n">
        <f aca="false">EPS</f>
        <v>0.01</v>
      </c>
      <c r="AP50" s="226" t="n">
        <f aca="false">AS50/$D50</f>
        <v>0.0280186109754023</v>
      </c>
      <c r="AQ50" s="226" t="n">
        <f aca="false">AV50/$D50*-1</f>
        <v>-0.000512281133684868</v>
      </c>
      <c r="AR50" s="226" t="n">
        <f aca="false">AW50/$D50</f>
        <v>0.0937339848931684</v>
      </c>
      <c r="AS50" s="77" t="n">
        <f aca="false">AS37</f>
        <v>21965282.6622536</v>
      </c>
      <c r="AT50" s="77" t="n">
        <f aca="false">AT37</f>
        <v>44079855.9830492</v>
      </c>
      <c r="AU50" s="77" t="n">
        <f aca="false">AU37</f>
        <v>7839533.04520951</v>
      </c>
      <c r="AV50" s="77" t="n">
        <f aca="false">AV37</f>
        <v>401604.487595992</v>
      </c>
      <c r="AW50" s="77" t="n">
        <f aca="false">AW37</f>
        <v>73483067.2029163</v>
      </c>
      <c r="AX50" s="215"/>
      <c r="AY50" s="19" t="n">
        <f aca="false">CHOOSE(gen_choice,'Generation Calculations'!$O52,'Generation Calculations'!$P52)</f>
        <v>0.056227655051451</v>
      </c>
      <c r="AZ50" s="249" t="n">
        <f aca="false">EPS</f>
        <v>0.01</v>
      </c>
      <c r="BA50" s="226" t="n">
        <f aca="false">BD50/$D50</f>
        <v>0.0272531549829435</v>
      </c>
      <c r="BB50" s="226" t="n">
        <f aca="false">BG50/$D50*-1</f>
        <v>-0.000512281133684868</v>
      </c>
      <c r="BC50" s="226" t="n">
        <f aca="false">BH50/$D50</f>
        <v>0.0929685289007096</v>
      </c>
      <c r="BD50" s="77" t="n">
        <f aca="false">BD37</f>
        <v>21365200.9075002</v>
      </c>
      <c r="BE50" s="77" t="n">
        <f aca="false">BE37</f>
        <v>44079855.9830492</v>
      </c>
      <c r="BF50" s="77" t="n">
        <f aca="false">BF37</f>
        <v>7839533.04520951</v>
      </c>
      <c r="BG50" s="77" t="n">
        <f aca="false">BG37</f>
        <v>401604.487595992</v>
      </c>
      <c r="BH50" s="77" t="n">
        <f aca="false">BH37</f>
        <v>72882985.4481629</v>
      </c>
      <c r="BI50" s="215"/>
      <c r="BJ50" s="19" t="n">
        <f aca="false">CHOOSE(gen_choice,'Generation Calculations'!$O52,'Generation Calculations'!$P52)</f>
        <v>0.056227655051451</v>
      </c>
      <c r="BK50" s="249" t="n">
        <f aca="false">EPS</f>
        <v>0.01</v>
      </c>
      <c r="BL50" s="226" t="n">
        <f aca="false">BO50/$D50</f>
        <v>0.0316443672180275</v>
      </c>
      <c r="BM50" s="226" t="n">
        <f aca="false">BR50/$D50*-1</f>
        <v>-0.000512281133684868</v>
      </c>
      <c r="BN50" s="226" t="n">
        <f aca="false">BS50/$D50</f>
        <v>0.0973597411357937</v>
      </c>
      <c r="BO50" s="77" t="n">
        <f aca="false">BO37</f>
        <v>24807706.2500471</v>
      </c>
      <c r="BP50" s="77" t="n">
        <f aca="false">BP37</f>
        <v>44079855.9830492</v>
      </c>
      <c r="BQ50" s="77" t="n">
        <f aca="false">BQ37</f>
        <v>7839533.04520951</v>
      </c>
      <c r="BR50" s="77" t="n">
        <f aca="false">BR37</f>
        <v>401604.487595992</v>
      </c>
      <c r="BS50" s="77" t="n">
        <f aca="false">BS37</f>
        <v>76325490.7907098</v>
      </c>
      <c r="BT50" s="215"/>
      <c r="BU50" s="19" t="n">
        <f aca="false">CHOOSE(gen_choice,'Generation Calculations'!$O52,'Generation Calculations'!$P52)</f>
        <v>0.056227655051451</v>
      </c>
      <c r="BV50" s="249" t="n">
        <f aca="false">EPS</f>
        <v>0.01</v>
      </c>
      <c r="BW50" s="226" t="n">
        <f aca="false">BZ50/$D50</f>
        <v>0.0101769060174047</v>
      </c>
      <c r="BX50" s="226" t="n">
        <f aca="false">CC50/$D50*-1</f>
        <v>-0.000512281133684868</v>
      </c>
      <c r="BY50" s="226" t="n">
        <f aca="false">CD50/$D50</f>
        <v>0.0758922799351709</v>
      </c>
      <c r="BZ50" s="77" t="n">
        <f aca="false">BZ37</f>
        <v>7978219.1021436</v>
      </c>
      <c r="CA50" s="77" t="n">
        <f aca="false">CA37</f>
        <v>44079855.9830492</v>
      </c>
      <c r="CB50" s="77" t="n">
        <f aca="false">CB37</f>
        <v>7839533.04520951</v>
      </c>
      <c r="CC50" s="77" t="n">
        <f aca="false">CC37</f>
        <v>401604.487595992</v>
      </c>
      <c r="CD50" s="77" t="n">
        <f aca="false">CD37</f>
        <v>59496003.6428063</v>
      </c>
    </row>
    <row r="51" customFormat="false" ht="12.75" hidden="false" customHeight="false" outlineLevel="0" collapsed="false">
      <c r="A51" s="97" t="s">
        <v>316</v>
      </c>
      <c r="B51" s="98" t="s">
        <v>231</v>
      </c>
      <c r="C51" s="98"/>
      <c r="D51" s="185" t="n">
        <f aca="false">D42+D46</f>
        <v>10220576591.9809</v>
      </c>
      <c r="E51" s="231" t="n">
        <f aca="false">E42+E46</f>
        <v>391129446.423596</v>
      </c>
      <c r="F51" s="228"/>
      <c r="G51" s="250"/>
      <c r="H51" s="229" t="n">
        <f aca="false">H42+H46</f>
        <v>401493759.045933</v>
      </c>
      <c r="I51" s="91" t="n">
        <f aca="false">H51/$H$127</f>
        <v>0.127723118900629</v>
      </c>
      <c r="J51" s="231" t="n">
        <f aca="false">J42+J46</f>
        <v>314164275.854616</v>
      </c>
      <c r="K51" s="228"/>
      <c r="L51" s="232" t="n">
        <f aca="false">L42+L46</f>
        <v>891416483.23128</v>
      </c>
      <c r="M51" s="91" t="n">
        <f aca="false">L51/$L$127</f>
        <v>0.127676290409177</v>
      </c>
      <c r="N51" s="231" t="n">
        <f aca="false">N42+N46</f>
        <v>314049090.450181</v>
      </c>
      <c r="O51" s="228"/>
      <c r="P51" s="244"/>
      <c r="Q51" s="238" t="n">
        <f aca="false">Q42+Q46</f>
        <v>394201861.308529</v>
      </c>
      <c r="R51" s="228"/>
      <c r="T51" s="245"/>
      <c r="U51" s="70" t="n">
        <f aca="false">U42+U46</f>
        <v>169291262.742391</v>
      </c>
      <c r="V51" s="91" t="n">
        <f aca="false">U51/$U$127</f>
        <v>0.104830002579643</v>
      </c>
      <c r="W51" s="245"/>
      <c r="X51" s="70" t="n">
        <f aca="false">X42+X46</f>
        <v>162541103.066794</v>
      </c>
      <c r="Y51" s="91" t="n">
        <f aca="false">X51/$X$127</f>
        <v>0.107228345773163</v>
      </c>
      <c r="Z51" s="91" t="n">
        <f aca="false">AVERAGE(V51,Y51)</f>
        <v>0.106029174176403</v>
      </c>
      <c r="AA51" s="231" t="n">
        <f aca="false">AA42+AA46</f>
        <v>260803048.119338</v>
      </c>
      <c r="AB51" s="237"/>
      <c r="AC51" s="252" t="n">
        <f aca="false">CHOOSE(gen_choice,'Generation Calculations'!$O53,'Generation Calculations'!$P53)</f>
        <v>0.0598314993501433</v>
      </c>
      <c r="AD51" s="259" t="n">
        <f aca="false">EPS</f>
        <v>0.01</v>
      </c>
      <c r="AE51" s="253" t="n">
        <f aca="false">AH51/$D51</f>
        <v>0.0365613630054868</v>
      </c>
      <c r="AF51" s="253" t="n">
        <f aca="false">AK51/$D51*-1</f>
        <v>-9.57787374002876E-006</v>
      </c>
      <c r="AG51" s="253" t="n">
        <f aca="false">AL51/$D51</f>
        <v>0.10638328448189</v>
      </c>
      <c r="AH51" s="231" t="n">
        <f aca="false">AH42+AH46</f>
        <v>373678210.904795</v>
      </c>
      <c r="AI51" s="231" t="n">
        <f aca="false">AI42+AI46</f>
        <v>611512421.721195</v>
      </c>
      <c r="AJ51" s="231" t="n">
        <f aca="false">AJ42+AJ46</f>
        <v>102205765.919809</v>
      </c>
      <c r="AK51" s="231" t="n">
        <f aca="false">AK42+AK46</f>
        <v>97891.3921482863</v>
      </c>
      <c r="AL51" s="231" t="n">
        <f aca="false">AL42+AL46</f>
        <v>1087298507.15365</v>
      </c>
      <c r="AM51" s="228"/>
      <c r="AN51" s="252" t="n">
        <f aca="false">CHOOSE(gen_choice,'Generation Calculations'!$O53,'Generation Calculations'!$P53)</f>
        <v>0.0598314993501433</v>
      </c>
      <c r="AO51" s="259" t="n">
        <f aca="false">EPS</f>
        <v>0.01</v>
      </c>
      <c r="AP51" s="253" t="n">
        <f aca="false">AS51/$D51</f>
        <v>0.0289725633565932</v>
      </c>
      <c r="AQ51" s="253" t="n">
        <f aca="false">AV51/$D51*-1</f>
        <v>-9.57787374002876E-006</v>
      </c>
      <c r="AR51" s="253" t="n">
        <f aca="false">AW51/$D51</f>
        <v>0.0987944848329965</v>
      </c>
      <c r="AS51" s="231" t="n">
        <f aca="false">AS42+AS46</f>
        <v>296116302.85208</v>
      </c>
      <c r="AT51" s="231" t="n">
        <f aca="false">AT42+AT46</f>
        <v>611512421.721195</v>
      </c>
      <c r="AU51" s="231" t="n">
        <f aca="false">AU42+AU46</f>
        <v>102205765.919809</v>
      </c>
      <c r="AV51" s="231" t="n">
        <f aca="false">AV42+AV46</f>
        <v>97891.3921482863</v>
      </c>
      <c r="AW51" s="231" t="n">
        <f aca="false">AW42+AW46</f>
        <v>1009736599.10094</v>
      </c>
      <c r="AX51" s="228"/>
      <c r="AY51" s="252" t="n">
        <f aca="false">CHOOSE(gen_choice,'Generation Calculations'!$O53,'Generation Calculations'!$P53)</f>
        <v>0.0598314993501433</v>
      </c>
      <c r="AZ51" s="259" t="n">
        <f aca="false">EPS</f>
        <v>0.01</v>
      </c>
      <c r="BA51" s="253" t="n">
        <f aca="false">BD51/$D51</f>
        <v>0.0289363412792721</v>
      </c>
      <c r="BB51" s="253" t="n">
        <f aca="false">BG51/$D51*-1</f>
        <v>-9.57787374002876E-006</v>
      </c>
      <c r="BC51" s="253" t="n">
        <f aca="false">BH51/$D51</f>
        <v>0.0987582627556754</v>
      </c>
      <c r="BD51" s="231" t="n">
        <f aca="false">BD42+BD46</f>
        <v>295746092.336499</v>
      </c>
      <c r="BE51" s="231" t="n">
        <f aca="false">BE42+BE46</f>
        <v>611512421.721195</v>
      </c>
      <c r="BF51" s="231" t="n">
        <f aca="false">BF42+BF46</f>
        <v>102205765.919809</v>
      </c>
      <c r="BG51" s="231" t="n">
        <f aca="false">BG42+BG46</f>
        <v>97891.3921482863</v>
      </c>
      <c r="BH51" s="231" t="n">
        <f aca="false">BH42+BH46</f>
        <v>1009366388.58535</v>
      </c>
      <c r="BI51" s="228"/>
      <c r="BJ51" s="252" t="n">
        <f aca="false">CHOOSE(gen_choice,'Generation Calculations'!$O53,'Generation Calculations'!$P53)</f>
        <v>0.0598314993501433</v>
      </c>
      <c r="BK51" s="259" t="n">
        <f aca="false">EPS</f>
        <v>0.01</v>
      </c>
      <c r="BL51" s="253" t="n">
        <f aca="false">BO51/$D51</f>
        <v>0.0298340399691968</v>
      </c>
      <c r="BM51" s="253" t="n">
        <f aca="false">BR51/$D51*-1</f>
        <v>-9.57787374002876E-006</v>
      </c>
      <c r="BN51" s="253" t="n">
        <f aca="false">BS51/$D51</f>
        <v>0.0996559614456001</v>
      </c>
      <c r="BO51" s="231" t="n">
        <f aca="false">BO42+BO46</f>
        <v>304921090.553395</v>
      </c>
      <c r="BP51" s="231" t="n">
        <f aca="false">BP42+BP46</f>
        <v>611512421.721195</v>
      </c>
      <c r="BQ51" s="231" t="n">
        <f aca="false">BQ42+BQ46</f>
        <v>102205765.919809</v>
      </c>
      <c r="BR51" s="231" t="n">
        <f aca="false">BR42+BR46</f>
        <v>97891.3921482863</v>
      </c>
      <c r="BS51" s="231" t="n">
        <f aca="false">BS42+BS46</f>
        <v>1018541386.80225</v>
      </c>
      <c r="BT51" s="228"/>
      <c r="BU51" s="252" t="n">
        <f aca="false">CHOOSE(gen_choice,'Generation Calculations'!$O53,'Generation Calculations'!$P53)</f>
        <v>0.0598314993501433</v>
      </c>
      <c r="BV51" s="259" t="n">
        <f aca="false">EPS</f>
        <v>0.01</v>
      </c>
      <c r="BW51" s="253" t="n">
        <f aca="false">BZ51/$D51</f>
        <v>0.0121921863076043</v>
      </c>
      <c r="BX51" s="253" t="n">
        <f aca="false">CC51/$D51*-1</f>
        <v>-9.57787374002876E-006</v>
      </c>
      <c r="BY51" s="253" t="n">
        <f aca="false">CD51/$D51</f>
        <v>0.0820141077840075</v>
      </c>
      <c r="BZ51" s="231" t="n">
        <f aca="false">BZ42+BZ46</f>
        <v>124611173.98057</v>
      </c>
      <c r="CA51" s="231" t="n">
        <f aca="false">CA42+CA46</f>
        <v>611512421.721195</v>
      </c>
      <c r="CB51" s="231" t="n">
        <f aca="false">CB42+CB46</f>
        <v>102205765.919809</v>
      </c>
      <c r="CC51" s="231" t="n">
        <f aca="false">CC42+CC46</f>
        <v>97891.3921482863</v>
      </c>
      <c r="CD51" s="231" t="n">
        <f aca="false">CD42+CD46</f>
        <v>838231470.229425</v>
      </c>
    </row>
    <row r="52" customFormat="false" ht="12.75" hidden="false" customHeight="false" outlineLevel="0" collapsed="false">
      <c r="A52" s="99" t="s">
        <v>309</v>
      </c>
      <c r="B52" s="84"/>
      <c r="C52" s="84"/>
      <c r="D52" s="159" t="n">
        <f aca="false">SUM(D49:D51)</f>
        <v>11015378166.6845</v>
      </c>
      <c r="E52" s="77" t="n">
        <f aca="false">SUM(E49:E51)</f>
        <v>421545567.973364</v>
      </c>
      <c r="F52" s="215"/>
      <c r="G52" s="242"/>
      <c r="H52" s="13" t="n">
        <f aca="false">SUM(H49:H51)</f>
        <v>431107984.019576</v>
      </c>
      <c r="I52" s="88" t="n">
        <f aca="false">SUM(I49:I51)</f>
        <v>0.137143990563607</v>
      </c>
      <c r="J52" s="77" t="n">
        <f aca="false">SUM(J49:J51)</f>
        <v>337337068.293404</v>
      </c>
      <c r="K52" s="215"/>
      <c r="L52" s="129" t="n">
        <f aca="false">SUM(L49:L51)</f>
        <v>956654251.98394</v>
      </c>
      <c r="M52" s="88" t="n">
        <f aca="false">SUM(M49:M51)</f>
        <v>0.137020201437968</v>
      </c>
      <c r="N52" s="77" t="n">
        <f aca="false">SUM(N49:N51)</f>
        <v>337032580.575364</v>
      </c>
      <c r="O52" s="215"/>
      <c r="P52" s="244"/>
      <c r="Q52" s="50" t="n">
        <f aca="false">SUM(Q49:Q51)</f>
        <v>424135145.919227</v>
      </c>
      <c r="R52" s="215"/>
      <c r="T52" s="245"/>
      <c r="U52" s="69" t="n">
        <f aca="false">SUM(U49:U51)</f>
        <v>181268849.994841</v>
      </c>
      <c r="V52" s="88" t="n">
        <f aca="false">SUM(V49:V51)</f>
        <v>0.11224686794075</v>
      </c>
      <c r="W52" s="245"/>
      <c r="X52" s="69" t="n">
        <f aca="false">SUM(X49:X51)</f>
        <v>174430277.217297</v>
      </c>
      <c r="Y52" s="88" t="n">
        <f aca="false">SUM(Y49:Y51)</f>
        <v>0.115071632503188</v>
      </c>
      <c r="Z52" s="88" t="n">
        <f aca="false">AVERAGE(V52,Y52)</f>
        <v>0.113659250221969</v>
      </c>
      <c r="AA52" s="77" t="n">
        <f aca="false">SUM(AA49:AA51)</f>
        <v>279570968.416023</v>
      </c>
      <c r="AB52" s="217"/>
      <c r="AC52" s="19" t="n">
        <f aca="false">CHOOSE(gen_choice,'Generation Calculations'!$O54,'Generation Calculations'!$P54)</f>
        <v>0.0595819970975509</v>
      </c>
      <c r="AD52" s="249" t="n">
        <f aca="false">EPS</f>
        <v>0.01</v>
      </c>
      <c r="AE52" s="226" t="n">
        <f aca="false">AH52/$D52</f>
        <v>0.0368460933821737</v>
      </c>
      <c r="AF52" s="226" t="n">
        <f aca="false">AK52/$D52*-1</f>
        <v>-4.48059978345073E-005</v>
      </c>
      <c r="AG52" s="226" t="n">
        <f aca="false">AL52/$D52</f>
        <v>0.10638328448189</v>
      </c>
      <c r="AH52" s="77" t="n">
        <f aca="false">SUM(AH49:AH51)</f>
        <v>405873652.569613</v>
      </c>
      <c r="AI52" s="77" t="n">
        <f aca="false">SUM(AI49:AI51)</f>
        <v>656318229.955819</v>
      </c>
      <c r="AJ52" s="77" t="n">
        <f aca="false">SUM(AJ49:AJ51)</f>
        <v>110153781.666845</v>
      </c>
      <c r="AK52" s="77" t="n">
        <f aca="false">SUM(AK49:AK51)</f>
        <v>493555.010282742</v>
      </c>
      <c r="AL52" s="77" t="n">
        <f aca="false">SUM(AL49:AL51)</f>
        <v>1171852109.18199</v>
      </c>
      <c r="AM52" s="215"/>
      <c r="AN52" s="19" t="n">
        <f aca="false">CHOOSE(gen_choice,'Generation Calculations'!$O54,'Generation Calculations'!$P54)</f>
        <v>0.0595819970975509</v>
      </c>
      <c r="AO52" s="249" t="n">
        <f aca="false">EPS</f>
        <v>0.01</v>
      </c>
      <c r="AP52" s="226" t="n">
        <f aca="false">AS52/$D52</f>
        <v>0.0288901954309735</v>
      </c>
      <c r="AQ52" s="226" t="n">
        <f aca="false">AV52/$D52*-1</f>
        <v>-4.48059978345073E-005</v>
      </c>
      <c r="AR52" s="226" t="n">
        <f aca="false">AW52/$D52</f>
        <v>0.0984273865306899</v>
      </c>
      <c r="AS52" s="77" t="n">
        <f aca="false">SUM(AS49:AS51)</f>
        <v>318236427.981592</v>
      </c>
      <c r="AT52" s="77" t="n">
        <f aca="false">SUM(AT49:AT51)</f>
        <v>656318229.955819</v>
      </c>
      <c r="AU52" s="77" t="n">
        <f aca="false">SUM(AU49:AU51)</f>
        <v>110153781.666845</v>
      </c>
      <c r="AV52" s="77" t="n">
        <f aca="false">SUM(AV49:AV51)</f>
        <v>493555.010282742</v>
      </c>
      <c r="AW52" s="77" t="n">
        <f aca="false">SUM(AW49:AW51)</f>
        <v>1084214884.59397</v>
      </c>
      <c r="AX52" s="215"/>
      <c r="AY52" s="19" t="n">
        <f aca="false">CHOOSE(gen_choice,'Generation Calculations'!$O54,'Generation Calculations'!$P54)</f>
        <v>0.0595819970975509</v>
      </c>
      <c r="AZ52" s="249" t="n">
        <f aca="false">EPS</f>
        <v>0.01</v>
      </c>
      <c r="BA52" s="226" t="n">
        <f aca="false">BD52/$D52</f>
        <v>0.0288013527476922</v>
      </c>
      <c r="BB52" s="226" t="n">
        <f aca="false">BG52/$D52*-1</f>
        <v>-4.48059978345073E-005</v>
      </c>
      <c r="BC52" s="226" t="n">
        <f aca="false">BH52/$D52</f>
        <v>0.0983385438474087</v>
      </c>
      <c r="BD52" s="77" t="n">
        <f aca="false">SUM(BD49:BD51)</f>
        <v>317257792.227907</v>
      </c>
      <c r="BE52" s="77" t="n">
        <f aca="false">SUM(BE49:BE51)</f>
        <v>656318229.955819</v>
      </c>
      <c r="BF52" s="77" t="n">
        <f aca="false">SUM(BF49:BF51)</f>
        <v>110153781.666845</v>
      </c>
      <c r="BG52" s="77" t="n">
        <f aca="false">SUM(BG49:BG51)</f>
        <v>493555.010282742</v>
      </c>
      <c r="BH52" s="77" t="n">
        <f aca="false">SUM(BH49:BH51)</f>
        <v>1083236248.84029</v>
      </c>
      <c r="BI52" s="215"/>
      <c r="BJ52" s="19" t="n">
        <f aca="false">CHOOSE(gen_choice,'Generation Calculations'!$O54,'Generation Calculations'!$P54)</f>
        <v>0.0595819970975509</v>
      </c>
      <c r="BK52" s="249" t="n">
        <f aca="false">EPS</f>
        <v>0.01</v>
      </c>
      <c r="BL52" s="226" t="n">
        <f aca="false">BO52/$D52</f>
        <v>0.0299494710699812</v>
      </c>
      <c r="BM52" s="226" t="n">
        <f aca="false">BR52/$D52*-1</f>
        <v>-4.48059978345073E-005</v>
      </c>
      <c r="BN52" s="226" t="n">
        <f aca="false">BS52/$D52</f>
        <v>0.0994866621696976</v>
      </c>
      <c r="BO52" s="77" t="n">
        <f aca="false">SUM(BO49:BO51)</f>
        <v>329904749.728019</v>
      </c>
      <c r="BP52" s="77" t="n">
        <f aca="false">SUM(BP49:BP51)</f>
        <v>656318229.955819</v>
      </c>
      <c r="BQ52" s="77" t="n">
        <f aca="false">SUM(BQ49:BQ51)</f>
        <v>110153781.666845</v>
      </c>
      <c r="BR52" s="77" t="n">
        <f aca="false">SUM(BR49:BR51)</f>
        <v>493555.010282742</v>
      </c>
      <c r="BS52" s="77" t="n">
        <f aca="false">SUM(BS49:BS51)</f>
        <v>1095883206.3404</v>
      </c>
      <c r="BT52" s="215"/>
      <c r="BU52" s="19" t="n">
        <f aca="false">CHOOSE(gen_choice,'Generation Calculations'!$O54,'Generation Calculations'!$P54)</f>
        <v>0.0595819970975509</v>
      </c>
      <c r="BV52" s="249" t="n">
        <f aca="false">EPS</f>
        <v>0.01</v>
      </c>
      <c r="BW52" s="226" t="n">
        <f aca="false">BZ52/$D52</f>
        <v>0.0120353437843225</v>
      </c>
      <c r="BX52" s="226" t="n">
        <f aca="false">CC52/$D52*-1</f>
        <v>-4.48059978345073E-005</v>
      </c>
      <c r="BY52" s="226" t="n">
        <f aca="false">CD52/$D52</f>
        <v>0.0815725348840389</v>
      </c>
      <c r="BZ52" s="77" t="n">
        <f aca="false">SUM(BZ49:BZ51)</f>
        <v>132573863.150367</v>
      </c>
      <c r="CA52" s="77" t="n">
        <f aca="false">SUM(CA49:CA51)</f>
        <v>656318229.955819</v>
      </c>
      <c r="CB52" s="77" t="n">
        <f aca="false">SUM(CB49:CB51)</f>
        <v>110153781.666845</v>
      </c>
      <c r="CC52" s="77" t="n">
        <f aca="false">SUM(CC49:CC51)</f>
        <v>493555.010282742</v>
      </c>
      <c r="CD52" s="77" t="n">
        <f aca="false">SUM(CD49:CD51)</f>
        <v>898552319.762748</v>
      </c>
    </row>
    <row r="53" customFormat="false" ht="12.75" hidden="false" customHeight="false" outlineLevel="0" collapsed="false">
      <c r="A53" s="94"/>
      <c r="B53" s="82"/>
      <c r="C53" s="82"/>
      <c r="D53" s="159"/>
      <c r="E53" s="77"/>
      <c r="F53" s="215"/>
      <c r="G53" s="242"/>
      <c r="H53" s="13"/>
      <c r="I53" s="88"/>
      <c r="J53" s="77"/>
      <c r="K53" s="215"/>
      <c r="L53" s="129"/>
      <c r="M53" s="88"/>
      <c r="N53" s="77"/>
      <c r="O53" s="215"/>
      <c r="P53" s="244"/>
      <c r="Q53" s="13"/>
      <c r="R53" s="215"/>
      <c r="T53" s="245"/>
      <c r="V53" s="88"/>
      <c r="W53" s="245"/>
      <c r="X53" s="212"/>
      <c r="Y53" s="88"/>
      <c r="Z53" s="88"/>
      <c r="AA53" s="129"/>
      <c r="AB53" s="217"/>
      <c r="AC53" s="74"/>
      <c r="AD53" s="19"/>
      <c r="AF53" s="226"/>
      <c r="AG53" s="226"/>
      <c r="AH53" s="77"/>
      <c r="AJ53" s="77"/>
      <c r="AK53" s="77"/>
      <c r="AL53" s="77" t="n">
        <f aca="false">AL52-SUM(AH52:AJ52)+AK52</f>
        <v>-1.2456439435482E-008</v>
      </c>
      <c r="AM53" s="215"/>
      <c r="AN53" s="74"/>
      <c r="AO53" s="19"/>
      <c r="AP53" s="0"/>
      <c r="AQ53" s="226"/>
      <c r="AR53" s="226"/>
      <c r="AS53" s="77"/>
      <c r="AT53" s="77"/>
      <c r="AU53" s="77"/>
      <c r="AV53" s="77"/>
      <c r="AW53" s="77"/>
      <c r="AX53" s="215"/>
      <c r="AY53" s="74"/>
      <c r="AZ53" s="19"/>
      <c r="BA53" s="0"/>
      <c r="BB53" s="226"/>
      <c r="BC53" s="226"/>
      <c r="BD53" s="77"/>
      <c r="BE53" s="77"/>
      <c r="BF53" s="77"/>
      <c r="BG53" s="77"/>
      <c r="BH53" s="77"/>
      <c r="BI53" s="215"/>
      <c r="BJ53" s="74"/>
      <c r="BK53" s="19"/>
      <c r="BL53" s="0"/>
      <c r="BM53" s="226"/>
      <c r="BN53" s="226"/>
      <c r="BO53" s="77"/>
      <c r="BP53" s="77"/>
      <c r="BQ53" s="77"/>
      <c r="BR53" s="77"/>
      <c r="BS53" s="77"/>
      <c r="BT53" s="215"/>
      <c r="BU53" s="74"/>
      <c r="BV53" s="19"/>
      <c r="BW53" s="0"/>
      <c r="BX53" s="226"/>
      <c r="BY53" s="226"/>
      <c r="BZ53" s="77"/>
      <c r="CA53" s="77"/>
      <c r="CB53" s="77"/>
      <c r="CC53" s="77"/>
      <c r="CD53" s="77"/>
    </row>
    <row r="54" customFormat="false" ht="12.75" hidden="false" customHeight="false" outlineLevel="0" collapsed="false">
      <c r="A54" s="85" t="s">
        <v>317</v>
      </c>
      <c r="B54" s="82" t="s">
        <v>231</v>
      </c>
      <c r="C54" s="82" t="n">
        <v>1</v>
      </c>
      <c r="D54" s="170" t="n">
        <f aca="false">'Test Year 2001 Sales and Revs.'!F56</f>
        <v>351291854.831243</v>
      </c>
      <c r="E54" s="77" t="n">
        <f aca="false">surcharge_1*D54</f>
        <v>13443526.1530223</v>
      </c>
      <c r="F54" s="215"/>
      <c r="G54" s="242" t="n">
        <v>0.03504</v>
      </c>
      <c r="H54" s="13" t="n">
        <f aca="false">G54*D54</f>
        <v>12309266.5932868</v>
      </c>
      <c r="I54" s="88" t="n">
        <f aca="false">H54/$H$127</f>
        <v>0.00391582156696497</v>
      </c>
      <c r="J54" s="77" t="n">
        <f aca="false">I54*$E$129</f>
        <v>9631860.36757034</v>
      </c>
      <c r="K54" s="215"/>
      <c r="L54" s="243" t="n">
        <v>22855048.0753207</v>
      </c>
      <c r="M54" s="88" t="n">
        <f aca="false">L54/$L$127</f>
        <v>0.00327349539779964</v>
      </c>
      <c r="N54" s="77" t="n">
        <f aca="false">M54*$E$129</f>
        <v>8051911.97971977</v>
      </c>
      <c r="O54" s="215"/>
      <c r="P54" s="244" t="n">
        <f aca="false">S_Equal</f>
        <v>0.0385694346851059</v>
      </c>
      <c r="Q54" s="13" t="n">
        <f aca="false">P54*D54</f>
        <v>13549128.2503233</v>
      </c>
      <c r="R54" s="215"/>
      <c r="S54" s="211" t="n">
        <f aca="false">S11</f>
        <v>1</v>
      </c>
      <c r="T54" s="245" t="n">
        <v>1073851.91199748</v>
      </c>
      <c r="U54" s="212" t="n">
        <f aca="false">$S54*T54</f>
        <v>1073851.91199748</v>
      </c>
      <c r="V54" s="88" t="n">
        <f aca="false">U54/$U$127</f>
        <v>0.000664959885591674</v>
      </c>
      <c r="W54" s="245" t="n">
        <v>1357188.39678741</v>
      </c>
      <c r="X54" s="212" t="n">
        <f aca="false">$S54*W54</f>
        <v>1357188.39678741</v>
      </c>
      <c r="Y54" s="88" t="n">
        <f aca="false">X54/$X$127</f>
        <v>0.000895337019032296</v>
      </c>
      <c r="Z54" s="88" t="n">
        <f aca="false">AVERAGE(V54,Y54)</f>
        <v>0.000780148452311985</v>
      </c>
      <c r="AA54" s="129" t="n">
        <f aca="false">$Z54*'Inputs and Assumptions'!$C$6</f>
        <v>1918953.87216768</v>
      </c>
      <c r="AB54" s="217"/>
      <c r="AC54" s="19" t="n">
        <f aca="false">CHOOSE(gen_choice,'Generation Calculations'!$O56,'Generation Calculations'!$P56)</f>
        <v>0.0409049282135761</v>
      </c>
      <c r="AD54" s="249" t="n">
        <f aca="false">EPS</f>
        <v>0.01</v>
      </c>
      <c r="AE54" s="17" t="n">
        <f aca="false">AG54-SUM(AC54:AD54,AF54)</f>
        <v>0.055478356268314</v>
      </c>
      <c r="AF54" s="226" t="n">
        <f aca="false">AK54/$D54*-1</f>
        <v>-0</v>
      </c>
      <c r="AG54" s="226" t="n">
        <f aca="false">AL54/$D54</f>
        <v>0.10638328448189</v>
      </c>
      <c r="AH54" s="77" t="n">
        <f aca="false">AL54+AK54-SUM(AI54:AJ54)</f>
        <v>19489094.6764846</v>
      </c>
      <c r="AI54" s="258" t="n">
        <f aca="false">CHOOSE(gen_choice,'Generation Calculations'!$M56,'Generation Calculations'!$N56)</f>
        <v>14369568.103886</v>
      </c>
      <c r="AJ54" s="77" t="n">
        <f aca="false">$D54*AD54</f>
        <v>3512918.54831243</v>
      </c>
      <c r="AK54" s="248" t="n">
        <f aca="false">CHOOSE(gen_choice,'Generation Calculations'!K56,'Generation Calculations'!L56)</f>
        <v>0</v>
      </c>
      <c r="AL54" s="77" t="n">
        <f aca="false">$D54*gen_equal</f>
        <v>37371581.328683</v>
      </c>
      <c r="AM54" s="215"/>
      <c r="AN54" s="19" t="n">
        <f aca="false">CHOOSE(gen_choice,'Generation Calculations'!$O56,'Generation Calculations'!$P56)</f>
        <v>0.0409049282135761</v>
      </c>
      <c r="AO54" s="249" t="n">
        <f aca="false">EPS</f>
        <v>0.01</v>
      </c>
      <c r="AP54" s="17" t="n">
        <f aca="false">AR54-SUM(AN54:AO54,AQ54)</f>
        <v>0.0372189084223228</v>
      </c>
      <c r="AQ54" s="226" t="n">
        <f aca="false">AV54/$D54*-1</f>
        <v>-0</v>
      </c>
      <c r="AR54" s="226" t="n">
        <f aca="false">AW54/$D54</f>
        <v>0.0881238366358989</v>
      </c>
      <c r="AS54" s="77" t="n">
        <f aca="false">$D54*AP54</f>
        <v>13074699.3744719</v>
      </c>
      <c r="AT54" s="127" t="n">
        <f aca="false">$AI54</f>
        <v>14369568.103886</v>
      </c>
      <c r="AU54" s="77" t="n">
        <f aca="false">$D54*AO54</f>
        <v>3512918.54831243</v>
      </c>
      <c r="AV54" s="127" t="n">
        <f aca="false">$AK54</f>
        <v>0</v>
      </c>
      <c r="AW54" s="77" t="n">
        <f aca="false">$I54*'Inputs and Assumptions'!$C$15</f>
        <v>30957186.0266704</v>
      </c>
      <c r="AX54" s="215"/>
      <c r="AY54" s="19" t="n">
        <f aca="false">CHOOSE(gen_choice,'Generation Calculations'!$O56,'Generation Calculations'!$P56)</f>
        <v>0.0409049282135761</v>
      </c>
      <c r="AZ54" s="249" t="n">
        <f aca="false">EPS</f>
        <v>0.01</v>
      </c>
      <c r="BA54" s="17" t="n">
        <f aca="false">BC54-SUM(AY54:AZ54,BB54)</f>
        <v>0.0227636413907455</v>
      </c>
      <c r="BB54" s="226" t="n">
        <f aca="false">BG54/$D54*-1</f>
        <v>-0</v>
      </c>
      <c r="BC54" s="226" t="n">
        <f aca="false">BH54/$D54</f>
        <v>0.0736685696043216</v>
      </c>
      <c r="BD54" s="77" t="n">
        <f aca="false">$D54*BA54</f>
        <v>7996681.80686825</v>
      </c>
      <c r="BE54" s="127" t="n">
        <f aca="false">$AI54</f>
        <v>14369568.103886</v>
      </c>
      <c r="BF54" s="77" t="n">
        <f aca="false">$D54*AZ54</f>
        <v>3512918.54831243</v>
      </c>
      <c r="BG54" s="127" t="n">
        <f aca="false">$AK54</f>
        <v>0</v>
      </c>
      <c r="BH54" s="77" t="n">
        <f aca="false">$M54*'Inputs and Assumptions'!$C$15</f>
        <v>25879168.4590667</v>
      </c>
      <c r="BI54" s="215"/>
      <c r="BJ54" s="19" t="n">
        <f aca="false">CHOOSE(gen_choice,'Generation Calculations'!$O56,'Generation Calculations'!$P56)</f>
        <v>0.0409049282135761</v>
      </c>
      <c r="BK54" s="249" t="n">
        <f aca="false">EPS</f>
        <v>0.01</v>
      </c>
      <c r="BL54" s="17" t="n">
        <f aca="false">BN54-SUM(BJ54:BK54,BM54)</f>
        <v>0.048751033232024</v>
      </c>
      <c r="BM54" s="226" t="n">
        <f aca="false">BR54/$D54*-1</f>
        <v>-0</v>
      </c>
      <c r="BN54" s="226" t="n">
        <f aca="false">BS54/$D54</f>
        <v>0.0996559614456001</v>
      </c>
      <c r="BO54" s="77" t="n">
        <f aca="false">$D54*BL54</f>
        <v>17125840.8890173</v>
      </c>
      <c r="BP54" s="127" t="n">
        <f aca="false">$AI54</f>
        <v>14369568.103886</v>
      </c>
      <c r="BQ54" s="77" t="n">
        <f aca="false">$D54*BK54</f>
        <v>3512918.54831243</v>
      </c>
      <c r="BR54" s="127" t="n">
        <f aca="false">$AK54</f>
        <v>0</v>
      </c>
      <c r="BS54" s="77" t="n">
        <f aca="false">D54*s_equal_gen</f>
        <v>35008327.5412157</v>
      </c>
      <c r="BT54" s="215"/>
      <c r="BU54" s="19" t="n">
        <f aca="false">CHOOSE(gen_choice,'Generation Calculations'!$O56,'Generation Calculations'!$P56)</f>
        <v>0.0409049282135761</v>
      </c>
      <c r="BV54" s="249" t="n">
        <f aca="false">EPS</f>
        <v>0.01</v>
      </c>
      <c r="BW54" s="17" t="n">
        <f aca="false">BY54-SUM(BU54:BV54,BX54)</f>
        <v>-0.033348031509374</v>
      </c>
      <c r="BX54" s="226" t="n">
        <f aca="false">CC54/$D54*-1</f>
        <v>-0</v>
      </c>
      <c r="BY54" s="226" t="n">
        <f aca="false">CD54/$D54</f>
        <v>0.0175568967042021</v>
      </c>
      <c r="BZ54" s="77" t="n">
        <f aca="false">$D54*BW54</f>
        <v>-11714891.8438988</v>
      </c>
      <c r="CA54" s="127" t="n">
        <f aca="false">$AI54</f>
        <v>14369568.103886</v>
      </c>
      <c r="CB54" s="77" t="n">
        <f aca="false">$D54*BV54</f>
        <v>3512918.54831243</v>
      </c>
      <c r="CC54" s="127" t="n">
        <f aca="false">$AK54</f>
        <v>0</v>
      </c>
      <c r="CD54" s="77" t="n">
        <f aca="false">$Z54*'Inputs and Assumptions'!$C$15</f>
        <v>6167594.80829969</v>
      </c>
    </row>
    <row r="55" customFormat="false" ht="12.75" hidden="false" customHeight="false" outlineLevel="0" collapsed="false">
      <c r="A55" s="94"/>
      <c r="B55" s="82"/>
      <c r="C55" s="82"/>
      <c r="D55" s="159"/>
      <c r="E55" s="77"/>
      <c r="F55" s="215"/>
      <c r="G55" s="242"/>
      <c r="H55" s="13"/>
      <c r="I55" s="88"/>
      <c r="J55" s="77"/>
      <c r="K55" s="215"/>
      <c r="L55" s="129"/>
      <c r="M55" s="88"/>
      <c r="N55" s="77"/>
      <c r="O55" s="215"/>
      <c r="P55" s="244"/>
      <c r="Q55" s="13"/>
      <c r="R55" s="215"/>
      <c r="T55" s="245"/>
      <c r="V55" s="88"/>
      <c r="W55" s="245"/>
      <c r="X55" s="212"/>
      <c r="Y55" s="88"/>
      <c r="Z55" s="88"/>
      <c r="AA55" s="129"/>
      <c r="AB55" s="217"/>
      <c r="AC55" s="74"/>
      <c r="AD55" s="19"/>
      <c r="AH55" s="77"/>
      <c r="AJ55" s="77"/>
      <c r="AK55" s="77"/>
      <c r="AL55" s="77" t="n">
        <f aca="false">AL54-SUM(AH54:AJ54)+AK54</f>
        <v>0</v>
      </c>
      <c r="AM55" s="215"/>
      <c r="AN55" s="74"/>
      <c r="AO55" s="19"/>
      <c r="AP55" s="0"/>
      <c r="AQ55" s="0"/>
      <c r="AR55" s="0"/>
      <c r="AS55" s="77"/>
      <c r="AT55" s="77"/>
      <c r="AU55" s="77"/>
      <c r="AV55" s="77"/>
      <c r="AW55" s="77"/>
      <c r="AX55" s="215"/>
      <c r="AY55" s="74"/>
      <c r="AZ55" s="19"/>
      <c r="BA55" s="0"/>
      <c r="BB55" s="0"/>
      <c r="BC55" s="0"/>
      <c r="BD55" s="77"/>
      <c r="BE55" s="77"/>
      <c r="BF55" s="77"/>
      <c r="BG55" s="77"/>
      <c r="BH55" s="77"/>
      <c r="BI55" s="215"/>
      <c r="BJ55" s="74"/>
      <c r="BK55" s="19"/>
      <c r="BL55" s="0"/>
      <c r="BM55" s="0"/>
      <c r="BN55" s="0"/>
      <c r="BO55" s="77"/>
      <c r="BP55" s="77"/>
      <c r="BQ55" s="77"/>
      <c r="BR55" s="77"/>
      <c r="BS55" s="77"/>
      <c r="BT55" s="215"/>
      <c r="BU55" s="74"/>
      <c r="BV55" s="19"/>
      <c r="BW55" s="0"/>
      <c r="BX55" s="0"/>
      <c r="BY55" s="0"/>
      <c r="BZ55" s="77"/>
      <c r="CA55" s="77"/>
      <c r="CB55" s="77"/>
      <c r="CC55" s="77"/>
      <c r="CD55" s="77"/>
    </row>
    <row r="56" customFormat="false" ht="12.75" hidden="false" customHeight="false" outlineLevel="0" collapsed="false">
      <c r="A56" s="85" t="s">
        <v>318</v>
      </c>
      <c r="B56" s="82"/>
      <c r="C56" s="82"/>
      <c r="D56" s="159"/>
      <c r="E56" s="77"/>
      <c r="F56" s="215"/>
      <c r="G56" s="242"/>
      <c r="H56" s="13"/>
      <c r="I56" s="88"/>
      <c r="J56" s="77"/>
      <c r="K56" s="215"/>
      <c r="L56" s="129"/>
      <c r="M56" s="88"/>
      <c r="N56" s="77"/>
      <c r="O56" s="215"/>
      <c r="P56" s="244"/>
      <c r="Q56" s="13"/>
      <c r="R56" s="215"/>
      <c r="T56" s="245"/>
      <c r="V56" s="88"/>
      <c r="W56" s="245"/>
      <c r="X56" s="212"/>
      <c r="Y56" s="88"/>
      <c r="Z56" s="88"/>
      <c r="AA56" s="129"/>
      <c r="AB56" s="217"/>
      <c r="AC56" s="74"/>
      <c r="AD56" s="19"/>
      <c r="AH56" s="77"/>
      <c r="AJ56" s="77"/>
      <c r="AK56" s="77"/>
      <c r="AL56" s="77"/>
      <c r="AM56" s="215"/>
      <c r="AN56" s="74"/>
      <c r="AO56" s="19"/>
      <c r="AP56" s="0"/>
      <c r="AQ56" s="0"/>
      <c r="AR56" s="0"/>
      <c r="AS56" s="77"/>
      <c r="AT56" s="77"/>
      <c r="AU56" s="77"/>
      <c r="AV56" s="77"/>
      <c r="AW56" s="77"/>
      <c r="AX56" s="215"/>
      <c r="AY56" s="74"/>
      <c r="AZ56" s="19"/>
      <c r="BA56" s="0"/>
      <c r="BB56" s="0"/>
      <c r="BC56" s="0"/>
      <c r="BD56" s="77"/>
      <c r="BE56" s="77"/>
      <c r="BF56" s="77"/>
      <c r="BG56" s="77"/>
      <c r="BH56" s="77"/>
      <c r="BI56" s="215"/>
      <c r="BJ56" s="74"/>
      <c r="BK56" s="19"/>
      <c r="BL56" s="0"/>
      <c r="BM56" s="0"/>
      <c r="BN56" s="0"/>
      <c r="BO56" s="77"/>
      <c r="BP56" s="77"/>
      <c r="BQ56" s="77"/>
      <c r="BR56" s="77"/>
      <c r="BS56" s="77"/>
      <c r="BT56" s="215"/>
      <c r="BU56" s="74"/>
      <c r="BV56" s="19"/>
      <c r="BW56" s="0"/>
      <c r="BX56" s="0"/>
      <c r="BY56" s="0"/>
      <c r="BZ56" s="77"/>
      <c r="CA56" s="77"/>
      <c r="CB56" s="77"/>
      <c r="CC56" s="77"/>
      <c r="CD56" s="77"/>
    </row>
    <row r="57" customFormat="false" ht="12.75" hidden="true" customHeight="true" outlineLevel="0" collapsed="false">
      <c r="A57" s="94"/>
      <c r="B57" s="82"/>
      <c r="C57" s="82"/>
      <c r="D57" s="170"/>
      <c r="E57" s="77"/>
      <c r="F57" s="215"/>
      <c r="G57" s="242"/>
      <c r="H57" s="13" t="n">
        <f aca="false">G57*D57</f>
        <v>0</v>
      </c>
      <c r="I57" s="88"/>
      <c r="J57" s="77"/>
      <c r="K57" s="215"/>
      <c r="L57" s="129"/>
      <c r="M57" s="88"/>
      <c r="N57" s="77"/>
      <c r="O57" s="215"/>
      <c r="P57" s="244"/>
      <c r="Q57" s="13" t="n">
        <f aca="false">P57*D57</f>
        <v>0</v>
      </c>
      <c r="R57" s="215"/>
      <c r="T57" s="245"/>
      <c r="V57" s="88"/>
      <c r="W57" s="245"/>
      <c r="X57" s="212"/>
      <c r="Y57" s="88"/>
      <c r="Z57" s="88"/>
      <c r="AA57" s="129" t="n">
        <f aca="false">S57*G57</f>
        <v>0</v>
      </c>
      <c r="AB57" s="217"/>
      <c r="AC57" s="74"/>
      <c r="AD57" s="19"/>
      <c r="AH57" s="77"/>
      <c r="AI57" s="77" t="n">
        <f aca="false">$D57*AC57</f>
        <v>0</v>
      </c>
      <c r="AJ57" s="77" t="n">
        <f aca="false">$D57*AD57</f>
        <v>0</v>
      </c>
      <c r="AK57" s="77"/>
      <c r="AL57" s="77"/>
      <c r="AM57" s="215"/>
      <c r="AN57" s="74"/>
      <c r="AO57" s="19"/>
      <c r="AP57" s="0"/>
      <c r="AQ57" s="0"/>
      <c r="AR57" s="0"/>
      <c r="AS57" s="77"/>
      <c r="AT57" s="77" t="n">
        <f aca="false">$D57*AN57</f>
        <v>0</v>
      </c>
      <c r="AU57" s="77" t="n">
        <f aca="false">$D57*AO57</f>
        <v>0</v>
      </c>
      <c r="AV57" s="77" t="n">
        <f aca="false">$D57*AP57</f>
        <v>0</v>
      </c>
      <c r="AW57" s="77"/>
      <c r="AX57" s="215"/>
      <c r="AY57" s="74"/>
      <c r="AZ57" s="19"/>
      <c r="BA57" s="0"/>
      <c r="BB57" s="0"/>
      <c r="BC57" s="0"/>
      <c r="BD57" s="77"/>
      <c r="BE57" s="77" t="n">
        <f aca="false">$D57*AY57</f>
        <v>0</v>
      </c>
      <c r="BF57" s="77" t="n">
        <f aca="false">$D57*AZ57</f>
        <v>0</v>
      </c>
      <c r="BG57" s="77" t="n">
        <f aca="false">$D57*BA57</f>
        <v>0</v>
      </c>
      <c r="BH57" s="77"/>
      <c r="BI57" s="215"/>
      <c r="BJ57" s="74"/>
      <c r="BK57" s="19"/>
      <c r="BL57" s="0"/>
      <c r="BM57" s="0"/>
      <c r="BN57" s="0"/>
      <c r="BO57" s="77"/>
      <c r="BP57" s="77" t="n">
        <f aca="false">$D57*BJ57</f>
        <v>0</v>
      </c>
      <c r="BQ57" s="77" t="n">
        <f aca="false">$D57*BK57</f>
        <v>0</v>
      </c>
      <c r="BR57" s="77" t="n">
        <f aca="false">$D57*BL57</f>
        <v>0</v>
      </c>
      <c r="BS57" s="77"/>
      <c r="BT57" s="215"/>
      <c r="BU57" s="74"/>
      <c r="BV57" s="19"/>
      <c r="BW57" s="0"/>
      <c r="BX57" s="0"/>
      <c r="BY57" s="0"/>
      <c r="BZ57" s="77"/>
      <c r="CA57" s="77" t="n">
        <f aca="false">$D57*BU57</f>
        <v>0</v>
      </c>
      <c r="CB57" s="77" t="n">
        <f aca="false">$D57*BV57</f>
        <v>0</v>
      </c>
      <c r="CC57" s="77" t="n">
        <f aca="false">$D57*BW57</f>
        <v>0</v>
      </c>
      <c r="CD57" s="77"/>
    </row>
    <row r="58" customFormat="false" ht="12.75" hidden="true" customHeight="true" outlineLevel="0" collapsed="false">
      <c r="A58" s="94"/>
      <c r="B58" s="82"/>
      <c r="C58" s="82"/>
      <c r="D58" s="170"/>
      <c r="E58" s="77"/>
      <c r="F58" s="215"/>
      <c r="G58" s="242"/>
      <c r="H58" s="13" t="n">
        <f aca="false">G58*D58</f>
        <v>0</v>
      </c>
      <c r="I58" s="88"/>
      <c r="J58" s="77"/>
      <c r="K58" s="215"/>
      <c r="L58" s="129"/>
      <c r="M58" s="88"/>
      <c r="N58" s="77"/>
      <c r="O58" s="215"/>
      <c r="P58" s="244"/>
      <c r="Q58" s="13" t="n">
        <f aca="false">P58*D58</f>
        <v>0</v>
      </c>
      <c r="R58" s="215"/>
      <c r="T58" s="245"/>
      <c r="V58" s="88"/>
      <c r="W58" s="245"/>
      <c r="X58" s="212"/>
      <c r="Y58" s="88"/>
      <c r="Z58" s="88"/>
      <c r="AA58" s="129" t="n">
        <f aca="false">S58*G58</f>
        <v>0</v>
      </c>
      <c r="AB58" s="217"/>
      <c r="AC58" s="74"/>
      <c r="AD58" s="19"/>
      <c r="AH58" s="77"/>
      <c r="AI58" s="77" t="n">
        <f aca="false">$D58*AC58</f>
        <v>0</v>
      </c>
      <c r="AJ58" s="77" t="n">
        <f aca="false">$D58*AD58</f>
        <v>0</v>
      </c>
      <c r="AK58" s="77"/>
      <c r="AL58" s="77"/>
      <c r="AM58" s="215"/>
      <c r="AN58" s="74"/>
      <c r="AO58" s="19"/>
      <c r="AP58" s="0"/>
      <c r="AQ58" s="0"/>
      <c r="AR58" s="0"/>
      <c r="AS58" s="77"/>
      <c r="AT58" s="77" t="n">
        <f aca="false">$D58*AN58</f>
        <v>0</v>
      </c>
      <c r="AU58" s="77" t="n">
        <f aca="false">$D58*AO58</f>
        <v>0</v>
      </c>
      <c r="AV58" s="77" t="n">
        <f aca="false">$D58*AP58</f>
        <v>0</v>
      </c>
      <c r="AW58" s="77"/>
      <c r="AX58" s="215"/>
      <c r="AY58" s="74"/>
      <c r="AZ58" s="19"/>
      <c r="BA58" s="0"/>
      <c r="BB58" s="0"/>
      <c r="BC58" s="0"/>
      <c r="BD58" s="77"/>
      <c r="BE58" s="77" t="n">
        <f aca="false">$D58*AY58</f>
        <v>0</v>
      </c>
      <c r="BF58" s="77" t="n">
        <f aca="false">$D58*AZ58</f>
        <v>0</v>
      </c>
      <c r="BG58" s="77" t="n">
        <f aca="false">$D58*BA58</f>
        <v>0</v>
      </c>
      <c r="BH58" s="77"/>
      <c r="BI58" s="215"/>
      <c r="BJ58" s="74"/>
      <c r="BK58" s="19"/>
      <c r="BL58" s="0"/>
      <c r="BM58" s="0"/>
      <c r="BN58" s="0"/>
      <c r="BO58" s="77"/>
      <c r="BP58" s="77" t="n">
        <f aca="false">$D58*BJ58</f>
        <v>0</v>
      </c>
      <c r="BQ58" s="77" t="n">
        <f aca="false">$D58*BK58</f>
        <v>0</v>
      </c>
      <c r="BR58" s="77" t="n">
        <f aca="false">$D58*BL58</f>
        <v>0</v>
      </c>
      <c r="BS58" s="77"/>
      <c r="BT58" s="215"/>
      <c r="BU58" s="74"/>
      <c r="BV58" s="19"/>
      <c r="BW58" s="0"/>
      <c r="BX58" s="0"/>
      <c r="BY58" s="0"/>
      <c r="BZ58" s="77"/>
      <c r="CA58" s="77" t="n">
        <f aca="false">$D58*BU58</f>
        <v>0</v>
      </c>
      <c r="CB58" s="77" t="n">
        <f aca="false">$D58*BV58</f>
        <v>0</v>
      </c>
      <c r="CC58" s="77" t="n">
        <f aca="false">$D58*BW58</f>
        <v>0</v>
      </c>
      <c r="CD58" s="77"/>
    </row>
    <row r="59" customFormat="false" ht="12.75" hidden="true" customHeight="true" outlineLevel="0" collapsed="false">
      <c r="A59" s="94"/>
      <c r="B59" s="82"/>
      <c r="C59" s="82"/>
      <c r="D59" s="177"/>
      <c r="E59" s="231"/>
      <c r="F59" s="228"/>
      <c r="G59" s="250"/>
      <c r="H59" s="13" t="n">
        <f aca="false">G59*D59</f>
        <v>0</v>
      </c>
      <c r="I59" s="91"/>
      <c r="J59" s="231"/>
      <c r="K59" s="228"/>
      <c r="L59" s="232"/>
      <c r="M59" s="91"/>
      <c r="N59" s="231"/>
      <c r="O59" s="228"/>
      <c r="P59" s="244"/>
      <c r="Q59" s="13" t="n">
        <f aca="false">P59*D59</f>
        <v>0</v>
      </c>
      <c r="R59" s="228"/>
      <c r="T59" s="245"/>
      <c r="V59" s="91"/>
      <c r="W59" s="245"/>
      <c r="X59" s="212"/>
      <c r="Y59" s="91"/>
      <c r="Z59" s="91"/>
      <c r="AA59" s="129" t="n">
        <f aca="false">S59*G59</f>
        <v>0</v>
      </c>
      <c r="AB59" s="237"/>
      <c r="AC59" s="74"/>
      <c r="AD59" s="19"/>
      <c r="AH59" s="231"/>
      <c r="AI59" s="77" t="n">
        <f aca="false">$D59*AC59</f>
        <v>0</v>
      </c>
      <c r="AJ59" s="231" t="n">
        <f aca="false">$D59*AD59</f>
        <v>0</v>
      </c>
      <c r="AK59" s="231"/>
      <c r="AL59" s="231"/>
      <c r="AM59" s="228"/>
      <c r="AN59" s="74"/>
      <c r="AO59" s="19"/>
      <c r="AP59" s="0"/>
      <c r="AQ59" s="0"/>
      <c r="AR59" s="0"/>
      <c r="AS59" s="231"/>
      <c r="AT59" s="77" t="n">
        <f aca="false">$D59*AN59</f>
        <v>0</v>
      </c>
      <c r="AU59" s="231" t="n">
        <f aca="false">$D59*AO59</f>
        <v>0</v>
      </c>
      <c r="AV59" s="77" t="n">
        <f aca="false">$D59*AP59</f>
        <v>0</v>
      </c>
      <c r="AW59" s="231"/>
      <c r="AX59" s="228"/>
      <c r="AY59" s="74"/>
      <c r="AZ59" s="19"/>
      <c r="BA59" s="0"/>
      <c r="BB59" s="0"/>
      <c r="BC59" s="0"/>
      <c r="BD59" s="231"/>
      <c r="BE59" s="77" t="n">
        <f aca="false">$D59*AY59</f>
        <v>0</v>
      </c>
      <c r="BF59" s="231" t="n">
        <f aca="false">$D59*AZ59</f>
        <v>0</v>
      </c>
      <c r="BG59" s="77" t="n">
        <f aca="false">$D59*BA59</f>
        <v>0</v>
      </c>
      <c r="BH59" s="231"/>
      <c r="BI59" s="228"/>
      <c r="BJ59" s="74"/>
      <c r="BK59" s="19"/>
      <c r="BL59" s="0"/>
      <c r="BM59" s="0"/>
      <c r="BN59" s="0"/>
      <c r="BO59" s="231"/>
      <c r="BP59" s="77" t="n">
        <f aca="false">$D59*BJ59</f>
        <v>0</v>
      </c>
      <c r="BQ59" s="231" t="n">
        <f aca="false">$D59*BK59</f>
        <v>0</v>
      </c>
      <c r="BR59" s="77" t="n">
        <f aca="false">$D59*BL59</f>
        <v>0</v>
      </c>
      <c r="BS59" s="231"/>
      <c r="BT59" s="228"/>
      <c r="BU59" s="74"/>
      <c r="BV59" s="19"/>
      <c r="BW59" s="0"/>
      <c r="BX59" s="0"/>
      <c r="BY59" s="0"/>
      <c r="BZ59" s="231"/>
      <c r="CA59" s="77" t="n">
        <f aca="false">$D59*BU59</f>
        <v>0</v>
      </c>
      <c r="CB59" s="231" t="n">
        <f aca="false">$D59*BV59</f>
        <v>0</v>
      </c>
      <c r="CC59" s="77" t="n">
        <f aca="false">$D59*BW59</f>
        <v>0</v>
      </c>
      <c r="CD59" s="231"/>
    </row>
    <row r="60" customFormat="false" ht="12.75" hidden="true" customHeight="true" outlineLevel="0" collapsed="false">
      <c r="A60" s="94"/>
      <c r="B60" s="82"/>
      <c r="C60" s="82"/>
      <c r="D60" s="159"/>
      <c r="E60" s="77"/>
      <c r="F60" s="215"/>
      <c r="G60" s="242"/>
      <c r="H60" s="13" t="n">
        <f aca="false">G60*D60</f>
        <v>0</v>
      </c>
      <c r="I60" s="88"/>
      <c r="J60" s="77"/>
      <c r="K60" s="215"/>
      <c r="L60" s="129"/>
      <c r="M60" s="88"/>
      <c r="N60" s="77"/>
      <c r="O60" s="215"/>
      <c r="P60" s="244"/>
      <c r="Q60" s="13" t="n">
        <f aca="false">P60*D60</f>
        <v>0</v>
      </c>
      <c r="R60" s="215"/>
      <c r="T60" s="245"/>
      <c r="V60" s="88"/>
      <c r="W60" s="245"/>
      <c r="X60" s="212"/>
      <c r="Y60" s="88"/>
      <c r="Z60" s="88"/>
      <c r="AA60" s="129" t="n">
        <f aca="false">S60*G60</f>
        <v>0</v>
      </c>
      <c r="AB60" s="217"/>
      <c r="AC60" s="74"/>
      <c r="AD60" s="19"/>
      <c r="AH60" s="77"/>
      <c r="AI60" s="77" t="n">
        <f aca="false">$D60*AC60</f>
        <v>0</v>
      </c>
      <c r="AJ60" s="77" t="n">
        <f aca="false">$D60*AD60</f>
        <v>0</v>
      </c>
      <c r="AK60" s="77"/>
      <c r="AL60" s="77"/>
      <c r="AM60" s="215"/>
      <c r="AN60" s="74"/>
      <c r="AO60" s="19"/>
      <c r="AP60" s="0"/>
      <c r="AQ60" s="0"/>
      <c r="AR60" s="0"/>
      <c r="AS60" s="77"/>
      <c r="AT60" s="77" t="n">
        <f aca="false">$D60*AN60</f>
        <v>0</v>
      </c>
      <c r="AU60" s="77" t="n">
        <f aca="false">$D60*AO60</f>
        <v>0</v>
      </c>
      <c r="AV60" s="77" t="n">
        <f aca="false">$D60*AP60</f>
        <v>0</v>
      </c>
      <c r="AW60" s="77"/>
      <c r="AX60" s="215"/>
      <c r="AY60" s="74"/>
      <c r="AZ60" s="19"/>
      <c r="BA60" s="0"/>
      <c r="BB60" s="0"/>
      <c r="BC60" s="0"/>
      <c r="BD60" s="77"/>
      <c r="BE60" s="77" t="n">
        <f aca="false">$D60*AY60</f>
        <v>0</v>
      </c>
      <c r="BF60" s="77" t="n">
        <f aca="false">$D60*AZ60</f>
        <v>0</v>
      </c>
      <c r="BG60" s="77" t="n">
        <f aca="false">$D60*BA60</f>
        <v>0</v>
      </c>
      <c r="BH60" s="77"/>
      <c r="BI60" s="215"/>
      <c r="BJ60" s="74"/>
      <c r="BK60" s="19"/>
      <c r="BL60" s="0"/>
      <c r="BM60" s="0"/>
      <c r="BN60" s="0"/>
      <c r="BO60" s="77"/>
      <c r="BP60" s="77" t="n">
        <f aca="false">$D60*BJ60</f>
        <v>0</v>
      </c>
      <c r="BQ60" s="77" t="n">
        <f aca="false">$D60*BK60</f>
        <v>0</v>
      </c>
      <c r="BR60" s="77" t="n">
        <f aca="false">$D60*BL60</f>
        <v>0</v>
      </c>
      <c r="BS60" s="77"/>
      <c r="BT60" s="215"/>
      <c r="BU60" s="74"/>
      <c r="BV60" s="19"/>
      <c r="BW60" s="0"/>
      <c r="BX60" s="0"/>
      <c r="BY60" s="0"/>
      <c r="BZ60" s="77"/>
      <c r="CA60" s="77" t="n">
        <f aca="false">$D60*BU60</f>
        <v>0</v>
      </c>
      <c r="CB60" s="77" t="n">
        <f aca="false">$D60*BV60</f>
        <v>0</v>
      </c>
      <c r="CC60" s="77" t="n">
        <f aca="false">$D60*BW60</f>
        <v>0</v>
      </c>
      <c r="CD60" s="77"/>
    </row>
    <row r="61" customFormat="false" ht="12.75" hidden="true" customHeight="true" outlineLevel="0" collapsed="false">
      <c r="A61" s="94"/>
      <c r="B61" s="82"/>
      <c r="C61" s="82"/>
      <c r="D61" s="159"/>
      <c r="E61" s="77"/>
      <c r="F61" s="215"/>
      <c r="G61" s="242"/>
      <c r="H61" s="13" t="n">
        <f aca="false">G61*D61</f>
        <v>0</v>
      </c>
      <c r="I61" s="88"/>
      <c r="J61" s="77"/>
      <c r="K61" s="215"/>
      <c r="L61" s="129"/>
      <c r="M61" s="88"/>
      <c r="N61" s="77"/>
      <c r="O61" s="215"/>
      <c r="P61" s="244"/>
      <c r="Q61" s="13" t="n">
        <f aca="false">P61*D61</f>
        <v>0</v>
      </c>
      <c r="R61" s="215"/>
      <c r="T61" s="245"/>
      <c r="V61" s="88"/>
      <c r="W61" s="245"/>
      <c r="X61" s="212"/>
      <c r="Y61" s="88"/>
      <c r="Z61" s="88"/>
      <c r="AA61" s="129" t="n">
        <f aca="false">S61*G61</f>
        <v>0</v>
      </c>
      <c r="AB61" s="217"/>
      <c r="AC61" s="74"/>
      <c r="AD61" s="19"/>
      <c r="AH61" s="77"/>
      <c r="AI61" s="77" t="n">
        <f aca="false">$D61*AC61</f>
        <v>0</v>
      </c>
      <c r="AJ61" s="77" t="n">
        <f aca="false">$D61*AD61</f>
        <v>0</v>
      </c>
      <c r="AK61" s="77"/>
      <c r="AL61" s="77"/>
      <c r="AM61" s="215"/>
      <c r="AN61" s="74"/>
      <c r="AO61" s="19"/>
      <c r="AP61" s="0"/>
      <c r="AQ61" s="0"/>
      <c r="AR61" s="0"/>
      <c r="AS61" s="77"/>
      <c r="AT61" s="77" t="n">
        <f aca="false">$D61*AN61</f>
        <v>0</v>
      </c>
      <c r="AU61" s="77" t="n">
        <f aca="false">$D61*AO61</f>
        <v>0</v>
      </c>
      <c r="AV61" s="77" t="n">
        <f aca="false">$D61*AP61</f>
        <v>0</v>
      </c>
      <c r="AW61" s="77"/>
      <c r="AX61" s="215"/>
      <c r="AY61" s="74"/>
      <c r="AZ61" s="19"/>
      <c r="BA61" s="0"/>
      <c r="BB61" s="0"/>
      <c r="BC61" s="0"/>
      <c r="BD61" s="77"/>
      <c r="BE61" s="77" t="n">
        <f aca="false">$D61*AY61</f>
        <v>0</v>
      </c>
      <c r="BF61" s="77" t="n">
        <f aca="false">$D61*AZ61</f>
        <v>0</v>
      </c>
      <c r="BG61" s="77" t="n">
        <f aca="false">$D61*BA61</f>
        <v>0</v>
      </c>
      <c r="BH61" s="77"/>
      <c r="BI61" s="215"/>
      <c r="BJ61" s="74"/>
      <c r="BK61" s="19"/>
      <c r="BL61" s="0"/>
      <c r="BM61" s="0"/>
      <c r="BN61" s="0"/>
      <c r="BO61" s="77"/>
      <c r="BP61" s="77" t="n">
        <f aca="false">$D61*BJ61</f>
        <v>0</v>
      </c>
      <c r="BQ61" s="77" t="n">
        <f aca="false">$D61*BK61</f>
        <v>0</v>
      </c>
      <c r="BR61" s="77" t="n">
        <f aca="false">$D61*BL61</f>
        <v>0</v>
      </c>
      <c r="BS61" s="77"/>
      <c r="BT61" s="215"/>
      <c r="BU61" s="74"/>
      <c r="BV61" s="19"/>
      <c r="BW61" s="0"/>
      <c r="BX61" s="0"/>
      <c r="BY61" s="0"/>
      <c r="BZ61" s="77"/>
      <c r="CA61" s="77" t="n">
        <f aca="false">$D61*BU61</f>
        <v>0</v>
      </c>
      <c r="CB61" s="77" t="n">
        <f aca="false">$D61*BV61</f>
        <v>0</v>
      </c>
      <c r="CC61" s="77" t="n">
        <f aca="false">$D61*BW61</f>
        <v>0</v>
      </c>
      <c r="CD61" s="77"/>
    </row>
    <row r="62" customFormat="false" ht="12.75" hidden="true" customHeight="true" outlineLevel="0" collapsed="false">
      <c r="A62" s="94"/>
      <c r="B62" s="82"/>
      <c r="C62" s="82"/>
      <c r="D62" s="170"/>
      <c r="E62" s="77"/>
      <c r="F62" s="215"/>
      <c r="G62" s="242"/>
      <c r="H62" s="13" t="n">
        <f aca="false">G62*D62</f>
        <v>0</v>
      </c>
      <c r="I62" s="88"/>
      <c r="J62" s="77"/>
      <c r="K62" s="215"/>
      <c r="L62" s="129"/>
      <c r="M62" s="88"/>
      <c r="N62" s="77"/>
      <c r="O62" s="215"/>
      <c r="P62" s="244"/>
      <c r="Q62" s="13" t="n">
        <f aca="false">P62*D62</f>
        <v>0</v>
      </c>
      <c r="R62" s="215"/>
      <c r="T62" s="245"/>
      <c r="V62" s="88"/>
      <c r="W62" s="245"/>
      <c r="X62" s="212"/>
      <c r="Y62" s="88"/>
      <c r="Z62" s="88"/>
      <c r="AA62" s="129" t="n">
        <f aca="false">S62*G62</f>
        <v>0</v>
      </c>
      <c r="AB62" s="217"/>
      <c r="AC62" s="74"/>
      <c r="AD62" s="19"/>
      <c r="AH62" s="77"/>
      <c r="AI62" s="77" t="n">
        <f aca="false">$D62*AC62</f>
        <v>0</v>
      </c>
      <c r="AJ62" s="77" t="n">
        <f aca="false">$D62*AD62</f>
        <v>0</v>
      </c>
      <c r="AK62" s="77"/>
      <c r="AL62" s="77"/>
      <c r="AM62" s="215"/>
      <c r="AN62" s="74"/>
      <c r="AO62" s="19"/>
      <c r="AP62" s="0"/>
      <c r="AQ62" s="0"/>
      <c r="AR62" s="0"/>
      <c r="AS62" s="77"/>
      <c r="AT62" s="77" t="n">
        <f aca="false">$D62*AN62</f>
        <v>0</v>
      </c>
      <c r="AU62" s="77" t="n">
        <f aca="false">$D62*AO62</f>
        <v>0</v>
      </c>
      <c r="AV62" s="77" t="n">
        <f aca="false">$D62*AP62</f>
        <v>0</v>
      </c>
      <c r="AW62" s="77"/>
      <c r="AX62" s="215"/>
      <c r="AY62" s="74"/>
      <c r="AZ62" s="19"/>
      <c r="BA62" s="0"/>
      <c r="BB62" s="0"/>
      <c r="BC62" s="0"/>
      <c r="BD62" s="77"/>
      <c r="BE62" s="77" t="n">
        <f aca="false">$D62*AY62</f>
        <v>0</v>
      </c>
      <c r="BF62" s="77" t="n">
        <f aca="false">$D62*AZ62</f>
        <v>0</v>
      </c>
      <c r="BG62" s="77" t="n">
        <f aca="false">$D62*BA62</f>
        <v>0</v>
      </c>
      <c r="BH62" s="77"/>
      <c r="BI62" s="215"/>
      <c r="BJ62" s="74"/>
      <c r="BK62" s="19"/>
      <c r="BL62" s="0"/>
      <c r="BM62" s="0"/>
      <c r="BN62" s="0"/>
      <c r="BO62" s="77"/>
      <c r="BP62" s="77" t="n">
        <f aca="false">$D62*BJ62</f>
        <v>0</v>
      </c>
      <c r="BQ62" s="77" t="n">
        <f aca="false">$D62*BK62</f>
        <v>0</v>
      </c>
      <c r="BR62" s="77" t="n">
        <f aca="false">$D62*BL62</f>
        <v>0</v>
      </c>
      <c r="BS62" s="77"/>
      <c r="BT62" s="215"/>
      <c r="BU62" s="74"/>
      <c r="BV62" s="19"/>
      <c r="BW62" s="0"/>
      <c r="BX62" s="0"/>
      <c r="BY62" s="0"/>
      <c r="BZ62" s="77"/>
      <c r="CA62" s="77" t="n">
        <f aca="false">$D62*BU62</f>
        <v>0</v>
      </c>
      <c r="CB62" s="77" t="n">
        <f aca="false">$D62*BV62</f>
        <v>0</v>
      </c>
      <c r="CC62" s="77" t="n">
        <f aca="false">$D62*BW62</f>
        <v>0</v>
      </c>
      <c r="CD62" s="77"/>
    </row>
    <row r="63" customFormat="false" ht="12.75" hidden="true" customHeight="true" outlineLevel="0" collapsed="false">
      <c r="A63" s="94"/>
      <c r="B63" s="82"/>
      <c r="C63" s="82"/>
      <c r="D63" s="170"/>
      <c r="E63" s="77"/>
      <c r="F63" s="215"/>
      <c r="G63" s="242"/>
      <c r="H63" s="13" t="n">
        <f aca="false">G63*D63</f>
        <v>0</v>
      </c>
      <c r="I63" s="88"/>
      <c r="J63" s="77"/>
      <c r="K63" s="215"/>
      <c r="L63" s="129"/>
      <c r="M63" s="88"/>
      <c r="N63" s="77"/>
      <c r="O63" s="215"/>
      <c r="P63" s="244"/>
      <c r="Q63" s="13" t="n">
        <f aca="false">P63*D63</f>
        <v>0</v>
      </c>
      <c r="R63" s="215"/>
      <c r="T63" s="245"/>
      <c r="V63" s="88"/>
      <c r="W63" s="245"/>
      <c r="X63" s="212"/>
      <c r="Y63" s="88"/>
      <c r="Z63" s="88"/>
      <c r="AA63" s="129" t="n">
        <f aca="false">S63*G63</f>
        <v>0</v>
      </c>
      <c r="AB63" s="217"/>
      <c r="AC63" s="74"/>
      <c r="AD63" s="19"/>
      <c r="AH63" s="77"/>
      <c r="AI63" s="77" t="n">
        <f aca="false">$D63*AC63</f>
        <v>0</v>
      </c>
      <c r="AJ63" s="77" t="n">
        <f aca="false">$D63*AD63</f>
        <v>0</v>
      </c>
      <c r="AK63" s="77"/>
      <c r="AL63" s="77"/>
      <c r="AM63" s="215"/>
      <c r="AN63" s="74"/>
      <c r="AO63" s="19"/>
      <c r="AP63" s="0"/>
      <c r="AQ63" s="0"/>
      <c r="AR63" s="0"/>
      <c r="AS63" s="77"/>
      <c r="AT63" s="77" t="n">
        <f aca="false">$D63*AN63</f>
        <v>0</v>
      </c>
      <c r="AU63" s="77" t="n">
        <f aca="false">$D63*AO63</f>
        <v>0</v>
      </c>
      <c r="AV63" s="77" t="n">
        <f aca="false">$D63*AP63</f>
        <v>0</v>
      </c>
      <c r="AW63" s="77"/>
      <c r="AX63" s="215"/>
      <c r="AY63" s="74"/>
      <c r="AZ63" s="19"/>
      <c r="BA63" s="0"/>
      <c r="BB63" s="0"/>
      <c r="BC63" s="0"/>
      <c r="BD63" s="77"/>
      <c r="BE63" s="77" t="n">
        <f aca="false">$D63*AY63</f>
        <v>0</v>
      </c>
      <c r="BF63" s="77" t="n">
        <f aca="false">$D63*AZ63</f>
        <v>0</v>
      </c>
      <c r="BG63" s="77" t="n">
        <f aca="false">$D63*BA63</f>
        <v>0</v>
      </c>
      <c r="BH63" s="77"/>
      <c r="BI63" s="215"/>
      <c r="BJ63" s="74"/>
      <c r="BK63" s="19"/>
      <c r="BL63" s="0"/>
      <c r="BM63" s="0"/>
      <c r="BN63" s="0"/>
      <c r="BO63" s="77"/>
      <c r="BP63" s="77" t="n">
        <f aca="false">$D63*BJ63</f>
        <v>0</v>
      </c>
      <c r="BQ63" s="77" t="n">
        <f aca="false">$D63*BK63</f>
        <v>0</v>
      </c>
      <c r="BR63" s="77" t="n">
        <f aca="false">$D63*BL63</f>
        <v>0</v>
      </c>
      <c r="BS63" s="77"/>
      <c r="BT63" s="215"/>
      <c r="BU63" s="74"/>
      <c r="BV63" s="19"/>
      <c r="BW63" s="0"/>
      <c r="BX63" s="0"/>
      <c r="BY63" s="0"/>
      <c r="BZ63" s="77"/>
      <c r="CA63" s="77" t="n">
        <f aca="false">$D63*BU63</f>
        <v>0</v>
      </c>
      <c r="CB63" s="77" t="n">
        <f aca="false">$D63*BV63</f>
        <v>0</v>
      </c>
      <c r="CC63" s="77" t="n">
        <f aca="false">$D63*BW63</f>
        <v>0</v>
      </c>
      <c r="CD63" s="77"/>
    </row>
    <row r="64" customFormat="false" ht="12.75" hidden="true" customHeight="true" outlineLevel="0" collapsed="false">
      <c r="A64" s="94"/>
      <c r="B64" s="82"/>
      <c r="C64" s="82"/>
      <c r="D64" s="177"/>
      <c r="E64" s="231"/>
      <c r="F64" s="228"/>
      <c r="G64" s="250"/>
      <c r="H64" s="13" t="n">
        <f aca="false">G64*D64</f>
        <v>0</v>
      </c>
      <c r="I64" s="91"/>
      <c r="J64" s="231"/>
      <c r="K64" s="228"/>
      <c r="L64" s="232"/>
      <c r="M64" s="91"/>
      <c r="N64" s="231"/>
      <c r="O64" s="228"/>
      <c r="P64" s="244"/>
      <c r="Q64" s="13" t="n">
        <f aca="false">P64*D64</f>
        <v>0</v>
      </c>
      <c r="R64" s="228"/>
      <c r="T64" s="245"/>
      <c r="V64" s="91"/>
      <c r="W64" s="245"/>
      <c r="X64" s="212"/>
      <c r="Y64" s="91"/>
      <c r="Z64" s="91"/>
      <c r="AA64" s="129" t="n">
        <f aca="false">S64*G64</f>
        <v>0</v>
      </c>
      <c r="AB64" s="237"/>
      <c r="AC64" s="74"/>
      <c r="AD64" s="19"/>
      <c r="AH64" s="231"/>
      <c r="AI64" s="77" t="n">
        <f aca="false">$D64*AC64</f>
        <v>0</v>
      </c>
      <c r="AJ64" s="231" t="n">
        <f aca="false">$D64*AD64</f>
        <v>0</v>
      </c>
      <c r="AK64" s="231"/>
      <c r="AL64" s="231"/>
      <c r="AM64" s="228"/>
      <c r="AN64" s="74"/>
      <c r="AO64" s="19"/>
      <c r="AP64" s="0"/>
      <c r="AQ64" s="0"/>
      <c r="AR64" s="0"/>
      <c r="AS64" s="231"/>
      <c r="AT64" s="77" t="n">
        <f aca="false">$D64*AN64</f>
        <v>0</v>
      </c>
      <c r="AU64" s="231" t="n">
        <f aca="false">$D64*AO64</f>
        <v>0</v>
      </c>
      <c r="AV64" s="77" t="n">
        <f aca="false">$D64*AP64</f>
        <v>0</v>
      </c>
      <c r="AW64" s="231"/>
      <c r="AX64" s="228"/>
      <c r="AY64" s="74"/>
      <c r="AZ64" s="19"/>
      <c r="BA64" s="0"/>
      <c r="BB64" s="0"/>
      <c r="BC64" s="0"/>
      <c r="BD64" s="231"/>
      <c r="BE64" s="77" t="n">
        <f aca="false">$D64*AY64</f>
        <v>0</v>
      </c>
      <c r="BF64" s="231" t="n">
        <f aca="false">$D64*AZ64</f>
        <v>0</v>
      </c>
      <c r="BG64" s="77" t="n">
        <f aca="false">$D64*BA64</f>
        <v>0</v>
      </c>
      <c r="BH64" s="231"/>
      <c r="BI64" s="228"/>
      <c r="BJ64" s="74"/>
      <c r="BK64" s="19"/>
      <c r="BL64" s="0"/>
      <c r="BM64" s="0"/>
      <c r="BN64" s="0"/>
      <c r="BO64" s="231"/>
      <c r="BP64" s="77" t="n">
        <f aca="false">$D64*BJ64</f>
        <v>0</v>
      </c>
      <c r="BQ64" s="231" t="n">
        <f aca="false">$D64*BK64</f>
        <v>0</v>
      </c>
      <c r="BR64" s="77" t="n">
        <f aca="false">$D64*BL64</f>
        <v>0</v>
      </c>
      <c r="BS64" s="231"/>
      <c r="BT64" s="228"/>
      <c r="BU64" s="74"/>
      <c r="BV64" s="19"/>
      <c r="BW64" s="0"/>
      <c r="BX64" s="0"/>
      <c r="BY64" s="0"/>
      <c r="BZ64" s="231"/>
      <c r="CA64" s="77" t="n">
        <f aca="false">$D64*BU64</f>
        <v>0</v>
      </c>
      <c r="CB64" s="231" t="n">
        <f aca="false">$D64*BV64</f>
        <v>0</v>
      </c>
      <c r="CC64" s="77" t="n">
        <f aca="false">$D64*BW64</f>
        <v>0</v>
      </c>
      <c r="CD64" s="231"/>
    </row>
    <row r="65" customFormat="false" ht="12.75" hidden="true" customHeight="true" outlineLevel="0" collapsed="false">
      <c r="A65" s="94"/>
      <c r="B65" s="82"/>
      <c r="C65" s="82"/>
      <c r="D65" s="159"/>
      <c r="E65" s="77"/>
      <c r="F65" s="215"/>
      <c r="G65" s="242"/>
      <c r="H65" s="13" t="n">
        <f aca="false">G65*D65</f>
        <v>0</v>
      </c>
      <c r="I65" s="88"/>
      <c r="J65" s="77"/>
      <c r="K65" s="215"/>
      <c r="L65" s="129"/>
      <c r="M65" s="88"/>
      <c r="N65" s="77"/>
      <c r="O65" s="215"/>
      <c r="P65" s="244"/>
      <c r="Q65" s="13" t="n">
        <f aca="false">P65*D65</f>
        <v>0</v>
      </c>
      <c r="R65" s="215"/>
      <c r="T65" s="245"/>
      <c r="V65" s="88"/>
      <c r="W65" s="245"/>
      <c r="X65" s="212"/>
      <c r="Y65" s="88"/>
      <c r="Z65" s="88"/>
      <c r="AA65" s="129" t="n">
        <f aca="false">S65*G65</f>
        <v>0</v>
      </c>
      <c r="AB65" s="217"/>
      <c r="AC65" s="74"/>
      <c r="AD65" s="19"/>
      <c r="AH65" s="77"/>
      <c r="AI65" s="77" t="n">
        <f aca="false">$D65*AC65</f>
        <v>0</v>
      </c>
      <c r="AJ65" s="77" t="n">
        <f aca="false">$D65*AD65</f>
        <v>0</v>
      </c>
      <c r="AK65" s="77"/>
      <c r="AL65" s="77"/>
      <c r="AM65" s="215"/>
      <c r="AN65" s="74"/>
      <c r="AO65" s="19"/>
      <c r="AP65" s="0"/>
      <c r="AQ65" s="0"/>
      <c r="AR65" s="0"/>
      <c r="AS65" s="77"/>
      <c r="AT65" s="77" t="n">
        <f aca="false">$D65*AN65</f>
        <v>0</v>
      </c>
      <c r="AU65" s="77" t="n">
        <f aca="false">$D65*AO65</f>
        <v>0</v>
      </c>
      <c r="AV65" s="77" t="n">
        <f aca="false">$D65*AP65</f>
        <v>0</v>
      </c>
      <c r="AW65" s="77"/>
      <c r="AX65" s="215"/>
      <c r="AY65" s="74"/>
      <c r="AZ65" s="19"/>
      <c r="BA65" s="0"/>
      <c r="BB65" s="0"/>
      <c r="BC65" s="0"/>
      <c r="BD65" s="77"/>
      <c r="BE65" s="77" t="n">
        <f aca="false">$D65*AY65</f>
        <v>0</v>
      </c>
      <c r="BF65" s="77" t="n">
        <f aca="false">$D65*AZ65</f>
        <v>0</v>
      </c>
      <c r="BG65" s="77" t="n">
        <f aca="false">$D65*BA65</f>
        <v>0</v>
      </c>
      <c r="BH65" s="77"/>
      <c r="BI65" s="215"/>
      <c r="BJ65" s="74"/>
      <c r="BK65" s="19"/>
      <c r="BL65" s="0"/>
      <c r="BM65" s="0"/>
      <c r="BN65" s="0"/>
      <c r="BO65" s="77"/>
      <c r="BP65" s="77" t="n">
        <f aca="false">$D65*BJ65</f>
        <v>0</v>
      </c>
      <c r="BQ65" s="77" t="n">
        <f aca="false">$D65*BK65</f>
        <v>0</v>
      </c>
      <c r="BR65" s="77" t="n">
        <f aca="false">$D65*BL65</f>
        <v>0</v>
      </c>
      <c r="BS65" s="77"/>
      <c r="BT65" s="215"/>
      <c r="BU65" s="74"/>
      <c r="BV65" s="19"/>
      <c r="BW65" s="0"/>
      <c r="BX65" s="0"/>
      <c r="BY65" s="0"/>
      <c r="BZ65" s="77"/>
      <c r="CA65" s="77" t="n">
        <f aca="false">$D65*BU65</f>
        <v>0</v>
      </c>
      <c r="CB65" s="77" t="n">
        <f aca="false">$D65*BV65</f>
        <v>0</v>
      </c>
      <c r="CC65" s="77" t="n">
        <f aca="false">$D65*BW65</f>
        <v>0</v>
      </c>
      <c r="CD65" s="77"/>
    </row>
    <row r="66" customFormat="false" ht="12.75" hidden="true" customHeight="true" outlineLevel="0" collapsed="false">
      <c r="A66" s="94"/>
      <c r="B66" s="82"/>
      <c r="C66" s="82"/>
      <c r="D66" s="159"/>
      <c r="E66" s="77"/>
      <c r="F66" s="215"/>
      <c r="G66" s="242"/>
      <c r="H66" s="13" t="n">
        <f aca="false">G66*D66</f>
        <v>0</v>
      </c>
      <c r="I66" s="88"/>
      <c r="J66" s="77"/>
      <c r="K66" s="215"/>
      <c r="L66" s="129"/>
      <c r="M66" s="88"/>
      <c r="N66" s="77"/>
      <c r="O66" s="215"/>
      <c r="P66" s="244"/>
      <c r="Q66" s="13" t="n">
        <f aca="false">P66*D66</f>
        <v>0</v>
      </c>
      <c r="R66" s="215"/>
      <c r="T66" s="245"/>
      <c r="V66" s="88"/>
      <c r="W66" s="245"/>
      <c r="X66" s="212"/>
      <c r="Y66" s="88"/>
      <c r="Z66" s="88"/>
      <c r="AA66" s="129" t="n">
        <f aca="false">S66*G66</f>
        <v>0</v>
      </c>
      <c r="AB66" s="217"/>
      <c r="AC66" s="74"/>
      <c r="AD66" s="19"/>
      <c r="AH66" s="77"/>
      <c r="AI66" s="77" t="n">
        <f aca="false">$D66*AC66</f>
        <v>0</v>
      </c>
      <c r="AJ66" s="77" t="n">
        <f aca="false">$D66*AD66</f>
        <v>0</v>
      </c>
      <c r="AK66" s="77"/>
      <c r="AL66" s="77"/>
      <c r="AM66" s="215"/>
      <c r="AN66" s="74"/>
      <c r="AO66" s="19"/>
      <c r="AP66" s="0"/>
      <c r="AQ66" s="0"/>
      <c r="AR66" s="0"/>
      <c r="AS66" s="77"/>
      <c r="AT66" s="77" t="n">
        <f aca="false">$D66*AN66</f>
        <v>0</v>
      </c>
      <c r="AU66" s="77" t="n">
        <f aca="false">$D66*AO66</f>
        <v>0</v>
      </c>
      <c r="AV66" s="77" t="n">
        <f aca="false">$D66*AP66</f>
        <v>0</v>
      </c>
      <c r="AW66" s="77"/>
      <c r="AX66" s="215"/>
      <c r="AY66" s="74"/>
      <c r="AZ66" s="19"/>
      <c r="BA66" s="0"/>
      <c r="BB66" s="0"/>
      <c r="BC66" s="0"/>
      <c r="BD66" s="77"/>
      <c r="BE66" s="77" t="n">
        <f aca="false">$D66*AY66</f>
        <v>0</v>
      </c>
      <c r="BF66" s="77" t="n">
        <f aca="false">$D66*AZ66</f>
        <v>0</v>
      </c>
      <c r="BG66" s="77" t="n">
        <f aca="false">$D66*BA66</f>
        <v>0</v>
      </c>
      <c r="BH66" s="77"/>
      <c r="BI66" s="215"/>
      <c r="BJ66" s="74"/>
      <c r="BK66" s="19"/>
      <c r="BL66" s="0"/>
      <c r="BM66" s="0"/>
      <c r="BN66" s="0"/>
      <c r="BO66" s="77"/>
      <c r="BP66" s="77" t="n">
        <f aca="false">$D66*BJ66</f>
        <v>0</v>
      </c>
      <c r="BQ66" s="77" t="n">
        <f aca="false">$D66*BK66</f>
        <v>0</v>
      </c>
      <c r="BR66" s="77" t="n">
        <f aca="false">$D66*BL66</f>
        <v>0</v>
      </c>
      <c r="BS66" s="77"/>
      <c r="BT66" s="215"/>
      <c r="BU66" s="74"/>
      <c r="BV66" s="19"/>
      <c r="BW66" s="0"/>
      <c r="BX66" s="0"/>
      <c r="BY66" s="0"/>
      <c r="BZ66" s="77"/>
      <c r="CA66" s="77" t="n">
        <f aca="false">$D66*BU66</f>
        <v>0</v>
      </c>
      <c r="CB66" s="77" t="n">
        <f aca="false">$D66*BV66</f>
        <v>0</v>
      </c>
      <c r="CC66" s="77" t="n">
        <f aca="false">$D66*BW66</f>
        <v>0</v>
      </c>
      <c r="CD66" s="77"/>
    </row>
    <row r="67" customFormat="false" ht="12.75" hidden="false" customHeight="false" outlineLevel="0" collapsed="false">
      <c r="A67" s="94"/>
      <c r="B67" s="82" t="s">
        <v>236</v>
      </c>
      <c r="C67" s="82" t="n">
        <v>3</v>
      </c>
      <c r="D67" s="159" t="n">
        <f aca="false">'Test Year 2001 Sales and Revs.'!J69</f>
        <v>129286012</v>
      </c>
      <c r="E67" s="77" t="n">
        <f aca="false">surcharge_1*D67</f>
        <v>4947623.63441901</v>
      </c>
      <c r="F67" s="215"/>
      <c r="G67" s="242" t="n">
        <v>0.03714</v>
      </c>
      <c r="H67" s="13" t="n">
        <f aca="false">G67*D67</f>
        <v>4801682.48568</v>
      </c>
      <c r="I67" s="88" t="n">
        <f aca="false">H67/$H$127</f>
        <v>0.00152751032668333</v>
      </c>
      <c r="J67" s="77" t="n">
        <f aca="false">I67*$E$129</f>
        <v>3757261.64357356</v>
      </c>
      <c r="K67" s="215"/>
      <c r="L67" s="243" t="n">
        <v>8063568.56844</v>
      </c>
      <c r="M67" s="88" t="n">
        <f aca="false">L67/$L$127</f>
        <v>0.00115493323451519</v>
      </c>
      <c r="N67" s="77" t="n">
        <f aca="false">M67*$E$129</f>
        <v>2840822.91761282</v>
      </c>
      <c r="O67" s="215"/>
      <c r="P67" s="244" t="n">
        <f aca="false">T_Equal</f>
        <v>0.0362588233906064</v>
      </c>
      <c r="Q67" s="13" t="n">
        <f aca="false">P67*D67</f>
        <v>4687758.67598382</v>
      </c>
      <c r="R67" s="215"/>
      <c r="S67" s="265"/>
      <c r="T67" s="245"/>
      <c r="U67" s="245" t="n">
        <v>1167664.8519711</v>
      </c>
      <c r="V67" s="88" t="n">
        <f aca="false">U67/$U$127</f>
        <v>0.000723051547146609</v>
      </c>
      <c r="W67" s="245"/>
      <c r="X67" s="245" t="n">
        <v>525484.225391879</v>
      </c>
      <c r="Y67" s="88" t="n">
        <f aca="false">X67/$X$127</f>
        <v>0.000346661879091026</v>
      </c>
      <c r="Z67" s="88" t="n">
        <f aca="false">AVERAGE(V67,Y67)</f>
        <v>0.000534856713118818</v>
      </c>
      <c r="AA67" s="129" t="n">
        <f aca="false">$Z67*'Inputs and Assumptions'!$C$6</f>
        <v>1315602.63646307</v>
      </c>
      <c r="AB67" s="217"/>
      <c r="AC67" s="255" t="n">
        <f aca="false">CHOOSE(gen_choice,'Generation Calculations'!$O69,'Generation Calculations'!$P69)</f>
        <v>0.0249368928284267</v>
      </c>
      <c r="AD67" s="256" t="n">
        <f aca="false">EPS</f>
        <v>0.01</v>
      </c>
      <c r="AE67" s="247" t="n">
        <f aca="false">AG67-SUM(AC67:AD67,AF67)</f>
        <v>0.0647434533754951</v>
      </c>
      <c r="AF67" s="247" t="n">
        <f aca="false">AK67/$D67*-1</f>
        <v>0.00670293827796835</v>
      </c>
      <c r="AG67" s="226" t="n">
        <f aca="false">AL67/$D67</f>
        <v>0.10638328448189</v>
      </c>
      <c r="AH67" s="77" t="n">
        <f aca="false">$D67*AE67</f>
        <v>8370422.8900257</v>
      </c>
      <c r="AI67" s="258" t="n">
        <f aca="false">CHOOSE(gen_choice,'Generation Calculations'!$M69,'Generation Calculations'!$N69)</f>
        <v>3223991.42545869</v>
      </c>
      <c r="AJ67" s="77" t="n">
        <f aca="false">$D67*AD67</f>
        <v>1292860.12</v>
      </c>
      <c r="AK67" s="248" t="n">
        <f aca="false">CHOOSE(gen_choice,'Generation Calculations'!K69,'Generation Calculations'!L69)</f>
        <v>-866596.158640675</v>
      </c>
      <c r="AL67" s="77" t="n">
        <f aca="false">$D67*gen_equal</f>
        <v>13753870.5941251</v>
      </c>
      <c r="AM67" s="215"/>
      <c r="AN67" s="255" t="n">
        <f aca="false">CHOOSE(gen_choice,'Generation Calculations'!$O69,'Generation Calculations'!$P69)</f>
        <v>0.0249368928284267</v>
      </c>
      <c r="AO67" s="256" t="n">
        <f aca="false">EPS</f>
        <v>0.01</v>
      </c>
      <c r="AP67" s="247" t="n">
        <f aca="false">AR67-SUM(AN67:AO67,AQ67)</f>
        <v>0.0517653998484361</v>
      </c>
      <c r="AQ67" s="247" t="n">
        <f aca="false">AV67/$D67*-1</f>
        <v>0.00670293827796835</v>
      </c>
      <c r="AR67" s="226" t="n">
        <f aca="false">AW67/$D67</f>
        <v>0.0934052309548311</v>
      </c>
      <c r="AS67" s="77" t="n">
        <f aca="false">$D67*AP67</f>
        <v>6692542.10598971</v>
      </c>
      <c r="AT67" s="77" t="n">
        <f aca="false">$AI67</f>
        <v>3223991.42545869</v>
      </c>
      <c r="AU67" s="77" t="n">
        <f aca="false">$D67*AO67</f>
        <v>1292860.12</v>
      </c>
      <c r="AV67" s="77" t="n">
        <f aca="false">$AK67</f>
        <v>-866596.158640675</v>
      </c>
      <c r="AW67" s="77" t="n">
        <f aca="false">$I67*'Inputs and Assumptions'!$C$15</f>
        <v>12075989.8100891</v>
      </c>
      <c r="AX67" s="215"/>
      <c r="AY67" s="255" t="n">
        <f aca="false">CHOOSE(gen_choice,'Generation Calculations'!$O69,'Generation Calculations'!$P69)</f>
        <v>0.0249368928284267</v>
      </c>
      <c r="AZ67" s="256" t="n">
        <f aca="false">EPS</f>
        <v>0.01</v>
      </c>
      <c r="BA67" s="247" t="n">
        <f aca="false">BC67-SUM(AY67:AZ67,BB67)</f>
        <v>0.0289828047101057</v>
      </c>
      <c r="BB67" s="247" t="n">
        <f aca="false">BG67/$D67*-1</f>
        <v>0.00670293827796835</v>
      </c>
      <c r="BC67" s="226" t="n">
        <f aca="false">BH67/$D67</f>
        <v>0.0706226358165008</v>
      </c>
      <c r="BD67" s="77" t="n">
        <f aca="false">$D67*BA67</f>
        <v>3747071.23754439</v>
      </c>
      <c r="BE67" s="77" t="n">
        <f aca="false">$AI67</f>
        <v>3223991.42545869</v>
      </c>
      <c r="BF67" s="77" t="n">
        <f aca="false">$D67*AZ67</f>
        <v>1292860.12</v>
      </c>
      <c r="BG67" s="77" t="n">
        <f aca="false">$AK67</f>
        <v>-866596.158640675</v>
      </c>
      <c r="BH67" s="77" t="n">
        <f aca="false">$M67*'Inputs and Assumptions'!$C$15</f>
        <v>9130518.94164375</v>
      </c>
      <c r="BI67" s="215"/>
      <c r="BJ67" s="255" t="n">
        <f aca="false">CHOOSE(gen_choice,'Generation Calculations'!$O69,'Generation Calculations'!$P69)</f>
        <v>0.0249368928284267</v>
      </c>
      <c r="BK67" s="256" t="n">
        <f aca="false">EPS</f>
        <v>0.01</v>
      </c>
      <c r="BL67" s="247" t="n">
        <f aca="false">BN67-SUM(BJ67:BK67,BM67)</f>
        <v>0.0520459575337083</v>
      </c>
      <c r="BM67" s="247" t="n">
        <f aca="false">BR67/$D67*-1</f>
        <v>0.00670293827796835</v>
      </c>
      <c r="BN67" s="226" t="n">
        <f aca="false">BS67/$D67</f>
        <v>0.0936857886401033</v>
      </c>
      <c r="BO67" s="77" t="n">
        <f aca="false">$D67*BL67</f>
        <v>6728814.2902545</v>
      </c>
      <c r="BP67" s="77" t="n">
        <f aca="false">$AI67</f>
        <v>3223991.42545869</v>
      </c>
      <c r="BQ67" s="77" t="n">
        <f aca="false">$D67*BK67</f>
        <v>1292860.12</v>
      </c>
      <c r="BR67" s="77" t="n">
        <f aca="false">$AK67</f>
        <v>-866596.158640675</v>
      </c>
      <c r="BS67" s="77" t="n">
        <f aca="false">D67*T_equal_gen</f>
        <v>12112261.9943539</v>
      </c>
      <c r="BT67" s="215"/>
      <c r="BU67" s="255" t="n">
        <f aca="false">CHOOSE(gen_choice,'Generation Calculations'!$O69,'Generation Calculations'!$P69)</f>
        <v>0.0249368928284267</v>
      </c>
      <c r="BV67" s="256" t="n">
        <f aca="false">EPS</f>
        <v>0.01</v>
      </c>
      <c r="BW67" s="247" t="n">
        <f aca="false">BY67-SUM(BU67:BV67,BX67)</f>
        <v>-0.00893405233429389</v>
      </c>
      <c r="BX67" s="247" t="n">
        <f aca="false">CC67/$D67*-1</f>
        <v>0.00670293827796835</v>
      </c>
      <c r="BY67" s="226" t="n">
        <f aca="false">CD67/$D67</f>
        <v>0.0327057787721011</v>
      </c>
      <c r="BZ67" s="77" t="n">
        <f aca="false">$D67*BW67</f>
        <v>-1155047.99730015</v>
      </c>
      <c r="CA67" s="77" t="n">
        <f aca="false">$AI67</f>
        <v>3223991.42545869</v>
      </c>
      <c r="CB67" s="77" t="n">
        <f aca="false">$D67*BV67</f>
        <v>1292860.12</v>
      </c>
      <c r="CC67" s="77" t="n">
        <f aca="false">$AK67</f>
        <v>-866596.158640675</v>
      </c>
      <c r="CD67" s="77" t="n">
        <f aca="false">$Z67*'Inputs and Assumptions'!$C$15</f>
        <v>4228399.70679921</v>
      </c>
    </row>
    <row r="68" customFormat="false" ht="12.75" hidden="false" customHeight="false" outlineLevel="0" collapsed="false">
      <c r="A68" s="94"/>
      <c r="B68" s="82" t="s">
        <v>234</v>
      </c>
      <c r="C68" s="82" t="n">
        <v>2</v>
      </c>
      <c r="D68" s="159" t="n">
        <f aca="false">'Test Year 2001 Sales and Revs.'!J70</f>
        <v>29728443</v>
      </c>
      <c r="E68" s="77" t="n">
        <f aca="false">surcharge_1*D68</f>
        <v>1137672.55193298</v>
      </c>
      <c r="F68" s="215"/>
      <c r="G68" s="242" t="n">
        <f aca="false">G67</f>
        <v>0.03714</v>
      </c>
      <c r="H68" s="13" t="n">
        <f aca="false">G68*D68</f>
        <v>1104114.37302</v>
      </c>
      <c r="I68" s="88" t="n">
        <f aca="false">H68/$H$127</f>
        <v>0.000351240656094465</v>
      </c>
      <c r="J68" s="77" t="n">
        <f aca="false">I68*$E$129</f>
        <v>863956.87266665</v>
      </c>
      <c r="K68" s="215"/>
      <c r="L68" s="243" t="n">
        <v>1854162.98991</v>
      </c>
      <c r="M68" s="88" t="n">
        <f aca="false">L68/$L$127</f>
        <v>0.000265569076653786</v>
      </c>
      <c r="N68" s="77" t="n">
        <f aca="false">M68*$E$129</f>
        <v>653227.993290925</v>
      </c>
      <c r="O68" s="215"/>
      <c r="P68" s="244" t="n">
        <f aca="false">P_Equal</f>
        <v>0.0376807380333753</v>
      </c>
      <c r="Q68" s="13" t="n">
        <f aca="false">P68*D68</f>
        <v>1120189.67282313</v>
      </c>
      <c r="R68" s="215"/>
      <c r="S68" s="265"/>
      <c r="T68" s="245"/>
      <c r="U68" s="245" t="n">
        <v>364070.134395929</v>
      </c>
      <c r="V68" s="88" t="n">
        <f aca="false">U68/$U$127</f>
        <v>0.000225442663192678</v>
      </c>
      <c r="W68" s="245"/>
      <c r="X68" s="245" t="n">
        <v>358659.053357618</v>
      </c>
      <c r="Y68" s="88" t="n">
        <f aca="false">X68/$X$127</f>
        <v>0.000236607333545054</v>
      </c>
      <c r="Z68" s="88" t="n">
        <f aca="false">AVERAGE(V68,Y68)</f>
        <v>0.000231024998368866</v>
      </c>
      <c r="AA68" s="129" t="n">
        <f aca="false">$Z68*'Inputs and Assumptions'!$C$6</f>
        <v>568258.917740158</v>
      </c>
      <c r="AB68" s="217"/>
      <c r="AC68" s="255" t="n">
        <f aca="false">CHOOSE(gen_choice,'Generation Calculations'!$O70,'Generation Calculations'!$P70)</f>
        <v>0.0395701268735941</v>
      </c>
      <c r="AD68" s="256" t="n">
        <f aca="false">EPS</f>
        <v>0.01</v>
      </c>
      <c r="AE68" s="247" t="n">
        <f aca="false">AG68-SUM(AC68:AD68,AF68)</f>
        <v>0.0558270327838204</v>
      </c>
      <c r="AF68" s="247" t="n">
        <f aca="false">AK68/$D68*-1</f>
        <v>0.000986124824475582</v>
      </c>
      <c r="AG68" s="226" t="n">
        <f aca="false">AL68/$D68</f>
        <v>0.10638328448189</v>
      </c>
      <c r="AH68" s="77" t="n">
        <f aca="false">$D68*AE68</f>
        <v>1659650.76197294</v>
      </c>
      <c r="AI68" s="258" t="n">
        <f aca="false">CHOOSE(gen_choice,'Generation Calculations'!$M70,'Generation Calculations'!$N70)</f>
        <v>1176358.26126441</v>
      </c>
      <c r="AJ68" s="77" t="n">
        <f aca="false">$D68*AD68</f>
        <v>297284.43</v>
      </c>
      <c r="AK68" s="248" t="n">
        <f aca="false">CHOOSE(gen_choice,'Generation Calculations'!K70,'Generation Calculations'!L70)</f>
        <v>-29315.9556353073</v>
      </c>
      <c r="AL68" s="77" t="n">
        <f aca="false">$D68*gen_equal</f>
        <v>3162609.40887265</v>
      </c>
      <c r="AM68" s="215"/>
      <c r="AN68" s="255" t="n">
        <f aca="false">CHOOSE(gen_choice,'Generation Calculations'!$O70,'Generation Calculations'!$P70)</f>
        <v>0.0395701268735941</v>
      </c>
      <c r="AO68" s="256" t="n">
        <f aca="false">EPS</f>
        <v>0.01</v>
      </c>
      <c r="AP68" s="247" t="n">
        <f aca="false">AR68-SUM(AN68:AO68,AQ68)</f>
        <v>0.0428489792567614</v>
      </c>
      <c r="AQ68" s="247" t="n">
        <f aca="false">AV68/$D68*-1</f>
        <v>0.000986124824475582</v>
      </c>
      <c r="AR68" s="226" t="n">
        <f aca="false">AW68/$D68</f>
        <v>0.0934052309548311</v>
      </c>
      <c r="AS68" s="77" t="n">
        <f aca="false">$D68*AP68</f>
        <v>1273833.43744281</v>
      </c>
      <c r="AT68" s="77" t="n">
        <f aca="false">$AI68</f>
        <v>1176358.26126441</v>
      </c>
      <c r="AU68" s="77" t="n">
        <f aca="false">$D68*AO68</f>
        <v>297284.43</v>
      </c>
      <c r="AV68" s="77" t="n">
        <f aca="false">$AK68</f>
        <v>-29315.9556353073</v>
      </c>
      <c r="AW68" s="77" t="n">
        <f aca="false">$I68*'Inputs and Assumptions'!$C$15</f>
        <v>2776792.08434253</v>
      </c>
      <c r="AX68" s="215"/>
      <c r="AY68" s="255" t="n">
        <f aca="false">CHOOSE(gen_choice,'Generation Calculations'!$O70,'Generation Calculations'!$P70)</f>
        <v>0.0395701268735941</v>
      </c>
      <c r="AZ68" s="256" t="n">
        <f aca="false">EPS</f>
        <v>0.01</v>
      </c>
      <c r="BA68" s="247" t="n">
        <f aca="false">BC68-SUM(AY68:AZ68,BB68)</f>
        <v>0.020066384118431</v>
      </c>
      <c r="BB68" s="247" t="n">
        <f aca="false">BG68/$D68*-1</f>
        <v>0.000986124824475582</v>
      </c>
      <c r="BC68" s="226" t="n">
        <f aca="false">BH68/$D68</f>
        <v>0.0706226358165008</v>
      </c>
      <c r="BD68" s="77" t="n">
        <f aca="false">$D68*BA68</f>
        <v>596542.356480882</v>
      </c>
      <c r="BE68" s="77" t="n">
        <f aca="false">$AI68</f>
        <v>1176358.26126441</v>
      </c>
      <c r="BF68" s="77" t="n">
        <f aca="false">$D68*AZ68</f>
        <v>297284.43</v>
      </c>
      <c r="BG68" s="77" t="n">
        <f aca="false">$AK68</f>
        <v>-29315.9556353073</v>
      </c>
      <c r="BH68" s="77" t="n">
        <f aca="false">$M68*'Inputs and Assumptions'!$C$15</f>
        <v>2099501.0033806</v>
      </c>
      <c r="BI68" s="215"/>
      <c r="BJ68" s="255" t="n">
        <f aca="false">CHOOSE(gen_choice,'Generation Calculations'!$O70,'Generation Calculations'!$P70)</f>
        <v>0.0395701268735941</v>
      </c>
      <c r="BK68" s="256" t="n">
        <f aca="false">EPS</f>
        <v>0.01</v>
      </c>
      <c r="BL68" s="247" t="n">
        <f aca="false">BN68-SUM(BJ68:BK68,BM68)</f>
        <v>0.046803489437724</v>
      </c>
      <c r="BM68" s="247" t="n">
        <f aca="false">BR68/$D68*-1</f>
        <v>0.000986124824475582</v>
      </c>
      <c r="BN68" s="226" t="n">
        <f aca="false">BS68/$D68</f>
        <v>0.0973597411357937</v>
      </c>
      <c r="BO68" s="77" t="n">
        <f aca="false">$D68*BL68</f>
        <v>1391394.86795048</v>
      </c>
      <c r="BP68" s="77" t="n">
        <f aca="false">$AI68</f>
        <v>1176358.26126441</v>
      </c>
      <c r="BQ68" s="77" t="n">
        <f aca="false">$D68*BK68</f>
        <v>297284.43</v>
      </c>
      <c r="BR68" s="77" t="n">
        <f aca="false">$AK68</f>
        <v>-29315.9556353073</v>
      </c>
      <c r="BS68" s="77" t="n">
        <f aca="false">D68*P_equal_gen</f>
        <v>2894353.5148502</v>
      </c>
      <c r="BT68" s="215"/>
      <c r="BU68" s="255" t="n">
        <f aca="false">CHOOSE(gen_choice,'Generation Calculations'!$O70,'Generation Calculations'!$P70)</f>
        <v>0.0395701268735941</v>
      </c>
      <c r="BV68" s="256" t="n">
        <f aca="false">EPS</f>
        <v>0.01</v>
      </c>
      <c r="BW68" s="247" t="n">
        <f aca="false">BY68-SUM(BU68:BV68,BX68)</f>
        <v>0.010880096727324</v>
      </c>
      <c r="BX68" s="247" t="n">
        <f aca="false">CC68/$D68*-1</f>
        <v>0.000986124824475582</v>
      </c>
      <c r="BY68" s="226" t="n">
        <f aca="false">CD68/$D68</f>
        <v>0.0614363484253937</v>
      </c>
      <c r="BZ68" s="77" t="n">
        <f aca="false">$D68*BW68</f>
        <v>323448.335392738</v>
      </c>
      <c r="CA68" s="77" t="n">
        <f aca="false">$AI68</f>
        <v>1176358.26126441</v>
      </c>
      <c r="CB68" s="77" t="n">
        <f aca="false">$D68*BV68</f>
        <v>297284.43</v>
      </c>
      <c r="CC68" s="77" t="n">
        <f aca="false">$AK68</f>
        <v>-29315.9556353073</v>
      </c>
      <c r="CD68" s="77" t="n">
        <f aca="false">$Z68*'Inputs and Assumptions'!$C$15</f>
        <v>1826406.98229246</v>
      </c>
    </row>
    <row r="69" customFormat="false" ht="12.75" hidden="false" customHeight="false" outlineLevel="0" collapsed="false">
      <c r="A69" s="94"/>
      <c r="B69" s="82" t="s">
        <v>231</v>
      </c>
      <c r="C69" s="82" t="n">
        <v>1</v>
      </c>
      <c r="D69" s="185" t="n">
        <f aca="false">'Test Year 2001 Sales and Revs.'!J71</f>
        <v>7352085</v>
      </c>
      <c r="E69" s="231" t="n">
        <f aca="false">surcharge_1*D69</f>
        <v>281355.646643796</v>
      </c>
      <c r="F69" s="228"/>
      <c r="G69" s="250" t="n">
        <f aca="false">G67</f>
        <v>0.03714</v>
      </c>
      <c r="H69" s="229" t="n">
        <f aca="false">G69*D69</f>
        <v>273056.4369</v>
      </c>
      <c r="I69" s="91" t="n">
        <f aca="false">H69/$H$127</f>
        <v>8.68646622045518E-005</v>
      </c>
      <c r="J69" s="231" t="n">
        <f aca="false">I69*$E$129</f>
        <v>213663.539801913</v>
      </c>
      <c r="K69" s="228"/>
      <c r="L69" s="251" t="n">
        <v>458549.54145</v>
      </c>
      <c r="M69" s="91" t="n">
        <f aca="false">L69/$L$127</f>
        <v>6.56773859609853E-005</v>
      </c>
      <c r="N69" s="231" t="n">
        <f aca="false">M69*$E$129</f>
        <v>161548.579286655</v>
      </c>
      <c r="O69" s="228"/>
      <c r="P69" s="244" t="n">
        <f aca="false">S_Equal</f>
        <v>0.0385694346851059</v>
      </c>
      <c r="Q69" s="13" t="n">
        <f aca="false">P69*D69</f>
        <v>283565.762206847</v>
      </c>
      <c r="R69" s="228"/>
      <c r="S69" s="265"/>
      <c r="T69" s="245"/>
      <c r="U69" s="266" t="n">
        <v>46322.5944420176</v>
      </c>
      <c r="V69" s="91" t="n">
        <f aca="false">U69/$U$127</f>
        <v>2.86842783034927E-005</v>
      </c>
      <c r="W69" s="245"/>
      <c r="X69" s="266" t="n">
        <v>48147.942059288</v>
      </c>
      <c r="Y69" s="91" t="n">
        <f aca="false">X69/$X$127</f>
        <v>3.17631914758075E-005</v>
      </c>
      <c r="Z69" s="91" t="n">
        <f aca="false">AVERAGE(V69,Y69)</f>
        <v>3.02237348896501E-005</v>
      </c>
      <c r="AA69" s="232" t="n">
        <f aca="false">$Z69*'Inputs and Assumptions'!$C$6</f>
        <v>74342.2010592797</v>
      </c>
      <c r="AB69" s="237"/>
      <c r="AC69" s="262" t="n">
        <f aca="false">CHOOSE(gen_choice,'Generation Calculations'!$O71,'Generation Calculations'!$P71)</f>
        <v>0.0281846456045517</v>
      </c>
      <c r="AD69" s="263" t="n">
        <f aca="false">EPS</f>
        <v>0.01</v>
      </c>
      <c r="AE69" s="264" t="n">
        <f aca="false">AG69-SUM(AC69:AD69,AF69)</f>
        <v>0.0675600236973656</v>
      </c>
      <c r="AF69" s="264" t="n">
        <f aca="false">AK69/$D69*-1</f>
        <v>0.000638615179972867</v>
      </c>
      <c r="AG69" s="253" t="n">
        <f aca="false">AL69/$D69</f>
        <v>0.10638328448189</v>
      </c>
      <c r="AH69" s="231" t="n">
        <f aca="false">$D69*AE69</f>
        <v>496707.036825046</v>
      </c>
      <c r="AI69" s="260" t="n">
        <f aca="false">CHOOSE(gen_choice,'Generation Calculations'!$M71,'Generation Calculations'!$N71)</f>
        <v>207215.91017954</v>
      </c>
      <c r="AJ69" s="231" t="n">
        <f aca="false">$D69*AD69</f>
        <v>73520.85</v>
      </c>
      <c r="AK69" s="254" t="n">
        <f aca="false">CHOOSE(gen_choice,'Generation Calculations'!K71,'Generation Calculations'!L71)</f>
        <v>-4695.15308545082</v>
      </c>
      <c r="AL69" s="231" t="n">
        <f aca="false">$D69*gen_equal</f>
        <v>782138.950090037</v>
      </c>
      <c r="AM69" s="228"/>
      <c r="AN69" s="262" t="n">
        <f aca="false">CHOOSE(gen_choice,'Generation Calculations'!$O71,'Generation Calculations'!$P71)</f>
        <v>0.0281846456045517</v>
      </c>
      <c r="AO69" s="263" t="n">
        <f aca="false">EPS</f>
        <v>0.01</v>
      </c>
      <c r="AP69" s="264" t="n">
        <f aca="false">AR69-SUM(AN69:AO69,AQ69)</f>
        <v>0.0545819701703066</v>
      </c>
      <c r="AQ69" s="264" t="n">
        <f aca="false">AV69/$D69*-1</f>
        <v>0.000638615179972867</v>
      </c>
      <c r="AR69" s="253" t="n">
        <f aca="false">AW69/$D69</f>
        <v>0.0934052309548311</v>
      </c>
      <c r="AS69" s="231" t="n">
        <f aca="false">$D69*AP69</f>
        <v>401291.284159559</v>
      </c>
      <c r="AT69" s="231" t="n">
        <f aca="false">$AI69</f>
        <v>207215.91017954</v>
      </c>
      <c r="AU69" s="231" t="n">
        <f aca="false">$D69*AO69</f>
        <v>73520.85</v>
      </c>
      <c r="AV69" s="77" t="n">
        <f aca="false">$AK69</f>
        <v>-4695.15308545082</v>
      </c>
      <c r="AW69" s="231" t="n">
        <f aca="false">$I69*'Inputs and Assumptions'!$C$15</f>
        <v>686723.19742455</v>
      </c>
      <c r="AX69" s="228"/>
      <c r="AY69" s="262" t="n">
        <f aca="false">CHOOSE(gen_choice,'Generation Calculations'!$O71,'Generation Calculations'!$P71)</f>
        <v>0.0281846456045517</v>
      </c>
      <c r="AZ69" s="263" t="n">
        <f aca="false">EPS</f>
        <v>0.01</v>
      </c>
      <c r="BA69" s="264" t="n">
        <f aca="false">BC69-SUM(AY69:AZ69,BB69)</f>
        <v>0.0317993750319762</v>
      </c>
      <c r="BB69" s="264" t="n">
        <f aca="false">BG69/$D69*-1</f>
        <v>0.000638615179972867</v>
      </c>
      <c r="BC69" s="253" t="n">
        <f aca="false">BH69/$D69</f>
        <v>0.0706226358165008</v>
      </c>
      <c r="BD69" s="231" t="n">
        <f aca="false">$D69*BA69</f>
        <v>233791.708181967</v>
      </c>
      <c r="BE69" s="77" t="n">
        <f aca="false">$AI69</f>
        <v>207215.91017954</v>
      </c>
      <c r="BF69" s="231" t="n">
        <f aca="false">$D69*AZ69</f>
        <v>73520.85</v>
      </c>
      <c r="BG69" s="77" t="n">
        <f aca="false">$AK69</f>
        <v>-4695.15308545082</v>
      </c>
      <c r="BH69" s="231" t="n">
        <f aca="false">$M69*'Inputs and Assumptions'!$C$15</f>
        <v>519223.621446958</v>
      </c>
      <c r="BI69" s="228"/>
      <c r="BJ69" s="262" t="n">
        <f aca="false">CHOOSE(gen_choice,'Generation Calculations'!$O71,'Generation Calculations'!$P71)</f>
        <v>0.0281846456045517</v>
      </c>
      <c r="BK69" s="263" t="n">
        <f aca="false">EPS</f>
        <v>0.01</v>
      </c>
      <c r="BL69" s="264" t="n">
        <f aca="false">BN69-SUM(BJ69:BK69,BM69)</f>
        <v>0.0608327006610756</v>
      </c>
      <c r="BM69" s="264" t="n">
        <f aca="false">BR69/$D69*-1</f>
        <v>0.000638615179972867</v>
      </c>
      <c r="BN69" s="253" t="n">
        <f aca="false">BS69/$D69</f>
        <v>0.0996559614456001</v>
      </c>
      <c r="BO69" s="231" t="n">
        <f aca="false">$D69*BL69</f>
        <v>447247.186039784</v>
      </c>
      <c r="BP69" s="77" t="n">
        <f aca="false">$AI69</f>
        <v>207215.91017954</v>
      </c>
      <c r="BQ69" s="231" t="n">
        <f aca="false">$D69*BK69</f>
        <v>73520.85</v>
      </c>
      <c r="BR69" s="77" t="n">
        <f aca="false">$AK69</f>
        <v>-4695.15308545082</v>
      </c>
      <c r="BS69" s="231" t="n">
        <f aca="false">D69*s_equal_gen</f>
        <v>732679.099304775</v>
      </c>
      <c r="BT69" s="228"/>
      <c r="BU69" s="262" t="n">
        <f aca="false">CHOOSE(gen_choice,'Generation Calculations'!$O71,'Generation Calculations'!$P71)</f>
        <v>0.0281846456045517</v>
      </c>
      <c r="BV69" s="263" t="n">
        <f aca="false">EPS</f>
        <v>0.01</v>
      </c>
      <c r="BW69" s="264" t="n">
        <f aca="false">BY69-SUM(BU69:BV69,BX69)</f>
        <v>-0.00632379706661439</v>
      </c>
      <c r="BX69" s="264" t="n">
        <f aca="false">CC69/$D69*-1</f>
        <v>0.000638615179972867</v>
      </c>
      <c r="BY69" s="253" t="n">
        <f aca="false">CD69/$D69</f>
        <v>0.0324994637179102</v>
      </c>
      <c r="BZ69" s="231" t="n">
        <f aca="false">$D69*BW69</f>
        <v>-46493.0935564997</v>
      </c>
      <c r="CA69" s="77" t="n">
        <f aca="false">$AI69</f>
        <v>207215.91017954</v>
      </c>
      <c r="CB69" s="231" t="n">
        <f aca="false">$D69*BV69</f>
        <v>73520.85</v>
      </c>
      <c r="CC69" s="77" t="n">
        <f aca="false">$AK69</f>
        <v>-4695.15308545082</v>
      </c>
      <c r="CD69" s="231" t="n">
        <f aca="false">$Z69*'Inputs and Assumptions'!$C$15</f>
        <v>238938.819708492</v>
      </c>
    </row>
    <row r="70" customFormat="false" ht="12.75" hidden="false" customHeight="false" outlineLevel="0" collapsed="false">
      <c r="A70" s="95" t="s">
        <v>323</v>
      </c>
      <c r="B70" s="98"/>
      <c r="C70" s="98"/>
      <c r="D70" s="159" t="n">
        <f aca="false">SUM(D67:D69)</f>
        <v>166366540</v>
      </c>
      <c r="E70" s="77" t="n">
        <f aca="false">SUM(E67:E69)</f>
        <v>6366651.83299579</v>
      </c>
      <c r="F70" s="215"/>
      <c r="G70" s="242"/>
      <c r="H70" s="13" t="n">
        <f aca="false">SUM(H67:H69)</f>
        <v>6178853.2956</v>
      </c>
      <c r="I70" s="88" t="n">
        <f aca="false">SUM(I67:I69)</f>
        <v>0.00196561564498235</v>
      </c>
      <c r="J70" s="77" t="n">
        <f aca="false">SUM(J67:J69)</f>
        <v>4834882.05604213</v>
      </c>
      <c r="K70" s="215"/>
      <c r="L70" s="129" t="n">
        <f aca="false">SUM(L67:L69)</f>
        <v>10376281.0998</v>
      </c>
      <c r="M70" s="88" t="n">
        <f aca="false">SUM(M67:M69)</f>
        <v>0.00148617969712996</v>
      </c>
      <c r="N70" s="77" t="n">
        <f aca="false">SUM(N67:N69)</f>
        <v>3655599.4901904</v>
      </c>
      <c r="O70" s="215"/>
      <c r="P70" s="244"/>
      <c r="Q70" s="13" t="n">
        <f aca="false">SUM(Q67:Q69)</f>
        <v>6091514.1110138</v>
      </c>
      <c r="R70" s="215"/>
      <c r="T70" s="245"/>
      <c r="U70" s="212" t="n">
        <f aca="false">SUM(U67:U69)</f>
        <v>1578057.58080905</v>
      </c>
      <c r="V70" s="88" t="n">
        <f aca="false">SUM(V67:V69)</f>
        <v>0.000977178488642779</v>
      </c>
      <c r="W70" s="245"/>
      <c r="X70" s="212" t="n">
        <f aca="false">SUM(X67:X69)</f>
        <v>932291.220808786</v>
      </c>
      <c r="Y70" s="88" t="n">
        <f aca="false">SUM(Y67:Y69)</f>
        <v>0.000615032404111888</v>
      </c>
      <c r="Z70" s="88" t="n">
        <f aca="false">AVERAGE(V70,Y70)</f>
        <v>0.000796105446377334</v>
      </c>
      <c r="AA70" s="129" t="n">
        <f aca="false">SUM(AA67:AA69)</f>
        <v>1958203.75526251</v>
      </c>
      <c r="AB70" s="217"/>
      <c r="AC70" s="19" t="n">
        <f aca="false">CHOOSE(gen_choice,'Generation Calculations'!$O73,'Generation Calculations'!$P73)</f>
        <v>0.0276952661088139</v>
      </c>
      <c r="AD70" s="249" t="n">
        <f aca="false">EPS</f>
        <v>0.01</v>
      </c>
      <c r="AE70" s="226" t="n">
        <f aca="false">AH70/$D70</f>
        <v>0.0632746265494473</v>
      </c>
      <c r="AF70" s="226" t="n">
        <f aca="false">AK70/$D70*-1</f>
        <v>0.00541339182362892</v>
      </c>
      <c r="AG70" s="226" t="n">
        <f aca="false">AL70/$D70</f>
        <v>0.10638328448189</v>
      </c>
      <c r="AH70" s="77" t="n">
        <f aca="false">AL70+AK70-SUM(AI70:AJ70)</f>
        <v>10526780.6888237</v>
      </c>
      <c r="AI70" s="77" t="n">
        <f aca="false">SUM(AI67:AI69)</f>
        <v>4607565.59690264</v>
      </c>
      <c r="AJ70" s="77" t="n">
        <f aca="false">SUM(AJ67:AJ69)</f>
        <v>1663665.4</v>
      </c>
      <c r="AK70" s="77" t="n">
        <f aca="false">SUM(AK67:AK69)</f>
        <v>-900607.267361433</v>
      </c>
      <c r="AL70" s="77" t="n">
        <f aca="false">SUM(AL67:AL69)</f>
        <v>17698618.9530878</v>
      </c>
      <c r="AM70" s="215"/>
      <c r="AN70" s="19" t="n">
        <f aca="false">CHOOSE(gen_choice,'Generation Calculations'!$O73,'Generation Calculations'!$P73)</f>
        <v>0.0276952661088139</v>
      </c>
      <c r="AO70" s="249" t="n">
        <f aca="false">EPS</f>
        <v>0.01</v>
      </c>
      <c r="AP70" s="226" t="n">
        <f aca="false">AS70/$D70</f>
        <v>0.0502965730223883</v>
      </c>
      <c r="AQ70" s="226" t="n">
        <f aca="false">AV70/$D70*-1</f>
        <v>0.00541339182362892</v>
      </c>
      <c r="AR70" s="226" t="n">
        <f aca="false">AW70/$D70</f>
        <v>0.0934052309548311</v>
      </c>
      <c r="AS70" s="77" t="n">
        <f aca="false">SUM(AS67:AS69)</f>
        <v>8367666.82759208</v>
      </c>
      <c r="AT70" s="77" t="n">
        <f aca="false">SUM(AT67:AT69)</f>
        <v>4607565.59690264</v>
      </c>
      <c r="AU70" s="77" t="n">
        <f aca="false">SUM(AU67:AU69)</f>
        <v>1663665.4</v>
      </c>
      <c r="AV70" s="77" t="n">
        <f aca="false">SUM(AV67:AV69)</f>
        <v>-900607.267361433</v>
      </c>
      <c r="AW70" s="77" t="n">
        <f aca="false">SUM(AW67:AW69)</f>
        <v>15539505.0918562</v>
      </c>
      <c r="AX70" s="215"/>
      <c r="AY70" s="19" t="n">
        <f aca="false">CHOOSE(gen_choice,'Generation Calculations'!$O73,'Generation Calculations'!$P73)</f>
        <v>0.0276952661088139</v>
      </c>
      <c r="AZ70" s="249" t="n">
        <f aca="false">EPS</f>
        <v>0.01</v>
      </c>
      <c r="BA70" s="226" t="n">
        <f aca="false">BD70/$D70</f>
        <v>0.0275139778840579</v>
      </c>
      <c r="BB70" s="226" t="n">
        <f aca="false">BG70/$D70*-1</f>
        <v>0.00541339182362892</v>
      </c>
      <c r="BC70" s="226" t="n">
        <f aca="false">BH70/$D70</f>
        <v>0.0706226358165008</v>
      </c>
      <c r="BD70" s="77" t="n">
        <f aca="false">SUM(BD67:BD69)</f>
        <v>4577405.30220723</v>
      </c>
      <c r="BE70" s="77" t="n">
        <f aca="false">SUM(BE67:BE69)</f>
        <v>4607565.59690264</v>
      </c>
      <c r="BF70" s="77" t="n">
        <f aca="false">SUM(BF67:BF69)</f>
        <v>1663665.4</v>
      </c>
      <c r="BG70" s="77" t="n">
        <f aca="false">SUM(BG67:BG69)</f>
        <v>-900607.267361433</v>
      </c>
      <c r="BH70" s="77" t="n">
        <f aca="false">SUM(BH67:BH69)</f>
        <v>11749243.5664713</v>
      </c>
      <c r="BI70" s="215"/>
      <c r="BJ70" s="19" t="n">
        <f aca="false">CHOOSE(gen_choice,'Generation Calculations'!$O73,'Generation Calculations'!$P73)</f>
        <v>0.0276952661088139</v>
      </c>
      <c r="BK70" s="249" t="n">
        <f aca="false">EPS</f>
        <v>0.01</v>
      </c>
      <c r="BL70" s="226" t="n">
        <f aca="false">BO70/$D70</f>
        <v>0.0514974726543256</v>
      </c>
      <c r="BM70" s="226" t="n">
        <f aca="false">BR70/$D70*-1</f>
        <v>0.00541339182362892</v>
      </c>
      <c r="BN70" s="226" t="n">
        <f aca="false">BS70/$D70</f>
        <v>0.0946061305867685</v>
      </c>
      <c r="BO70" s="77" t="n">
        <f aca="false">SUM(BO67:BO69)</f>
        <v>8567456.34424477</v>
      </c>
      <c r="BP70" s="77" t="n">
        <f aca="false">SUM(BP67:BP69)</f>
        <v>4607565.59690264</v>
      </c>
      <c r="BQ70" s="77" t="n">
        <f aca="false">SUM(BQ67:BQ69)</f>
        <v>1663665.4</v>
      </c>
      <c r="BR70" s="77" t="n">
        <f aca="false">SUM(BR67:BR69)</f>
        <v>-900607.267361433</v>
      </c>
      <c r="BS70" s="77" t="n">
        <f aca="false">SUM(BS67:BS69)</f>
        <v>15739294.6085088</v>
      </c>
      <c r="BT70" s="215"/>
      <c r="BU70" s="19" t="n">
        <f aca="false">CHOOSE(gen_choice,'Generation Calculations'!$O73,'Generation Calculations'!$P73)</f>
        <v>0.0276952661088139</v>
      </c>
      <c r="BV70" s="249" t="n">
        <f aca="false">EPS</f>
        <v>0.01</v>
      </c>
      <c r="BW70" s="226" t="n">
        <f aca="false">BZ70/$D70</f>
        <v>-0.00527806105400707</v>
      </c>
      <c r="BX70" s="226" t="n">
        <f aca="false">CC70/$D70*-1</f>
        <v>0.00541339182362892</v>
      </c>
      <c r="BY70" s="226" t="n">
        <f aca="false">CD70/$D70</f>
        <v>0.0378305968784358</v>
      </c>
      <c r="BZ70" s="77" t="n">
        <f aca="false">SUM(BZ67:BZ69)</f>
        <v>-878092.75546391</v>
      </c>
      <c r="CA70" s="77" t="n">
        <f aca="false">SUM(CA67:CA69)</f>
        <v>4607565.59690264</v>
      </c>
      <c r="CB70" s="77" t="n">
        <f aca="false">SUM(CB67:CB69)</f>
        <v>1663665.4</v>
      </c>
      <c r="CC70" s="77" t="n">
        <f aca="false">SUM(CC67:CC69)</f>
        <v>-900607.267361433</v>
      </c>
      <c r="CD70" s="77" t="n">
        <f aca="false">SUM(CD67:CD69)</f>
        <v>6293745.50880016</v>
      </c>
    </row>
    <row r="71" customFormat="false" ht="12.75" hidden="false" customHeight="false" outlineLevel="0" collapsed="false">
      <c r="A71" s="85"/>
      <c r="B71" s="82"/>
      <c r="C71" s="82"/>
      <c r="D71" s="159"/>
      <c r="E71" s="77"/>
      <c r="F71" s="215"/>
      <c r="G71" s="242"/>
      <c r="H71" s="13"/>
      <c r="I71" s="88"/>
      <c r="J71" s="77"/>
      <c r="K71" s="215"/>
      <c r="L71" s="129"/>
      <c r="M71" s="88"/>
      <c r="N71" s="77"/>
      <c r="O71" s="215"/>
      <c r="P71" s="244"/>
      <c r="Q71" s="13"/>
      <c r="R71" s="215"/>
      <c r="T71" s="245"/>
      <c r="V71" s="88"/>
      <c r="W71" s="245"/>
      <c r="X71" s="212"/>
      <c r="Y71" s="88"/>
      <c r="Z71" s="88"/>
      <c r="AA71" s="129"/>
      <c r="AB71" s="217"/>
      <c r="AC71" s="74"/>
      <c r="AD71" s="19"/>
      <c r="AH71" s="77"/>
      <c r="AJ71" s="77"/>
      <c r="AK71" s="77"/>
      <c r="AL71" s="77" t="n">
        <f aca="false">AL70-SUM(AH70:AJ70)+AK70</f>
        <v>0</v>
      </c>
      <c r="AM71" s="215"/>
      <c r="AN71" s="74"/>
      <c r="AO71" s="19"/>
      <c r="AP71" s="0"/>
      <c r="AQ71" s="0"/>
      <c r="AR71" s="0"/>
      <c r="AS71" s="77"/>
      <c r="AT71" s="77"/>
      <c r="AU71" s="77"/>
      <c r="AV71" s="77"/>
      <c r="AW71" s="77"/>
      <c r="AX71" s="215"/>
      <c r="AY71" s="74"/>
      <c r="AZ71" s="19"/>
      <c r="BA71" s="0"/>
      <c r="BB71" s="0"/>
      <c r="BC71" s="0"/>
      <c r="BD71" s="77"/>
      <c r="BE71" s="77"/>
      <c r="BF71" s="77"/>
      <c r="BG71" s="77"/>
      <c r="BH71" s="77"/>
      <c r="BI71" s="215"/>
      <c r="BJ71" s="74"/>
      <c r="BK71" s="19"/>
      <c r="BL71" s="0"/>
      <c r="BM71" s="0"/>
      <c r="BN71" s="0"/>
      <c r="BO71" s="77"/>
      <c r="BP71" s="77"/>
      <c r="BQ71" s="77"/>
      <c r="BR71" s="77"/>
      <c r="BS71" s="77"/>
      <c r="BT71" s="215"/>
      <c r="BU71" s="74"/>
      <c r="BV71" s="19"/>
      <c r="BW71" s="0"/>
      <c r="BX71" s="0"/>
      <c r="BY71" s="0"/>
      <c r="BZ71" s="77"/>
      <c r="CA71" s="77"/>
      <c r="CB71" s="77"/>
      <c r="CC71" s="77"/>
      <c r="CD71" s="77"/>
    </row>
    <row r="72" customFormat="false" ht="12.75" hidden="false" customHeight="false" outlineLevel="0" collapsed="false">
      <c r="A72" s="94" t="s">
        <v>324</v>
      </c>
      <c r="B72" s="79" t="s">
        <v>231</v>
      </c>
      <c r="C72" s="79" t="n">
        <v>1</v>
      </c>
      <c r="D72" s="170" t="n">
        <f aca="false">'Test Year 2001 Sales and Revs.'!J75</f>
        <v>179726421.125</v>
      </c>
      <c r="E72" s="77" t="n">
        <f aca="false">surcharge_1*D72</f>
        <v>6877918.77196734</v>
      </c>
      <c r="F72" s="215"/>
      <c r="G72" s="242" t="n">
        <v>0.03828</v>
      </c>
      <c r="H72" s="13" t="n">
        <f aca="false">G72*D72</f>
        <v>6879927.400665</v>
      </c>
      <c r="I72" s="88" t="n">
        <f aca="false">H72/$H$127</f>
        <v>0.00218864120705373</v>
      </c>
      <c r="J72" s="77" t="n">
        <f aca="false">I72*$E$129</f>
        <v>5383464.52731529</v>
      </c>
      <c r="K72" s="215"/>
      <c r="L72" s="243" t="n">
        <v>19157039.2277138</v>
      </c>
      <c r="M72" s="88" t="n">
        <f aca="false">L72/$L$127</f>
        <v>0.00274383495237992</v>
      </c>
      <c r="N72" s="77" t="n">
        <f aca="false">M72*$E$129</f>
        <v>6749090.75427204</v>
      </c>
      <c r="O72" s="215"/>
      <c r="P72" s="244" t="n">
        <f aca="false">S_Equal</f>
        <v>0.0385694346851059</v>
      </c>
      <c r="Q72" s="13" t="n">
        <f aca="false">P72*D72</f>
        <v>6931946.46076852</v>
      </c>
      <c r="R72" s="215"/>
      <c r="S72" s="211" t="n">
        <f aca="false">$S$11</f>
        <v>1</v>
      </c>
      <c r="T72" s="245" t="n">
        <v>4847399.49854181</v>
      </c>
      <c r="U72" s="212" t="n">
        <f aca="false">$S72*T72</f>
        <v>4847399.49854181</v>
      </c>
      <c r="V72" s="88" t="n">
        <f aca="false">U72/$U$127</f>
        <v>0.00300164871892974</v>
      </c>
      <c r="W72" s="245" t="n">
        <v>4026831.38291694</v>
      </c>
      <c r="X72" s="212" t="n">
        <f aca="false">$S72*W72</f>
        <v>4026831.38291694</v>
      </c>
      <c r="Y72" s="88" t="n">
        <f aca="false">X72/$X$127</f>
        <v>0.00265650016980753</v>
      </c>
      <c r="Z72" s="88" t="n">
        <f aca="false">AVERAGE(V72,Y72)</f>
        <v>0.00282907444436863</v>
      </c>
      <c r="AA72" s="129" t="n">
        <f aca="false">$Z72*'Inputs and Assumptions'!$C$6</f>
        <v>6958756.81555642</v>
      </c>
      <c r="AB72" s="217"/>
      <c r="AC72" s="19" t="n">
        <f aca="false">CHOOSE(gen_choice,'Generation Calculations'!$O75,'Generation Calculations'!$P75)</f>
        <v>0.08832200759049</v>
      </c>
      <c r="AD72" s="249" t="n">
        <f aca="false">EPS</f>
        <v>0.01</v>
      </c>
      <c r="AE72" s="226" t="n">
        <f aca="false">AG72-SUM(AC72:AD72,AF72)</f>
        <v>0.00806127689140017</v>
      </c>
      <c r="AF72" s="226" t="n">
        <f aca="false">AK72/$D72*-1</f>
        <v>-0</v>
      </c>
      <c r="AG72" s="226" t="n">
        <f aca="false">AL72/$D72</f>
        <v>0.10638328448189</v>
      </c>
      <c r="AH72" s="77" t="n">
        <f aca="false">$D72*AE72</f>
        <v>1448824.44538902</v>
      </c>
      <c r="AI72" s="258" t="n">
        <f aca="false">CHOOSE(gen_choice,'Generation Calculations'!$M75,'Generation Calculations'!$N75)</f>
        <v>15873798.3308138</v>
      </c>
      <c r="AJ72" s="77" t="n">
        <f aca="false">$D72*AD72</f>
        <v>1797264.21125</v>
      </c>
      <c r="AK72" s="248" t="n">
        <f aca="false">CHOOSE(gen_choice,'Generation Calculations'!K75,'Generation Calculations'!L75)</f>
        <v>0</v>
      </c>
      <c r="AL72" s="77" t="n">
        <f aca="false">$D72*gen_equal</f>
        <v>19119886.9874529</v>
      </c>
      <c r="AM72" s="215"/>
      <c r="AN72" s="19" t="n">
        <f aca="false">CHOOSE(gen_choice,'Generation Calculations'!$O75,'Generation Calculations'!$P75)</f>
        <v>0.08832200759049</v>
      </c>
      <c r="AO72" s="249" t="n">
        <f aca="false">EPS</f>
        <v>0.01</v>
      </c>
      <c r="AP72" s="226" t="n">
        <f aca="false">AR72-SUM(AN72:AO72,AQ72)</f>
        <v>-0.00204973400538126</v>
      </c>
      <c r="AQ72" s="226" t="n">
        <f aca="false">AV72/$D72*-1</f>
        <v>-0</v>
      </c>
      <c r="AR72" s="226" t="n">
        <f aca="false">AW72/$D72</f>
        <v>0.0962722735851087</v>
      </c>
      <c r="AS72" s="77" t="n">
        <f aca="false">$D72*AP72</f>
        <v>-368391.357045386</v>
      </c>
      <c r="AT72" s="77" t="n">
        <f aca="false">$AI72</f>
        <v>15873798.3308138</v>
      </c>
      <c r="AU72" s="77" t="n">
        <f aca="false">$D72*AO72</f>
        <v>1797264.21125</v>
      </c>
      <c r="AV72" s="77" t="n">
        <f aca="false">$AK72</f>
        <v>0</v>
      </c>
      <c r="AW72" s="77" t="n">
        <f aca="false">$I72*'Inputs and Assumptions'!$C$15</f>
        <v>17302671.1850185</v>
      </c>
      <c r="AX72" s="215"/>
      <c r="AY72" s="19" t="n">
        <f aca="false">CHOOSE(gen_choice,'Generation Calculations'!$O75,'Generation Calculations'!$P75)</f>
        <v>0.08832200759049</v>
      </c>
      <c r="AZ72" s="249" t="n">
        <f aca="false">EPS</f>
        <v>0.01</v>
      </c>
      <c r="BA72" s="226" t="n">
        <f aca="false">BC72-SUM(AY72:AZ72,BB72)</f>
        <v>0.0223717033551701</v>
      </c>
      <c r="BB72" s="226" t="n">
        <f aca="false">BG72/$D72*-1</f>
        <v>-0</v>
      </c>
      <c r="BC72" s="226" t="n">
        <f aca="false">BH72/$D72</f>
        <v>0.12069371094566</v>
      </c>
      <c r="BD72" s="77" t="n">
        <f aca="false">$D72*BA72</f>
        <v>4020786.17849487</v>
      </c>
      <c r="BE72" s="77" t="n">
        <f aca="false">$AI72</f>
        <v>15873798.3308138</v>
      </c>
      <c r="BF72" s="77" t="n">
        <f aca="false">$D72*AZ72</f>
        <v>1797264.21125</v>
      </c>
      <c r="BG72" s="77" t="n">
        <f aca="false">$AK72</f>
        <v>0</v>
      </c>
      <c r="BH72" s="77" t="n">
        <f aca="false">$M72*'Inputs and Assumptions'!$C$15</f>
        <v>21691848.7205587</v>
      </c>
      <c r="BI72" s="215"/>
      <c r="BJ72" s="19" t="n">
        <f aca="false">CHOOSE(gen_choice,'Generation Calculations'!$O75,'Generation Calculations'!$P75)</f>
        <v>0.08832200759049</v>
      </c>
      <c r="BK72" s="249" t="n">
        <f aca="false">EPS</f>
        <v>0.01</v>
      </c>
      <c r="BL72" s="226" t="n">
        <f aca="false">BN72-SUM(BJ72:BK72,BM72)</f>
        <v>0.00133395385511016</v>
      </c>
      <c r="BM72" s="226" t="n">
        <f aca="false">BR72/$D72*-1</f>
        <v>-0</v>
      </c>
      <c r="BN72" s="226" t="n">
        <f aca="false">BS72/$D72</f>
        <v>0.0996559614456001</v>
      </c>
      <c r="BO72" s="77" t="n">
        <f aca="false">$D72*BL72</f>
        <v>239746.752324846</v>
      </c>
      <c r="BP72" s="77" t="n">
        <f aca="false">$AI72</f>
        <v>15873798.3308138</v>
      </c>
      <c r="BQ72" s="77" t="n">
        <f aca="false">$D72*BK72</f>
        <v>1797264.21125</v>
      </c>
      <c r="BR72" s="77" t="n">
        <f aca="false">$AK72</f>
        <v>0</v>
      </c>
      <c r="BS72" s="77" t="n">
        <f aca="false">D72*s_equal_gen</f>
        <v>17910809.2943887</v>
      </c>
      <c r="BT72" s="215"/>
      <c r="BU72" s="19" t="n">
        <f aca="false">CHOOSE(gen_choice,'Generation Calculations'!$O75,'Generation Calculations'!$P75)</f>
        <v>0.08832200759049</v>
      </c>
      <c r="BV72" s="249" t="n">
        <f aca="false">EPS</f>
        <v>0.01</v>
      </c>
      <c r="BW72" s="226" t="n">
        <f aca="false">BY72-SUM(BU72:BV72,BX72)</f>
        <v>0.0261211528613504</v>
      </c>
      <c r="BX72" s="226" t="n">
        <f aca="false">CC72/$D72*-1</f>
        <v>-0</v>
      </c>
      <c r="BY72" s="226" t="n">
        <f aca="false">CD72/$D72</f>
        <v>0.12444316045184</v>
      </c>
      <c r="BZ72" s="77" t="n">
        <f aca="false">$D72*BW72</f>
        <v>4694661.31942956</v>
      </c>
      <c r="CA72" s="77" t="n">
        <f aca="false">$AI72</f>
        <v>15873798.3308138</v>
      </c>
      <c r="CB72" s="77" t="n">
        <f aca="false">$D72*BV72</f>
        <v>1797264.21125</v>
      </c>
      <c r="CC72" s="77" t="n">
        <f aca="false">$AK72</f>
        <v>0</v>
      </c>
      <c r="CD72" s="77" t="n">
        <f aca="false">$Z72*'Inputs and Assumptions'!$C$15</f>
        <v>22365723.8614934</v>
      </c>
    </row>
    <row r="73" customFormat="false" ht="12.75" hidden="false" customHeight="false" outlineLevel="0" collapsed="false">
      <c r="A73" s="94" t="s">
        <v>325</v>
      </c>
      <c r="B73" s="79" t="s">
        <v>231</v>
      </c>
      <c r="C73" s="79" t="n">
        <v>1</v>
      </c>
      <c r="D73" s="170" t="n">
        <f aca="false">'Test Year 2001 Sales and Revs.'!J76</f>
        <v>28756666</v>
      </c>
      <c r="E73" s="77" t="n">
        <f aca="false">surcharge_1*D73</f>
        <v>1100483.78898634</v>
      </c>
      <c r="F73" s="215"/>
      <c r="G73" s="242" t="n">
        <v>0.03551</v>
      </c>
      <c r="H73" s="13" t="n">
        <f aca="false">G73*D73</f>
        <v>1021149.20966</v>
      </c>
      <c r="I73" s="88" t="n">
        <f aca="false">H73/$H$127</f>
        <v>0.000324847793974715</v>
      </c>
      <c r="J73" s="77" t="n">
        <f aca="false">I73*$E$129</f>
        <v>799037.580944428</v>
      </c>
      <c r="K73" s="215"/>
      <c r="L73" s="243" t="n">
        <v>3170997.55982</v>
      </c>
      <c r="M73" s="88" t="n">
        <f aca="false">L73/$L$127</f>
        <v>0.000454177382795071</v>
      </c>
      <c r="N73" s="77" t="n">
        <f aca="false">M73*$E$129</f>
        <v>1117153.33765355</v>
      </c>
      <c r="O73" s="215"/>
      <c r="P73" s="244" t="n">
        <f aca="false">S_Equal</f>
        <v>0.0385694346851059</v>
      </c>
      <c r="Q73" s="13" t="n">
        <f aca="false">P73*D73</f>
        <v>1109128.3510484</v>
      </c>
      <c r="R73" s="215"/>
      <c r="S73" s="211" t="n">
        <f aca="false">$S$11</f>
        <v>1</v>
      </c>
      <c r="T73" s="245" t="n">
        <v>603048.866206033</v>
      </c>
      <c r="U73" s="212" t="n">
        <f aca="false">$S73*T73</f>
        <v>603048.866206033</v>
      </c>
      <c r="V73" s="88" t="n">
        <f aca="false">U73/$U$127</f>
        <v>0.000373425144192035</v>
      </c>
      <c r="W73" s="245" t="n">
        <v>510747.339665597</v>
      </c>
      <c r="X73" s="212" t="n">
        <f aca="false">$S73*W73</f>
        <v>510747.339665597</v>
      </c>
      <c r="Y73" s="88" t="n">
        <f aca="false">X73/$X$127</f>
        <v>0.000336939957383457</v>
      </c>
      <c r="Z73" s="88" t="n">
        <f aca="false">AVERAGE(V73,Y73)</f>
        <v>0.000355182550787746</v>
      </c>
      <c r="AA73" s="129" t="n">
        <f aca="false">$Z73*'Inputs and Assumptions'!$C$6</f>
        <v>873652.865862473</v>
      </c>
      <c r="AB73" s="217"/>
      <c r="AC73" s="19" t="n">
        <f aca="false">CHOOSE(gen_choice,'Generation Calculations'!$O76,'Generation Calculations'!$P76)</f>
        <v>0.0656928378351637</v>
      </c>
      <c r="AD73" s="249" t="n">
        <f aca="false">EPS</f>
        <v>0.01</v>
      </c>
      <c r="AE73" s="226" t="n">
        <f aca="false">AG73-SUM(AC73:AD73,AF73)</f>
        <v>0.0306904466467264</v>
      </c>
      <c r="AF73" s="226" t="n">
        <f aca="false">AK73/$D73*-1</f>
        <v>-0</v>
      </c>
      <c r="AG73" s="226" t="n">
        <f aca="false">AL73/$D73</f>
        <v>0.10638328448189</v>
      </c>
      <c r="AH73" s="77" t="n">
        <f aca="false">$D73*AE73</f>
        <v>882554.923610731</v>
      </c>
      <c r="AI73" s="258" t="n">
        <f aca="false">CHOOSE(gen_choice,'Generation Calculations'!$M76,'Generation Calculations'!$N76)</f>
        <v>1889106.99621797</v>
      </c>
      <c r="AJ73" s="77" t="n">
        <f aca="false">$D73*AD73</f>
        <v>287566.66</v>
      </c>
      <c r="AK73" s="248" t="n">
        <f aca="false">CHOOSE(gen_choice,'Generation Calculations'!K76,'Generation Calculations'!L76)</f>
        <v>0</v>
      </c>
      <c r="AL73" s="77" t="n">
        <f aca="false">$D73*gen_equal</f>
        <v>3059228.5798287</v>
      </c>
      <c r="AM73" s="215"/>
      <c r="AN73" s="19" t="n">
        <f aca="false">CHOOSE(gen_choice,'Generation Calculations'!$O76,'Generation Calculations'!$P76)</f>
        <v>0.0656928378351637</v>
      </c>
      <c r="AO73" s="249" t="n">
        <f aca="false">EPS</f>
        <v>0.01</v>
      </c>
      <c r="AP73" s="226" t="n">
        <f aca="false">AR73-SUM(AN73:AO73,AQ73)</f>
        <v>0.0136130251483057</v>
      </c>
      <c r="AQ73" s="226" t="n">
        <f aca="false">AV73/$D73*-1</f>
        <v>-0</v>
      </c>
      <c r="AR73" s="226" t="n">
        <f aca="false">AW73/$D73</f>
        <v>0.0893058629834694</v>
      </c>
      <c r="AS73" s="77" t="n">
        <f aca="false">$D73*AP73</f>
        <v>391465.217439427</v>
      </c>
      <c r="AT73" s="77" t="n">
        <f aca="false">$AI73</f>
        <v>1889106.99621797</v>
      </c>
      <c r="AU73" s="77" t="n">
        <f aca="false">$D73*AO73</f>
        <v>287566.66</v>
      </c>
      <c r="AV73" s="77" t="n">
        <f aca="false">$AK73</f>
        <v>0</v>
      </c>
      <c r="AW73" s="77" t="n">
        <f aca="false">$I73*'Inputs and Assumptions'!$C$15</f>
        <v>2568138.87365739</v>
      </c>
      <c r="AX73" s="215"/>
      <c r="AY73" s="19" t="n">
        <f aca="false">CHOOSE(gen_choice,'Generation Calculations'!$O76,'Generation Calculations'!$P76)</f>
        <v>0.0656928378351637</v>
      </c>
      <c r="AZ73" s="249" t="n">
        <f aca="false">EPS</f>
        <v>0.01</v>
      </c>
      <c r="BA73" s="226" t="n">
        <f aca="false">BC73-SUM(AY73:AZ73,BB73)</f>
        <v>0.0491678011176267</v>
      </c>
      <c r="BB73" s="226" t="n">
        <f aca="false">BG73/$D73*-1</f>
        <v>-0</v>
      </c>
      <c r="BC73" s="226" t="n">
        <f aca="false">BH73/$D73</f>
        <v>0.12486063895279</v>
      </c>
      <c r="BD73" s="77" t="n">
        <f aca="false">$D73*BA73</f>
        <v>1413902.03469402</v>
      </c>
      <c r="BE73" s="77" t="n">
        <f aca="false">$AI73</f>
        <v>1889106.99621797</v>
      </c>
      <c r="BF73" s="77" t="n">
        <f aca="false">$D73*AZ73</f>
        <v>287566.66</v>
      </c>
      <c r="BG73" s="77" t="n">
        <f aca="false">$AK73</f>
        <v>0</v>
      </c>
      <c r="BH73" s="77" t="n">
        <f aca="false">$M73*'Inputs and Assumptions'!$C$15</f>
        <v>3590575.69091198</v>
      </c>
      <c r="BI73" s="215"/>
      <c r="BJ73" s="19" t="n">
        <f aca="false">CHOOSE(gen_choice,'Generation Calculations'!$O76,'Generation Calculations'!$P76)</f>
        <v>0.0656928378351637</v>
      </c>
      <c r="BK73" s="249" t="n">
        <f aca="false">EPS</f>
        <v>0.01</v>
      </c>
      <c r="BL73" s="226" t="n">
        <f aca="false">BN73-SUM(BJ73:BK73,BM73)</f>
        <v>0.0239631236104364</v>
      </c>
      <c r="BM73" s="226" t="n">
        <f aca="false">BR73/$D73*-1</f>
        <v>-0</v>
      </c>
      <c r="BN73" s="226" t="n">
        <f aca="false">BS73/$D73</f>
        <v>0.0996559614456001</v>
      </c>
      <c r="BO73" s="77" t="n">
        <f aca="false">$D73*BL73</f>
        <v>689099.541982034</v>
      </c>
      <c r="BP73" s="77" t="n">
        <f aca="false">$AI73</f>
        <v>1889106.99621797</v>
      </c>
      <c r="BQ73" s="77" t="n">
        <f aca="false">$D73*BK73</f>
        <v>287566.66</v>
      </c>
      <c r="BR73" s="77" t="n">
        <f aca="false">$AK73</f>
        <v>0</v>
      </c>
      <c r="BS73" s="77" t="n">
        <f aca="false">D73*s_equal_gen</f>
        <v>2865773.1982</v>
      </c>
      <c r="BT73" s="215"/>
      <c r="BU73" s="19" t="n">
        <f aca="false">CHOOSE(gen_choice,'Generation Calculations'!$O76,'Generation Calculations'!$P76)</f>
        <v>0.0656928378351637</v>
      </c>
      <c r="BV73" s="249" t="n">
        <f aca="false">EPS</f>
        <v>0.01</v>
      </c>
      <c r="BW73" s="226" t="n">
        <f aca="false">BY73-SUM(BU73:BV73,BX73)</f>
        <v>0.0219525357924576</v>
      </c>
      <c r="BX73" s="226" t="n">
        <f aca="false">CC73/$D73*-1</f>
        <v>-0</v>
      </c>
      <c r="BY73" s="226" t="n">
        <f aca="false">CD73/$D73</f>
        <v>0.0976453736276213</v>
      </c>
      <c r="BZ73" s="77" t="n">
        <f aca="false">$D73*BW73</f>
        <v>631281.739636749</v>
      </c>
      <c r="CA73" s="77" t="n">
        <f aca="false">$AI73</f>
        <v>1889106.99621797</v>
      </c>
      <c r="CB73" s="77" t="n">
        <f aca="false">$D73*BV73</f>
        <v>287566.66</v>
      </c>
      <c r="CC73" s="77" t="n">
        <f aca="false">$AK73</f>
        <v>0</v>
      </c>
      <c r="CD73" s="77" t="n">
        <f aca="false">$Z73*'Inputs and Assumptions'!$C$15</f>
        <v>2807955.39585472</v>
      </c>
    </row>
    <row r="74" customFormat="false" ht="12.75" hidden="false" customHeight="false" outlineLevel="0" collapsed="false">
      <c r="A74" s="94" t="s">
        <v>326</v>
      </c>
      <c r="B74" s="79" t="s">
        <v>231</v>
      </c>
      <c r="C74" s="79" t="n">
        <v>1</v>
      </c>
      <c r="D74" s="170" t="n">
        <f aca="false">'Test Year 2001 Sales and Revs.'!J77</f>
        <v>31177676</v>
      </c>
      <c r="E74" s="77" t="n">
        <f aca="false">surcharge_1*D74</f>
        <v>1193132.99449486</v>
      </c>
      <c r="F74" s="215"/>
      <c r="G74" s="242" t="n">
        <v>0.03741</v>
      </c>
      <c r="H74" s="13" t="n">
        <f aca="false">G74*D74</f>
        <v>1166356.85916</v>
      </c>
      <c r="I74" s="88" t="n">
        <f aca="false">H74/$H$127</f>
        <v>0.000371041224045561</v>
      </c>
      <c r="J74" s="77" t="n">
        <f aca="false">I74*$E$129</f>
        <v>912660.906403142</v>
      </c>
      <c r="K74" s="215"/>
      <c r="L74" s="243" t="n">
        <v>3502500.12184</v>
      </c>
      <c r="M74" s="88" t="n">
        <f aca="false">L74/$L$127</f>
        <v>0.000501658014100461</v>
      </c>
      <c r="N74" s="77" t="n">
        <f aca="false">M74*$E$129</f>
        <v>1233942.82948222</v>
      </c>
      <c r="O74" s="215"/>
      <c r="P74" s="244" t="n">
        <f aca="false">S_Equal</f>
        <v>0.0385694346851059</v>
      </c>
      <c r="Q74" s="13" t="n">
        <f aca="false">P74*D74</f>
        <v>1202505.33811539</v>
      </c>
      <c r="R74" s="215"/>
      <c r="S74" s="211" t="n">
        <f aca="false">$S$11</f>
        <v>1</v>
      </c>
      <c r="T74" s="245" t="n">
        <v>892439.888461039</v>
      </c>
      <c r="U74" s="212" t="n">
        <f aca="false">$S74*T74</f>
        <v>892439.888461039</v>
      </c>
      <c r="V74" s="88" t="n">
        <f aca="false">U74/$U$127</f>
        <v>0.000552624360489931</v>
      </c>
      <c r="W74" s="245" t="n">
        <v>675304.72071388</v>
      </c>
      <c r="X74" s="212" t="n">
        <f aca="false">$S74*W74</f>
        <v>675304.72071388</v>
      </c>
      <c r="Y74" s="88" t="n">
        <f aca="false">X74/$X$127</f>
        <v>0.000445498441493906</v>
      </c>
      <c r="Z74" s="88" t="n">
        <f aca="false">AVERAGE(V74,Y74)</f>
        <v>0.000499061400991918</v>
      </c>
      <c r="AA74" s="129" t="n">
        <f aca="false">$Z74*'Inputs and Assumptions'!$C$6</f>
        <v>1227555.86458549</v>
      </c>
      <c r="AB74" s="217"/>
      <c r="AC74" s="19" t="n">
        <f aca="false">CHOOSE(gen_choice,'Generation Calculations'!$O77,'Generation Calculations'!$P77)</f>
        <v>0.0686110670014621</v>
      </c>
      <c r="AD74" s="249" t="n">
        <f aca="false">EPS</f>
        <v>0.01</v>
      </c>
      <c r="AE74" s="226" t="n">
        <f aca="false">AG74-SUM(AC74:AD74,AF74)</f>
        <v>0.0277722174804281</v>
      </c>
      <c r="AF74" s="226" t="n">
        <f aca="false">AK74/$D74*-1</f>
        <v>-0</v>
      </c>
      <c r="AG74" s="226" t="n">
        <f aca="false">AL74/$D74</f>
        <v>0.10638328448189</v>
      </c>
      <c r="AH74" s="77" t="n">
        <f aca="false">$D74*AE74</f>
        <v>865873.198406323</v>
      </c>
      <c r="AI74" s="258" t="n">
        <f aca="false">CHOOSE(gen_choice,'Generation Calculations'!$M77,'Generation Calculations'!$N77)</f>
        <v>2139133.61698588</v>
      </c>
      <c r="AJ74" s="77" t="n">
        <f aca="false">$D74*AD74</f>
        <v>311776.76</v>
      </c>
      <c r="AK74" s="248" t="n">
        <f aca="false">CHOOSE(gen_choice,'Generation Calculations'!K77,'Generation Calculations'!L77)</f>
        <v>0</v>
      </c>
      <c r="AL74" s="77" t="n">
        <f aca="false">$D74*gen_equal</f>
        <v>3316783.5753922</v>
      </c>
      <c r="AM74" s="215"/>
      <c r="AN74" s="19" t="n">
        <f aca="false">CHOOSE(gen_choice,'Generation Calculations'!$O77,'Generation Calculations'!$P77)</f>
        <v>0.0686110670014621</v>
      </c>
      <c r="AO74" s="249" t="n">
        <f aca="false">EPS</f>
        <v>0.01</v>
      </c>
      <c r="AP74" s="226" t="n">
        <f aca="false">AR74-SUM(AN74:AO74,AQ74)</f>
        <v>0.0154732003658033</v>
      </c>
      <c r="AQ74" s="226" t="n">
        <f aca="false">AV74/$D74*-1</f>
        <v>-0</v>
      </c>
      <c r="AR74" s="226" t="n">
        <f aca="false">AW74/$D74</f>
        <v>0.0940842673672653</v>
      </c>
      <c r="AS74" s="77" t="n">
        <f aca="false">$D74*AP74</f>
        <v>482418.427688095</v>
      </c>
      <c r="AT74" s="77" t="n">
        <f aca="false">$AI74</f>
        <v>2139133.61698588</v>
      </c>
      <c r="AU74" s="77" t="n">
        <f aca="false">$D74*AO74</f>
        <v>311776.76</v>
      </c>
      <c r="AV74" s="77" t="n">
        <f aca="false">$AK74</f>
        <v>0</v>
      </c>
      <c r="AW74" s="77" t="n">
        <f aca="false">$I74*'Inputs and Assumptions'!$C$15</f>
        <v>2933328.80467397</v>
      </c>
      <c r="AX74" s="215"/>
      <c r="AY74" s="19" t="n">
        <f aca="false">CHOOSE(gen_choice,'Generation Calculations'!$O77,'Generation Calculations'!$P77)</f>
        <v>0.0686110670014621</v>
      </c>
      <c r="AZ74" s="249" t="n">
        <f aca="false">EPS</f>
        <v>0.01</v>
      </c>
      <c r="BA74" s="226" t="n">
        <f aca="false">BC74-SUM(AY74:AZ74,BB74)</f>
        <v>0.0485934689553392</v>
      </c>
      <c r="BB74" s="226" t="n">
        <f aca="false">BG74/$D74*-1</f>
        <v>-0</v>
      </c>
      <c r="BC74" s="226" t="n">
        <f aca="false">BH74/$D74</f>
        <v>0.127204535956801</v>
      </c>
      <c r="BD74" s="77" t="n">
        <f aca="false">$D74*BA74</f>
        <v>1515031.43080562</v>
      </c>
      <c r="BE74" s="77" t="n">
        <f aca="false">$AI74</f>
        <v>2139133.61698588</v>
      </c>
      <c r="BF74" s="77" t="n">
        <f aca="false">$D74*AZ74</f>
        <v>311776.76</v>
      </c>
      <c r="BG74" s="77" t="n">
        <f aca="false">$AK74</f>
        <v>0</v>
      </c>
      <c r="BH74" s="77" t="n">
        <f aca="false">$M74*'Inputs and Assumptions'!$C$15</f>
        <v>3965941.8077915</v>
      </c>
      <c r="BI74" s="215"/>
      <c r="BJ74" s="19" t="n">
        <f aca="false">CHOOSE(gen_choice,'Generation Calculations'!$O77,'Generation Calculations'!$P77)</f>
        <v>0.0686110670014621</v>
      </c>
      <c r="BK74" s="249" t="n">
        <f aca="false">EPS</f>
        <v>0.01</v>
      </c>
      <c r="BL74" s="226" t="n">
        <f aca="false">BN74-SUM(BJ74:BK74,BM74)</f>
        <v>0.0210448944441381</v>
      </c>
      <c r="BM74" s="226" t="n">
        <f aca="false">BR74/$D74*-1</f>
        <v>-0</v>
      </c>
      <c r="BN74" s="226" t="n">
        <f aca="false">BS74/$D74</f>
        <v>0.0996559614456001</v>
      </c>
      <c r="BO74" s="77" t="n">
        <f aca="false">$D74*BL74</f>
        <v>656130.900433537</v>
      </c>
      <c r="BP74" s="77" t="n">
        <f aca="false">$AI74</f>
        <v>2139133.61698588</v>
      </c>
      <c r="BQ74" s="77" t="n">
        <f aca="false">$D74*BK74</f>
        <v>311776.76</v>
      </c>
      <c r="BR74" s="77" t="n">
        <f aca="false">$AK74</f>
        <v>0</v>
      </c>
      <c r="BS74" s="77" t="n">
        <f aca="false">D74*s_equal_gen</f>
        <v>3107041.27741941</v>
      </c>
      <c r="BT74" s="215"/>
      <c r="BU74" s="19" t="n">
        <f aca="false">CHOOSE(gen_choice,'Generation Calculations'!$O77,'Generation Calculations'!$P77)</f>
        <v>0.0686110670014621</v>
      </c>
      <c r="BV74" s="249" t="n">
        <f aca="false">EPS</f>
        <v>0.01</v>
      </c>
      <c r="BW74" s="226" t="n">
        <f aca="false">BY74-SUM(BU74:BV74,BX74)</f>
        <v>0.04793505035891</v>
      </c>
      <c r="BX74" s="226" t="n">
        <f aca="false">CC74/$D74*-1</f>
        <v>-0</v>
      </c>
      <c r="BY74" s="226" t="n">
        <f aca="false">CD74/$D74</f>
        <v>0.126546117360372</v>
      </c>
      <c r="BZ74" s="77" t="n">
        <f aca="false">$D74*BW74</f>
        <v>1494503.46913378</v>
      </c>
      <c r="CA74" s="77" t="n">
        <f aca="false">$AI74</f>
        <v>2139133.61698588</v>
      </c>
      <c r="CB74" s="77" t="n">
        <f aca="false">$D74*BV74</f>
        <v>311776.76</v>
      </c>
      <c r="CC74" s="77" t="n">
        <f aca="false">$AK74</f>
        <v>0</v>
      </c>
      <c r="CD74" s="77" t="n">
        <f aca="false">$Z74*'Inputs and Assumptions'!$C$15</f>
        <v>3945413.84611966</v>
      </c>
    </row>
    <row r="75" customFormat="false" ht="12.75" hidden="false" customHeight="false" outlineLevel="0" collapsed="false">
      <c r="A75" s="94" t="s">
        <v>327</v>
      </c>
      <c r="B75" s="79" t="s">
        <v>231</v>
      </c>
      <c r="C75" s="79" t="n">
        <v>1</v>
      </c>
      <c r="D75" s="170" t="n">
        <f aca="false">'Test Year 2001 Sales and Revs.'!J78</f>
        <v>136212371</v>
      </c>
      <c r="E75" s="77" t="n">
        <f aca="false">surcharge_1*D75</f>
        <v>5212687.24771131</v>
      </c>
      <c r="F75" s="215"/>
      <c r="G75" s="242" t="n">
        <v>0.03514</v>
      </c>
      <c r="H75" s="13" t="n">
        <f aca="false">G75*D75</f>
        <v>4786502.71694</v>
      </c>
      <c r="I75" s="88" t="n">
        <f aca="false">H75/$H$127</f>
        <v>0.00152268134151487</v>
      </c>
      <c r="J75" s="77" t="n">
        <f aca="false">I75*$E$129</f>
        <v>3745383.64809693</v>
      </c>
      <c r="K75" s="215"/>
      <c r="L75" s="243" t="n">
        <v>14520238.7486</v>
      </c>
      <c r="M75" s="88" t="n">
        <f aca="false">L75/$L$127</f>
        <v>0.00207971274275376</v>
      </c>
      <c r="N75" s="77" t="n">
        <f aca="false">M75*$E$129</f>
        <v>5115530.01082904</v>
      </c>
      <c r="O75" s="215"/>
      <c r="P75" s="244" t="n">
        <f aca="false">S_Equal</f>
        <v>0.0385694346851059</v>
      </c>
      <c r="Q75" s="13" t="n">
        <f aca="false">P75*D75</f>
        <v>5253634.14658791</v>
      </c>
      <c r="R75" s="215"/>
      <c r="S75" s="211" t="n">
        <f aca="false">$S$11</f>
        <v>1</v>
      </c>
      <c r="T75" s="245" t="n">
        <v>2701251.85547498</v>
      </c>
      <c r="U75" s="212" t="n">
        <f aca="false">$S75*T75</f>
        <v>2701251.85547498</v>
      </c>
      <c r="V75" s="88" t="n">
        <f aca="false">U75/$U$127</f>
        <v>0.00167269257958461</v>
      </c>
      <c r="W75" s="245" t="n">
        <v>2304344.52259167</v>
      </c>
      <c r="X75" s="212" t="n">
        <f aca="false">$S75*W75</f>
        <v>2304344.52259167</v>
      </c>
      <c r="Y75" s="88" t="n">
        <f aca="false">X75/$X$127</f>
        <v>0.00152017579914795</v>
      </c>
      <c r="Z75" s="88" t="n">
        <f aca="false">AVERAGE(V75,Y75)</f>
        <v>0.00159643418936628</v>
      </c>
      <c r="AA75" s="129" t="n">
        <f aca="false">$Z75*'Inputs and Assumptions'!$C$6</f>
        <v>3926795.67621599</v>
      </c>
      <c r="AB75" s="217"/>
      <c r="AC75" s="19" t="n">
        <f aca="false">CHOOSE(gen_choice,'Generation Calculations'!$O78,'Generation Calculations'!$P78)</f>
        <v>0.0638359872285493</v>
      </c>
      <c r="AD75" s="249" t="n">
        <f aca="false">EPS</f>
        <v>0.01</v>
      </c>
      <c r="AE75" s="226" t="n">
        <f aca="false">AG75-SUM(AC75:AD75,AF75)</f>
        <v>0.0325472972533408</v>
      </c>
      <c r="AF75" s="226" t="n">
        <f aca="false">AK75/$D75*-1</f>
        <v>-0</v>
      </c>
      <c r="AG75" s="226" t="n">
        <f aca="false">AL75/$D75</f>
        <v>0.10638328448189</v>
      </c>
      <c r="AH75" s="77" t="n">
        <f aca="false">$D75*AE75</f>
        <v>4433344.52851934</v>
      </c>
      <c r="AI75" s="258" t="n">
        <f aca="false">CHOOSE(gen_choice,'Generation Calculations'!$M78,'Generation Calculations'!$N78)</f>
        <v>8695251.17552642</v>
      </c>
      <c r="AJ75" s="77" t="n">
        <f aca="false">$D75*AD75</f>
        <v>1362123.71</v>
      </c>
      <c r="AK75" s="248" t="n">
        <f aca="false">CHOOSE(gen_choice,'Generation Calculations'!K78,'Generation Calculations'!L78)</f>
        <v>0</v>
      </c>
      <c r="AL75" s="77" t="n">
        <f aca="false">$D75*gen_equal</f>
        <v>14490719.4140458</v>
      </c>
      <c r="AM75" s="215"/>
      <c r="AN75" s="19" t="n">
        <f aca="false">CHOOSE(gen_choice,'Generation Calculations'!$O78,'Generation Calculations'!$P78)</f>
        <v>0.0638359872285493</v>
      </c>
      <c r="AO75" s="249" t="n">
        <f aca="false">EPS</f>
        <v>0.01</v>
      </c>
      <c r="AP75" s="226" t="n">
        <f aca="false">AR75-SUM(AN75:AO75,AQ75)</f>
        <v>0.0145393443749178</v>
      </c>
      <c r="AQ75" s="226" t="n">
        <f aca="false">AV75/$D75*-1</f>
        <v>-0</v>
      </c>
      <c r="AR75" s="226" t="n">
        <f aca="false">AW75/$D75</f>
        <v>0.0883753316034671</v>
      </c>
      <c r="AS75" s="77" t="n">
        <f aca="false">$D75*AP75</f>
        <v>1980438.57009306</v>
      </c>
      <c r="AT75" s="77" t="n">
        <f aca="false">$AI75</f>
        <v>8695251.17552642</v>
      </c>
      <c r="AU75" s="77" t="n">
        <f aca="false">$D75*AO75</f>
        <v>1362123.71</v>
      </c>
      <c r="AV75" s="77" t="n">
        <f aca="false">$AK75</f>
        <v>0</v>
      </c>
      <c r="AW75" s="77" t="n">
        <f aca="false">$I75*'Inputs and Assumptions'!$C$15</f>
        <v>12037813.4556195</v>
      </c>
      <c r="AX75" s="215"/>
      <c r="AY75" s="19" t="n">
        <f aca="false">CHOOSE(gen_choice,'Generation Calculations'!$O78,'Generation Calculations'!$P78)</f>
        <v>0.0638359872285493</v>
      </c>
      <c r="AZ75" s="249" t="n">
        <f aca="false">EPS</f>
        <v>0.01</v>
      </c>
      <c r="BA75" s="226" t="n">
        <f aca="false">BC75-SUM(AY75:AZ75,BB75)</f>
        <v>0.0468690468910431</v>
      </c>
      <c r="BB75" s="226" t="n">
        <f aca="false">BG75/$D75*-1</f>
        <v>-0</v>
      </c>
      <c r="BC75" s="226" t="n">
        <f aca="false">BH75/$D75</f>
        <v>0.120705034119592</v>
      </c>
      <c r="BD75" s="77" t="n">
        <f aca="false">$D75*BA75</f>
        <v>6384144.00353916</v>
      </c>
      <c r="BE75" s="77" t="n">
        <f aca="false">$AI75</f>
        <v>8695251.17552642</v>
      </c>
      <c r="BF75" s="77" t="n">
        <f aca="false">$D75*AZ75</f>
        <v>1362123.71</v>
      </c>
      <c r="BG75" s="77" t="n">
        <f aca="false">$AK75</f>
        <v>0</v>
      </c>
      <c r="BH75" s="77" t="n">
        <f aca="false">$M75*'Inputs and Assumptions'!$C$15</f>
        <v>16441518.8890656</v>
      </c>
      <c r="BI75" s="215"/>
      <c r="BJ75" s="19" t="n">
        <f aca="false">CHOOSE(gen_choice,'Generation Calculations'!$O78,'Generation Calculations'!$P78)</f>
        <v>0.0638359872285493</v>
      </c>
      <c r="BK75" s="249" t="n">
        <f aca="false">EPS</f>
        <v>0.01</v>
      </c>
      <c r="BL75" s="226" t="n">
        <f aca="false">BN75-SUM(BJ75:BK75,BM75)</f>
        <v>0.0258199742170508</v>
      </c>
      <c r="BM75" s="226" t="n">
        <f aca="false">BR75/$D75*-1</f>
        <v>-0</v>
      </c>
      <c r="BN75" s="226" t="n">
        <f aca="false">BS75/$D75</f>
        <v>0.0996559614456001</v>
      </c>
      <c r="BO75" s="77" t="n">
        <f aca="false">$D75*BL75</f>
        <v>3516999.90726336</v>
      </c>
      <c r="BP75" s="77" t="n">
        <f aca="false">$AI75</f>
        <v>8695251.17552642</v>
      </c>
      <c r="BQ75" s="77" t="n">
        <f aca="false">$D75*BK75</f>
        <v>1362123.71</v>
      </c>
      <c r="BR75" s="77" t="n">
        <f aca="false">$AK75</f>
        <v>0</v>
      </c>
      <c r="BS75" s="77" t="n">
        <f aca="false">D75*s_equal_gen</f>
        <v>13574374.7927898</v>
      </c>
      <c r="BT75" s="215"/>
      <c r="BU75" s="19" t="n">
        <f aca="false">CHOOSE(gen_choice,'Generation Calculations'!$O78,'Generation Calculations'!$P78)</f>
        <v>0.0638359872285493</v>
      </c>
      <c r="BV75" s="249" t="n">
        <f aca="false">EPS</f>
        <v>0.01</v>
      </c>
      <c r="BW75" s="226" t="n">
        <f aca="false">BY75-SUM(BU75:BV75,BX75)</f>
        <v>0.0188199067012966</v>
      </c>
      <c r="BX75" s="226" t="n">
        <f aca="false">CC75/$D75*-1</f>
        <v>-0</v>
      </c>
      <c r="BY75" s="226" t="n">
        <f aca="false">CD75/$D75</f>
        <v>0.0926558939298459</v>
      </c>
      <c r="BZ75" s="77" t="n">
        <f aca="false">$D75*BW75</f>
        <v>2563504.1137824</v>
      </c>
      <c r="CA75" s="77" t="n">
        <f aca="false">$AI75</f>
        <v>8695251.17552642</v>
      </c>
      <c r="CB75" s="77" t="n">
        <f aca="false">$D75*BV75</f>
        <v>1362123.71</v>
      </c>
      <c r="CC75" s="77" t="n">
        <f aca="false">$AK75</f>
        <v>0</v>
      </c>
      <c r="CD75" s="77" t="n">
        <f aca="false">$Z75*'Inputs and Assumptions'!$C$15</f>
        <v>12620878.9993088</v>
      </c>
    </row>
    <row r="76" customFormat="false" ht="12.75" hidden="false" customHeight="false" outlineLevel="0" collapsed="false">
      <c r="A76" s="94" t="s">
        <v>328</v>
      </c>
      <c r="B76" s="79" t="s">
        <v>231</v>
      </c>
      <c r="C76" s="79" t="n">
        <v>1</v>
      </c>
      <c r="D76" s="170" t="n">
        <f aca="false">'Test Year 2001 Sales and Revs.'!J79</f>
        <v>83553832</v>
      </c>
      <c r="E76" s="77" t="n">
        <f aca="false">surcharge_1*D76</f>
        <v>3197506.88844417</v>
      </c>
      <c r="F76" s="215"/>
      <c r="G76" s="242" t="n">
        <v>0.0378</v>
      </c>
      <c r="H76" s="13" t="n">
        <f aca="false">G76*D76</f>
        <v>3158334.8496</v>
      </c>
      <c r="I76" s="88" t="n">
        <f aca="false">H76/$H$127</f>
        <v>0.00100472888665079</v>
      </c>
      <c r="J76" s="77" t="n">
        <f aca="false">I76*$E$129</f>
        <v>2471360.90804705</v>
      </c>
      <c r="K76" s="215"/>
      <c r="L76" s="243" t="n">
        <v>8712158.06264</v>
      </c>
      <c r="M76" s="88" t="n">
        <f aca="false">L76/$L$127</f>
        <v>0.00124782976736552</v>
      </c>
      <c r="N76" s="77" t="n">
        <f aca="false">M76*$E$129</f>
        <v>3069323.22533734</v>
      </c>
      <c r="O76" s="215"/>
      <c r="P76" s="244" t="n">
        <f aca="false">S_Equal</f>
        <v>0.0385694346851059</v>
      </c>
      <c r="Q76" s="13" t="n">
        <f aca="false">P76*D76</f>
        <v>3222624.06601431</v>
      </c>
      <c r="R76" s="215"/>
      <c r="S76" s="211" t="n">
        <f aca="false">$S$11</f>
        <v>1</v>
      </c>
      <c r="T76" s="245" t="n">
        <v>2021173.62474929</v>
      </c>
      <c r="U76" s="212" t="n">
        <f aca="false">$S76*T76</f>
        <v>2021173.62474929</v>
      </c>
      <c r="V76" s="88" t="n">
        <f aca="false">U76/$U$127</f>
        <v>0.00125156864485552</v>
      </c>
      <c r="W76" s="245" t="n">
        <v>1675422.95674919</v>
      </c>
      <c r="X76" s="212" t="n">
        <f aca="false">$S76*W76</f>
        <v>1675422.95674919</v>
      </c>
      <c r="Y76" s="88" t="n">
        <f aca="false">X76/$X$127</f>
        <v>0.00110527631923829</v>
      </c>
      <c r="Z76" s="88" t="n">
        <f aca="false">AVERAGE(V76,Y76)</f>
        <v>0.0011784224820469</v>
      </c>
      <c r="AA76" s="129" t="n">
        <f aca="false">$Z76*'Inputs and Assumptions'!$C$6</f>
        <v>2898600.10395692</v>
      </c>
      <c r="AB76" s="217"/>
      <c r="AC76" s="255" t="n">
        <f aca="false">CHOOSE(gen_choice,'Generation Calculations'!$O79,'Generation Calculations'!$P79)</f>
        <v>0.0589689089383923</v>
      </c>
      <c r="AD76" s="256" t="n">
        <f aca="false">EPS</f>
        <v>0.01</v>
      </c>
      <c r="AE76" s="247" t="n">
        <f aca="false">AG76-SUM(AC76:AD76,AF76)</f>
        <v>0.0374143755434978</v>
      </c>
      <c r="AF76" s="226" t="n">
        <f aca="false">AK76/$D76*-1</f>
        <v>-0</v>
      </c>
      <c r="AG76" s="226" t="n">
        <f aca="false">AL76/$D76</f>
        <v>0.10638328448189</v>
      </c>
      <c r="AH76" s="77" t="n">
        <f aca="false">$D76*AE76</f>
        <v>3126114.44854632</v>
      </c>
      <c r="AI76" s="258" t="n">
        <f aca="false">CHOOSE(gen_choice,'Generation Calculations'!$M79,'Generation Calculations'!$N79)</f>
        <v>4927078.31066173</v>
      </c>
      <c r="AJ76" s="77" t="n">
        <f aca="false">$D76*AD76</f>
        <v>835538.32</v>
      </c>
      <c r="AK76" s="248" t="n">
        <f aca="false">CHOOSE(gen_choice,'Generation Calculations'!K79,'Generation Calculations'!L79)</f>
        <v>0</v>
      </c>
      <c r="AL76" s="77" t="n">
        <f aca="false">$D76*gen_equal</f>
        <v>8888731.07920805</v>
      </c>
      <c r="AM76" s="215"/>
      <c r="AN76" s="255" t="n">
        <f aca="false">CHOOSE(gen_choice,'Generation Calculations'!$O79,'Generation Calculations'!$P79)</f>
        <v>0.0589689089383923</v>
      </c>
      <c r="AO76" s="256" t="n">
        <f aca="false">EPS</f>
        <v>0.01</v>
      </c>
      <c r="AP76" s="247" t="n">
        <f aca="false">AR76-SUM(AN76:AO76,AQ76)</f>
        <v>0.026096188802389</v>
      </c>
      <c r="AQ76" s="226" t="n">
        <f aca="false">AV76/$D76*-1</f>
        <v>-0</v>
      </c>
      <c r="AR76" s="226" t="n">
        <f aca="false">AW76/$D76</f>
        <v>0.0950650977407813</v>
      </c>
      <c r="AS76" s="77" t="n">
        <f aca="false">$D76*AP76</f>
        <v>2180436.57503509</v>
      </c>
      <c r="AT76" s="77" t="n">
        <f aca="false">$AI76</f>
        <v>4927078.31066173</v>
      </c>
      <c r="AU76" s="77" t="n">
        <f aca="false">$D76*AO76</f>
        <v>835538.32</v>
      </c>
      <c r="AV76" s="77" t="n">
        <f aca="false">$AK76</f>
        <v>0</v>
      </c>
      <c r="AW76" s="77" t="n">
        <f aca="false">$I76*'Inputs and Assumptions'!$C$15</f>
        <v>7943053.20569682</v>
      </c>
      <c r="AX76" s="215"/>
      <c r="AY76" s="255" t="n">
        <f aca="false">CHOOSE(gen_choice,'Generation Calculations'!$O79,'Generation Calculations'!$P79)</f>
        <v>0.0589689089383923</v>
      </c>
      <c r="AZ76" s="256" t="n">
        <f aca="false">EPS</f>
        <v>0.01</v>
      </c>
      <c r="BA76" s="247" t="n">
        <f aca="false">BC76-SUM(AY76:AZ76,BB76)</f>
        <v>0.0490978256549463</v>
      </c>
      <c r="BB76" s="226" t="n">
        <f aca="false">BG76/$D76*-1</f>
        <v>-0</v>
      </c>
      <c r="BC76" s="226" t="n">
        <f aca="false">BH76/$D76</f>
        <v>0.118066734593339</v>
      </c>
      <c r="BD76" s="77" t="n">
        <f aca="false">$D76*BA76</f>
        <v>4102311.47633868</v>
      </c>
      <c r="BE76" s="77" t="n">
        <f aca="false">$AI76</f>
        <v>4927078.31066173</v>
      </c>
      <c r="BF76" s="77" t="n">
        <f aca="false">$D76*AZ76</f>
        <v>835538.32</v>
      </c>
      <c r="BG76" s="77" t="n">
        <f aca="false">$AK76</f>
        <v>0</v>
      </c>
      <c r="BH76" s="77" t="n">
        <f aca="false">$M76*'Inputs and Assumptions'!$C$15</f>
        <v>9864928.10700041</v>
      </c>
      <c r="BI76" s="215"/>
      <c r="BJ76" s="255" t="n">
        <f aca="false">CHOOSE(gen_choice,'Generation Calculations'!$O79,'Generation Calculations'!$P79)</f>
        <v>0.0589689089383923</v>
      </c>
      <c r="BK76" s="256" t="n">
        <f aca="false">EPS</f>
        <v>0.01</v>
      </c>
      <c r="BL76" s="247" t="n">
        <f aca="false">BN76-SUM(BJ76:BK76,BM76)</f>
        <v>0.0306870525072078</v>
      </c>
      <c r="BM76" s="226" t="n">
        <f aca="false">BR76/$D76*-1</f>
        <v>-0</v>
      </c>
      <c r="BN76" s="226" t="n">
        <f aca="false">BS76/$D76</f>
        <v>0.0996559614456001</v>
      </c>
      <c r="BO76" s="77" t="n">
        <f aca="false">$D76*BL76</f>
        <v>2564020.82976242</v>
      </c>
      <c r="BP76" s="77" t="n">
        <f aca="false">$AI76</f>
        <v>4927078.31066173</v>
      </c>
      <c r="BQ76" s="77" t="n">
        <f aca="false">$D76*BK76</f>
        <v>835538.32</v>
      </c>
      <c r="BR76" s="77" t="n">
        <f aca="false">$AK76</f>
        <v>0</v>
      </c>
      <c r="BS76" s="77" t="n">
        <f aca="false">D76*s_equal_gen</f>
        <v>8326637.46042415</v>
      </c>
      <c r="BT76" s="215"/>
      <c r="BU76" s="255" t="n">
        <f aca="false">CHOOSE(gen_choice,'Generation Calculations'!$O79,'Generation Calculations'!$P79)</f>
        <v>0.0589689089383923</v>
      </c>
      <c r="BV76" s="256" t="n">
        <f aca="false">EPS</f>
        <v>0.01</v>
      </c>
      <c r="BW76" s="247" t="n">
        <f aca="false">BY76-SUM(BU76:BV76,BX76)</f>
        <v>0.0425306706239697</v>
      </c>
      <c r="BX76" s="226" t="n">
        <f aca="false">CC76/$D76*-1</f>
        <v>-0</v>
      </c>
      <c r="BY76" s="226" t="n">
        <f aca="false">CD76/$D76</f>
        <v>0.111499579562362</v>
      </c>
      <c r="BZ76" s="77" t="n">
        <f aca="false">$D76*BW76</f>
        <v>3553600.5081625</v>
      </c>
      <c r="CA76" s="77" t="n">
        <f aca="false">$AI76</f>
        <v>4927078.31066173</v>
      </c>
      <c r="CB76" s="77" t="n">
        <f aca="false">$D76*BV76</f>
        <v>835538.32</v>
      </c>
      <c r="CC76" s="77" t="n">
        <f aca="false">$AK76</f>
        <v>0</v>
      </c>
      <c r="CD76" s="77" t="n">
        <f aca="false">$Z76*'Inputs and Assumptions'!$C$15</f>
        <v>9316217.13882423</v>
      </c>
    </row>
    <row r="77" customFormat="false" ht="12.75" hidden="false" customHeight="false" outlineLevel="0" collapsed="false">
      <c r="A77" s="94" t="s">
        <v>329</v>
      </c>
      <c r="B77" s="79"/>
      <c r="C77" s="79" t="n">
        <v>1</v>
      </c>
      <c r="D77" s="170" t="n">
        <f aca="false">'Test Year 2001 Sales and Revs.'!$J$80</f>
        <v>248926280</v>
      </c>
      <c r="E77" s="77" t="n">
        <f aca="false">surcharge_1*D77</f>
        <v>9526115.98968653</v>
      </c>
      <c r="F77" s="215"/>
      <c r="G77" s="242" t="n">
        <v>0.0376</v>
      </c>
      <c r="H77" s="13" t="n">
        <f aca="false">G77*D77</f>
        <v>9359628.128</v>
      </c>
      <c r="I77" s="88" t="n">
        <f aca="false">H77/$H$127</f>
        <v>0.00297748313472899</v>
      </c>
      <c r="J77" s="77" t="n">
        <f aca="false">I77*$E$129</f>
        <v>7323801.99405593</v>
      </c>
      <c r="K77" s="215"/>
      <c r="L77" s="243" t="n">
        <v>26430992.4104</v>
      </c>
      <c r="M77" s="88" t="n">
        <f aca="false">L77/$L$127</f>
        <v>0.00378567272007402</v>
      </c>
      <c r="N77" s="77" t="n">
        <f aca="false">M77*$E$129</f>
        <v>9311729.45792177</v>
      </c>
      <c r="O77" s="215"/>
      <c r="P77" s="244" t="n">
        <f aca="false">S_Equal</f>
        <v>0.0385694346851059</v>
      </c>
      <c r="Q77" s="13" t="n">
        <f aca="false">P77*D77</f>
        <v>9600945.89786637</v>
      </c>
      <c r="R77" s="215"/>
      <c r="S77" s="211" t="n">
        <f aca="false">$S$11</f>
        <v>1</v>
      </c>
      <c r="T77" s="245" t="n">
        <v>7740740.83818105</v>
      </c>
      <c r="U77" s="212" t="n">
        <f aca="false">$S77*T77</f>
        <v>7740740.83818105</v>
      </c>
      <c r="V77" s="88" t="n">
        <f aca="false">U77/$U$127</f>
        <v>0.00479328861330344</v>
      </c>
      <c r="W77" s="245" t="n">
        <v>6548413.83769553</v>
      </c>
      <c r="X77" s="212" t="n">
        <f aca="false">$S77*W77</f>
        <v>6548413.83769553</v>
      </c>
      <c r="Y77" s="88" t="n">
        <f aca="false">X77/$X$127</f>
        <v>0.00431998780619589</v>
      </c>
      <c r="Z77" s="88" t="n">
        <f aca="false">AVERAGE(V77,Y77)</f>
        <v>0.00455663820974967</v>
      </c>
      <c r="AA77" s="129" t="n">
        <f aca="false">$Z77*'Inputs and Assumptions'!$C$6</f>
        <v>11208095.7294133</v>
      </c>
      <c r="AB77" s="217"/>
      <c r="AC77" s="255" t="n">
        <f aca="false">CHOOSE(gen_choice,'Generation Calculations'!$O80,'Generation Calculations'!$P80)</f>
        <v>0.083399163928728</v>
      </c>
      <c r="AD77" s="256" t="n">
        <f aca="false">EPS</f>
        <v>0.01</v>
      </c>
      <c r="AE77" s="247" t="n">
        <f aca="false">AG77-SUM(AC77:AD77,AF77)</f>
        <v>0.0129578702473525</v>
      </c>
      <c r="AF77" s="226" t="n">
        <f aca="false">AK77/$D77*-1</f>
        <v>2.62503058095863E-005</v>
      </c>
      <c r="AG77" s="226" t="n">
        <f aca="false">AL77/$D77</f>
        <v>0.10638328448189</v>
      </c>
      <c r="AH77" s="77" t="n">
        <f aca="false">$D77*AE77</f>
        <v>3225554.43739615</v>
      </c>
      <c r="AI77" s="258" t="n">
        <f aca="false">CHOOSE(gen_choice,'Generation Calculations'!$M80,'Generation Calculations'!$N80)</f>
        <v>20760243.6318884</v>
      </c>
      <c r="AJ77" s="77" t="n">
        <f aca="false">$D77*AD77</f>
        <v>2489262.8</v>
      </c>
      <c r="AK77" s="248" t="n">
        <f aca="false">CHOOSE(gen_choice,'Generation Calculations'!K80,'Generation Calculations'!L80)</f>
        <v>-6534.39097404271</v>
      </c>
      <c r="AL77" s="77" t="n">
        <f aca="false">$D77*gen_equal</f>
        <v>26481595.2602586</v>
      </c>
      <c r="AM77" s="215"/>
      <c r="AN77" s="255" t="n">
        <f aca="false">CHOOSE(gen_choice,'Generation Calculations'!$O80,'Generation Calculations'!$P80)</f>
        <v>0.083399163928728</v>
      </c>
      <c r="AO77" s="256" t="n">
        <f aca="false">EPS</f>
        <v>0.01</v>
      </c>
      <c r="AP77" s="247" t="n">
        <f aca="false">AR77-SUM(AN77:AO77,AQ77)</f>
        <v>0.00113669357110732</v>
      </c>
      <c r="AQ77" s="226" t="n">
        <f aca="false">AV77/$D77*-1</f>
        <v>2.62503058095863E-005</v>
      </c>
      <c r="AR77" s="226" t="n">
        <f aca="false">AW77/$D77</f>
        <v>0.0945621078056449</v>
      </c>
      <c r="AS77" s="77" t="n">
        <f aca="false">$D77*AP77</f>
        <v>282952.902155661</v>
      </c>
      <c r="AT77" s="77" t="n">
        <f aca="false">$AI77</f>
        <v>20760243.6318884</v>
      </c>
      <c r="AU77" s="77" t="n">
        <f aca="false">$D77*AO77</f>
        <v>2489262.8</v>
      </c>
      <c r="AV77" s="77" t="n">
        <f aca="false">$AK77</f>
        <v>-6534.39097404271</v>
      </c>
      <c r="AW77" s="77" t="n">
        <f aca="false">$I77*'Inputs and Assumptions'!$C$15</f>
        <v>23538993.7250181</v>
      </c>
      <c r="AX77" s="215"/>
      <c r="AY77" s="255" t="n">
        <f aca="false">CHOOSE(gen_choice,'Generation Calculations'!$O80,'Generation Calculations'!$P80)</f>
        <v>0.083399163928728</v>
      </c>
      <c r="AZ77" s="256" t="n">
        <f aca="false">EPS</f>
        <v>0.01</v>
      </c>
      <c r="BA77" s="247" t="n">
        <f aca="false">BC77-SUM(AY77:AZ77,BB77)</f>
        <v>0.0268040465798932</v>
      </c>
      <c r="BB77" s="226" t="n">
        <f aca="false">BG77/$D77*-1</f>
        <v>2.62503058095863E-005</v>
      </c>
      <c r="BC77" s="226" t="n">
        <f aca="false">BH77/$D77</f>
        <v>0.120229460814431</v>
      </c>
      <c r="BD77" s="77" t="n">
        <f aca="false">$D77*BA77</f>
        <v>6672231.60407954</v>
      </c>
      <c r="BE77" s="77" t="n">
        <f aca="false">$AI77</f>
        <v>20760243.6318884</v>
      </c>
      <c r="BF77" s="77" t="n">
        <f aca="false">$D77*AZ77</f>
        <v>2489262.8</v>
      </c>
      <c r="BG77" s="77" t="n">
        <f aca="false">$AK77</f>
        <v>-6534.39097404271</v>
      </c>
      <c r="BH77" s="77" t="n">
        <f aca="false">$M77*'Inputs and Assumptions'!$C$15</f>
        <v>29928272.426942</v>
      </c>
      <c r="BI77" s="215"/>
      <c r="BJ77" s="255" t="n">
        <f aca="false">CHOOSE(gen_choice,'Generation Calculations'!$O80,'Generation Calculations'!$P80)</f>
        <v>0.083399163928728</v>
      </c>
      <c r="BK77" s="256" t="n">
        <f aca="false">EPS</f>
        <v>0.01</v>
      </c>
      <c r="BL77" s="247" t="n">
        <f aca="false">BN77-SUM(BJ77:BK77,BM77)</f>
        <v>0.00623054721106253</v>
      </c>
      <c r="BM77" s="226" t="n">
        <f aca="false">BR77/$D77*-1</f>
        <v>2.62503058095863E-005</v>
      </c>
      <c r="BN77" s="226" t="n">
        <f aca="false">BS77/$D77</f>
        <v>0.0996559614456001</v>
      </c>
      <c r="BO77" s="77" t="n">
        <f aca="false">$D77*BL77</f>
        <v>1550946.93961417</v>
      </c>
      <c r="BP77" s="77" t="n">
        <f aca="false">$AI77</f>
        <v>20760243.6318884</v>
      </c>
      <c r="BQ77" s="77" t="n">
        <f aca="false">$D77*BK77</f>
        <v>2489262.8</v>
      </c>
      <c r="BR77" s="77" t="n">
        <f aca="false">$AK77</f>
        <v>-6534.39097404271</v>
      </c>
      <c r="BS77" s="77" t="n">
        <f aca="false">D77*s_equal_gen</f>
        <v>24806987.7624767</v>
      </c>
      <c r="BT77" s="215"/>
      <c r="BU77" s="255" t="n">
        <f aca="false">CHOOSE(gen_choice,'Generation Calculations'!$O80,'Generation Calculations'!$P80)</f>
        <v>0.083399163928728</v>
      </c>
      <c r="BV77" s="256" t="n">
        <f aca="false">EPS</f>
        <v>0.01</v>
      </c>
      <c r="BW77" s="247" t="n">
        <f aca="false">BY77-SUM(BU77:BV77,BX77)</f>
        <v>0.0512891967722808</v>
      </c>
      <c r="BX77" s="226" t="n">
        <f aca="false">CC77/$D77*-1</f>
        <v>2.62503058095863E-005</v>
      </c>
      <c r="BY77" s="226" t="n">
        <f aca="false">CD77/$D77</f>
        <v>0.144714611006818</v>
      </c>
      <c r="BZ77" s="77" t="n">
        <f aca="false">$D77*BW77</f>
        <v>12767228.9567119</v>
      </c>
      <c r="CA77" s="77" t="n">
        <f aca="false">$AI77</f>
        <v>20760243.6318884</v>
      </c>
      <c r="CB77" s="77" t="n">
        <f aca="false">$D77*BV77</f>
        <v>2489262.8</v>
      </c>
      <c r="CC77" s="77" t="n">
        <f aca="false">$AK77</f>
        <v>-6534.39097404271</v>
      </c>
      <c r="CD77" s="77" t="n">
        <f aca="false">$Z77*'Inputs and Assumptions'!$C$15</f>
        <v>36023269.7795744</v>
      </c>
    </row>
    <row r="78" customFormat="false" ht="12.75" hidden="false" customHeight="false" outlineLevel="0" collapsed="false">
      <c r="A78" s="94" t="s">
        <v>330</v>
      </c>
      <c r="B78" s="79" t="s">
        <v>231</v>
      </c>
      <c r="C78" s="79" t="n">
        <v>1</v>
      </c>
      <c r="D78" s="170" t="n">
        <f aca="false">'Test Year 2001 Sales and Revs.'!J81</f>
        <v>25772790</v>
      </c>
      <c r="E78" s="77" t="n">
        <f aca="false">surcharge_1*D78</f>
        <v>986294.363607704</v>
      </c>
      <c r="F78" s="215"/>
      <c r="G78" s="242" t="n">
        <v>0.03757</v>
      </c>
      <c r="H78" s="13" t="n">
        <f aca="false">G78*D78</f>
        <v>968283.7203</v>
      </c>
      <c r="I78" s="88" t="n">
        <f aca="false">H78/$H$127</f>
        <v>0.000308030234470646</v>
      </c>
      <c r="J78" s="77" t="n">
        <f aca="false">I78*$E$129</f>
        <v>757670.939973593</v>
      </c>
      <c r="K78" s="215"/>
      <c r="L78" s="243" t="n">
        <v>2581402.6464</v>
      </c>
      <c r="M78" s="88" t="n">
        <f aca="false">L78/$L$127</f>
        <v>0.000369730558212342</v>
      </c>
      <c r="N78" s="77" t="n">
        <f aca="false">M78*$E$129</f>
        <v>909437.023476347</v>
      </c>
      <c r="O78" s="215"/>
      <c r="P78" s="244" t="n">
        <f aca="false">S_Equal</f>
        <v>0.0385694346851059</v>
      </c>
      <c r="Q78" s="13" t="n">
        <f aca="false">P78*D78</f>
        <v>994041.940557949</v>
      </c>
      <c r="R78" s="215"/>
      <c r="S78" s="211" t="n">
        <f aca="false">$D78/SUM($D$78:$D$81,$D$83)</f>
        <v>0.0564335925486818</v>
      </c>
      <c r="T78" s="245" t="n">
        <v>13618047.5365494</v>
      </c>
      <c r="U78" s="212" t="n">
        <f aca="false">$S78*T78</f>
        <v>768515.345986209</v>
      </c>
      <c r="V78" s="88" t="n">
        <f aca="false">U78/$U$127</f>
        <v>0.000475886731525075</v>
      </c>
      <c r="W78" s="245" t="n">
        <v>9412444.41242131</v>
      </c>
      <c r="X78" s="212" t="n">
        <f aca="false">$S78*W78</f>
        <v>531178.052857701</v>
      </c>
      <c r="Y78" s="88" t="n">
        <f aca="false">X78/$X$127</f>
        <v>0.00035041809637243</v>
      </c>
      <c r="Z78" s="88" t="n">
        <f aca="false">AVERAGE(V78,Y78)</f>
        <v>0.000413152413948753</v>
      </c>
      <c r="AA78" s="129" t="n">
        <f aca="false">$Z78*'Inputs and Assumptions'!$C$6</f>
        <v>1016243.02681476</v>
      </c>
      <c r="AB78" s="217"/>
      <c r="AC78" s="255" t="n">
        <f aca="false">CHOOSE(gen_choice,'Generation Calculations'!$O81,'Generation Calculations'!$P81)</f>
        <v>0.0762288670562007</v>
      </c>
      <c r="AD78" s="256" t="n">
        <f aca="false">EPS</f>
        <v>0.01</v>
      </c>
      <c r="AE78" s="247" t="n">
        <f aca="false">AG78-SUM(AC78:AD78,AF78)</f>
        <v>0.0201243242263501</v>
      </c>
      <c r="AF78" s="226" t="n">
        <f aca="false">AK78/$D78*-1</f>
        <v>3.0093199339322E-005</v>
      </c>
      <c r="AG78" s="226" t="n">
        <f aca="false">AL78/$D78</f>
        <v>0.10638328448189</v>
      </c>
      <c r="AH78" s="77" t="n">
        <f aca="false">$D78*AE78</f>
        <v>518659.982177633</v>
      </c>
      <c r="AI78" s="258" t="n">
        <f aca="false">CHOOSE(gen_choice,'Generation Calculations'!$M81,'Generation Calculations'!$N81)</f>
        <v>1964630.58257738</v>
      </c>
      <c r="AJ78" s="77" t="n">
        <f aca="false">$D78*AD78</f>
        <v>257727.9</v>
      </c>
      <c r="AK78" s="248" t="n">
        <f aca="false">CHOOSE(gen_choice,'Generation Calculations'!K81,'Generation Calculations'!L81)</f>
        <v>-775.585707000485</v>
      </c>
      <c r="AL78" s="77" t="n">
        <f aca="false">$D78*gen_equal</f>
        <v>2741794.05046201</v>
      </c>
      <c r="AM78" s="215"/>
      <c r="AN78" s="255" t="n">
        <f aca="false">CHOOSE(gen_choice,'Generation Calculations'!$O81,'Generation Calculations'!$P81)</f>
        <v>0.0762288670562007</v>
      </c>
      <c r="AO78" s="256" t="n">
        <f aca="false">EPS</f>
        <v>0.01</v>
      </c>
      <c r="AP78" s="247" t="n">
        <f aca="false">AR78-SUM(AN78:AO78,AQ78)</f>
        <v>0.00822769905983437</v>
      </c>
      <c r="AQ78" s="226" t="n">
        <f aca="false">AV78/$D78*-1</f>
        <v>3.0093199339322E-005</v>
      </c>
      <c r="AR78" s="226" t="n">
        <f aca="false">AW78/$D78</f>
        <v>0.0944866593153744</v>
      </c>
      <c r="AS78" s="77" t="n">
        <f aca="false">$D78*AP78</f>
        <v>212050.760052309</v>
      </c>
      <c r="AT78" s="77" t="n">
        <f aca="false">$AI78</f>
        <v>1964630.58257738</v>
      </c>
      <c r="AU78" s="77" t="n">
        <f aca="false">$D78*AO78</f>
        <v>257727.9</v>
      </c>
      <c r="AV78" s="77" t="n">
        <f aca="false">$AK78</f>
        <v>-775.585707000485</v>
      </c>
      <c r="AW78" s="77" t="n">
        <f aca="false">$I78*'Inputs and Assumptions'!$C$15</f>
        <v>2435184.82833669</v>
      </c>
      <c r="AX78" s="215"/>
      <c r="AY78" s="255" t="n">
        <f aca="false">CHOOSE(gen_choice,'Generation Calculations'!$O81,'Generation Calculations'!$P81)</f>
        <v>0.0762288670562007</v>
      </c>
      <c r="AZ78" s="256" t="n">
        <f aca="false">EPS</f>
        <v>0.01</v>
      </c>
      <c r="BA78" s="247" t="n">
        <f aca="false">BC78-SUM(AY78:AZ78,BB78)</f>
        <v>0.0271539498515742</v>
      </c>
      <c r="BB78" s="226" t="n">
        <f aca="false">BG78/$D78*-1</f>
        <v>3.0093199339322E-005</v>
      </c>
      <c r="BC78" s="226" t="n">
        <f aca="false">BH78/$D78</f>
        <v>0.113412910107114</v>
      </c>
      <c r="BD78" s="77" t="n">
        <f aca="false">$D78*BA78</f>
        <v>699833.047195152</v>
      </c>
      <c r="BE78" s="77" t="n">
        <f aca="false">$AI78</f>
        <v>1964630.58257738</v>
      </c>
      <c r="BF78" s="77" t="n">
        <f aca="false">$D78*AZ78</f>
        <v>257727.9</v>
      </c>
      <c r="BG78" s="77" t="n">
        <f aca="false">$AK78</f>
        <v>-775.585707000485</v>
      </c>
      <c r="BH78" s="77" t="n">
        <f aca="false">$M78*'Inputs and Assumptions'!$C$15</f>
        <v>2922967.11547953</v>
      </c>
      <c r="BI78" s="215"/>
      <c r="BJ78" s="255" t="n">
        <f aca="false">CHOOSE(gen_choice,'Generation Calculations'!$O81,'Generation Calculations'!$P81)</f>
        <v>0.0762288670562007</v>
      </c>
      <c r="BK78" s="256" t="n">
        <f aca="false">EPS</f>
        <v>0.01</v>
      </c>
      <c r="BL78" s="247" t="n">
        <f aca="false">BN78-SUM(BJ78:BK78,BM78)</f>
        <v>0.0133970011900601</v>
      </c>
      <c r="BM78" s="226" t="n">
        <f aca="false">BR78/$D78*-1</f>
        <v>3.0093199339322E-005</v>
      </c>
      <c r="BN78" s="226" t="n">
        <f aca="false">BS78/$D78</f>
        <v>0.0996559614456001</v>
      </c>
      <c r="BO78" s="77" t="n">
        <f aca="false">$D78*BL78</f>
        <v>345278.098301168</v>
      </c>
      <c r="BP78" s="77" t="n">
        <f aca="false">$AI78</f>
        <v>1964630.58257738</v>
      </c>
      <c r="BQ78" s="77" t="n">
        <f aca="false">$D78*BK78</f>
        <v>257727.9</v>
      </c>
      <c r="BR78" s="77" t="n">
        <f aca="false">$AK78</f>
        <v>-775.585707000485</v>
      </c>
      <c r="BS78" s="77" t="n">
        <f aca="false">D78*s_equal_gen</f>
        <v>2568412.16658555</v>
      </c>
      <c r="BT78" s="215"/>
      <c r="BU78" s="255" t="n">
        <f aca="false">CHOOSE(gen_choice,'Generation Calculations'!$O81,'Generation Calculations'!$P81)</f>
        <v>0.0762288670562007</v>
      </c>
      <c r="BV78" s="256" t="n">
        <f aca="false">EPS</f>
        <v>0.01</v>
      </c>
      <c r="BW78" s="247" t="n">
        <f aca="false">BY78-SUM(BU78:BV78,BX78)</f>
        <v>0.0404733764229895</v>
      </c>
      <c r="BX78" s="226" t="n">
        <f aca="false">CC78/$D78*-1</f>
        <v>3.0093199339322E-005</v>
      </c>
      <c r="BY78" s="226" t="n">
        <f aca="false">CD78/$D78</f>
        <v>0.12673233667853</v>
      </c>
      <c r="BZ78" s="77" t="n">
        <f aca="false">$D78*BW78</f>
        <v>1043111.83114066</v>
      </c>
      <c r="CA78" s="77" t="n">
        <f aca="false">$AI78</f>
        <v>1964630.58257738</v>
      </c>
      <c r="CB78" s="77" t="n">
        <f aca="false">$D78*BV78</f>
        <v>257727.9</v>
      </c>
      <c r="CC78" s="77" t="n">
        <f aca="false">$AK78</f>
        <v>-775.585707000485</v>
      </c>
      <c r="CD78" s="77" t="n">
        <f aca="false">$Z78*'Inputs and Assumptions'!$C$15</f>
        <v>3266245.89942504</v>
      </c>
    </row>
    <row r="79" customFormat="false" ht="12.75" hidden="false" customHeight="false" outlineLevel="0" collapsed="false">
      <c r="A79" s="94" t="s">
        <v>331</v>
      </c>
      <c r="B79" s="79" t="s">
        <v>231</v>
      </c>
      <c r="C79" s="79" t="n">
        <v>1</v>
      </c>
      <c r="D79" s="170" t="n">
        <f aca="false">'Test Year 2001 Sales and Revs.'!J82</f>
        <v>18241910</v>
      </c>
      <c r="E79" s="77" t="n">
        <f aca="false">surcharge_1*D79</f>
        <v>698096.442583011</v>
      </c>
      <c r="F79" s="215"/>
      <c r="G79" s="242" t="n">
        <v>0.03757</v>
      </c>
      <c r="H79" s="13" t="n">
        <f aca="false">G79*D79</f>
        <v>685348.5587</v>
      </c>
      <c r="I79" s="88" t="n">
        <f aca="false">H79/$H$127</f>
        <v>0.000218022954227789</v>
      </c>
      <c r="J79" s="77" t="n">
        <f aca="false">I79*$E$129</f>
        <v>536277.41104528</v>
      </c>
      <c r="K79" s="215"/>
      <c r="L79" s="243" t="n">
        <v>1827109.7056</v>
      </c>
      <c r="M79" s="88" t="n">
        <f aca="false">L79/$L$127</f>
        <v>0.000261694273967207</v>
      </c>
      <c r="N79" s="77" t="n">
        <f aca="false">M79*$E$129</f>
        <v>643697.02825823</v>
      </c>
      <c r="O79" s="215"/>
      <c r="P79" s="244" t="n">
        <f aca="false">S_Equal</f>
        <v>0.0385694346851059</v>
      </c>
      <c r="Q79" s="13" t="n">
        <f aca="false">P79*D79</f>
        <v>703580.156276579</v>
      </c>
      <c r="R79" s="215"/>
      <c r="S79" s="211" t="n">
        <f aca="false">$D79/SUM($D$78:$D$81,$D$83)</f>
        <v>0.0399435418613866</v>
      </c>
      <c r="T79" s="245" t="n">
        <v>13618047.5365494</v>
      </c>
      <c r="U79" s="212" t="n">
        <f aca="false">$S79*T79</f>
        <v>543953.051846513</v>
      </c>
      <c r="V79" s="88" t="n">
        <f aca="false">U79/$U$127</f>
        <v>0.000336831321974632</v>
      </c>
      <c r="W79" s="245" t="n">
        <v>9412444.41242131</v>
      </c>
      <c r="X79" s="212" t="n">
        <f aca="false">$S79*W79</f>
        <v>375966.367405525</v>
      </c>
      <c r="Y79" s="88" t="n">
        <f aca="false">X79/$X$127</f>
        <v>0.000248024966501384</v>
      </c>
      <c r="Z79" s="88" t="n">
        <f aca="false">AVERAGE(V79,Y79)</f>
        <v>0.000292428144238008</v>
      </c>
      <c r="AA79" s="129" t="n">
        <f aca="false">$Z79*'Inputs and Assumptions'!$C$6</f>
        <v>719294.024173652</v>
      </c>
      <c r="AB79" s="217"/>
      <c r="AC79" s="255" t="n">
        <f aca="false">CHOOSE(gen_choice,'Generation Calculations'!$O82,'Generation Calculations'!$P82)</f>
        <v>0.0694675822871879</v>
      </c>
      <c r="AD79" s="256" t="n">
        <f aca="false">EPS</f>
        <v>0.01</v>
      </c>
      <c r="AE79" s="247" t="n">
        <f aca="false">AG79-SUM(AC79:AD79,AF79)</f>
        <v>0.0269006879181825</v>
      </c>
      <c r="AF79" s="226" t="n">
        <f aca="false">AK79/$D79*-1</f>
        <v>1.50142765197808E-005</v>
      </c>
      <c r="AG79" s="226" t="n">
        <f aca="false">AL79/$D79</f>
        <v>0.10638328448189</v>
      </c>
      <c r="AH79" s="77" t="n">
        <f aca="false">$D79*AE79</f>
        <v>490719.927941572</v>
      </c>
      <c r="AI79" s="258" t="n">
        <f aca="false">CHOOSE(gen_choice,'Generation Calculations'!$M82,'Generation Calculations'!$N82)</f>
        <v>1267221.38400048</v>
      </c>
      <c r="AJ79" s="77" t="n">
        <f aca="false">$D79*AD79</f>
        <v>182419.1</v>
      </c>
      <c r="AK79" s="248" t="n">
        <f aca="false">CHOOSE(gen_choice,'Generation Calculations'!K82,'Generation Calculations'!L82)</f>
        <v>-273.889080988955</v>
      </c>
      <c r="AL79" s="77" t="n">
        <f aca="false">$D79*gen_equal</f>
        <v>1940634.30102304</v>
      </c>
      <c r="AM79" s="215"/>
      <c r="AN79" s="255" t="n">
        <f aca="false">CHOOSE(gen_choice,'Generation Calculations'!$O82,'Generation Calculations'!$P82)</f>
        <v>0.0694675822871879</v>
      </c>
      <c r="AO79" s="256" t="n">
        <f aca="false">EPS</f>
        <v>0.01</v>
      </c>
      <c r="AP79" s="247" t="n">
        <f aca="false">AR79-SUM(AN79:AO79,AQ79)</f>
        <v>0.0150040627516668</v>
      </c>
      <c r="AQ79" s="226" t="n">
        <f aca="false">AV79/$D79*-1</f>
        <v>1.50142765197808E-005</v>
      </c>
      <c r="AR79" s="226" t="n">
        <f aca="false">AW79/$D79</f>
        <v>0.0944866593153744</v>
      </c>
      <c r="AS79" s="77" t="n">
        <f aca="false">$D79*AP79</f>
        <v>273702.762350258</v>
      </c>
      <c r="AT79" s="77" t="n">
        <f aca="false">$AI79</f>
        <v>1267221.38400048</v>
      </c>
      <c r="AU79" s="77" t="n">
        <f aca="false">$D79*AO79</f>
        <v>182419.1</v>
      </c>
      <c r="AV79" s="77" t="n">
        <f aca="false">$AK79</f>
        <v>-273.889080988955</v>
      </c>
      <c r="AW79" s="77" t="n">
        <f aca="false">$I79*'Inputs and Assumptions'!$C$15</f>
        <v>1723617.13543172</v>
      </c>
      <c r="AX79" s="215"/>
      <c r="AY79" s="255" t="n">
        <f aca="false">CHOOSE(gen_choice,'Generation Calculations'!$O82,'Generation Calculations'!$P82)</f>
        <v>0.0694675822871879</v>
      </c>
      <c r="AZ79" s="256" t="n">
        <f aca="false">EPS</f>
        <v>0.01</v>
      </c>
      <c r="BA79" s="247" t="n">
        <f aca="false">BC79-SUM(AY79:AZ79,BB79)</f>
        <v>0.0339303135434066</v>
      </c>
      <c r="BB79" s="226" t="n">
        <f aca="false">BG79/$D79*-1</f>
        <v>1.50142765197808E-005</v>
      </c>
      <c r="BC79" s="226" t="n">
        <f aca="false">BH79/$D79</f>
        <v>0.113412910107114</v>
      </c>
      <c r="BD79" s="77" t="n">
        <f aca="false">$D79*BA79</f>
        <v>618953.725930604</v>
      </c>
      <c r="BE79" s="77" t="n">
        <f aca="false">$AI79</f>
        <v>1267221.38400048</v>
      </c>
      <c r="BF79" s="77" t="n">
        <f aca="false">$D79*AZ79</f>
        <v>182419.1</v>
      </c>
      <c r="BG79" s="77" t="n">
        <f aca="false">$AK79</f>
        <v>-273.889080988955</v>
      </c>
      <c r="BH79" s="77" t="n">
        <f aca="false">$M79*'Inputs and Assumptions'!$C$15</f>
        <v>2068868.09901207</v>
      </c>
      <c r="BI79" s="215"/>
      <c r="BJ79" s="255" t="n">
        <f aca="false">CHOOSE(gen_choice,'Generation Calculations'!$O82,'Generation Calculations'!$P82)</f>
        <v>0.0694675822871879</v>
      </c>
      <c r="BK79" s="256" t="n">
        <f aca="false">EPS</f>
        <v>0.01</v>
      </c>
      <c r="BL79" s="247" t="n">
        <f aca="false">BN79-SUM(BJ79:BK79,BM79)</f>
        <v>0.0201733648818925</v>
      </c>
      <c r="BM79" s="226" t="n">
        <f aca="false">BR79/$D79*-1</f>
        <v>1.50142765197808E-005</v>
      </c>
      <c r="BN79" s="226" t="n">
        <f aca="false">BS79/$D79</f>
        <v>0.0996559614456001</v>
      </c>
      <c r="BO79" s="77" t="n">
        <f aca="false">$D79*BL79</f>
        <v>368000.706572643</v>
      </c>
      <c r="BP79" s="77" t="n">
        <f aca="false">$AI79</f>
        <v>1267221.38400048</v>
      </c>
      <c r="BQ79" s="77" t="n">
        <f aca="false">$D79*BK79</f>
        <v>182419.1</v>
      </c>
      <c r="BR79" s="77" t="n">
        <f aca="false">$AK79</f>
        <v>-273.889080988955</v>
      </c>
      <c r="BS79" s="77" t="n">
        <f aca="false">D79*s_equal_gen</f>
        <v>1817915.07965411</v>
      </c>
      <c r="BT79" s="215"/>
      <c r="BU79" s="255" t="n">
        <f aca="false">CHOOSE(gen_choice,'Generation Calculations'!$O82,'Generation Calculations'!$P82)</f>
        <v>0.0694675822871879</v>
      </c>
      <c r="BV79" s="256" t="n">
        <f aca="false">EPS</f>
        <v>0.01</v>
      </c>
      <c r="BW79" s="247" t="n">
        <f aca="false">BY79-SUM(BU79:BV79,BX79)</f>
        <v>0.0472497401148219</v>
      </c>
      <c r="BX79" s="226" t="n">
        <f aca="false">CC79/$D79*-1</f>
        <v>1.50142765197808E-005</v>
      </c>
      <c r="BY79" s="226" t="n">
        <f aca="false">CD79/$D79</f>
        <v>0.12673233667853</v>
      </c>
      <c r="BZ79" s="77" t="n">
        <f aca="false">$D79*BW79</f>
        <v>861925.506697971</v>
      </c>
      <c r="CA79" s="77" t="n">
        <f aca="false">$AI79</f>
        <v>1267221.38400048</v>
      </c>
      <c r="CB79" s="77" t="n">
        <f aca="false">$D79*BV79</f>
        <v>182419.1</v>
      </c>
      <c r="CC79" s="77" t="n">
        <f aca="false">$AK79</f>
        <v>-273.889080988955</v>
      </c>
      <c r="CD79" s="77" t="n">
        <f aca="false">$Z79*'Inputs and Assumptions'!$C$15</f>
        <v>2311839.87977943</v>
      </c>
    </row>
    <row r="80" customFormat="false" ht="12.75" hidden="false" customHeight="false" outlineLevel="0" collapsed="false">
      <c r="A80" s="94" t="s">
        <v>332</v>
      </c>
      <c r="B80" s="79" t="s">
        <v>231</v>
      </c>
      <c r="C80" s="79" t="n">
        <v>1</v>
      </c>
      <c r="D80" s="170" t="n">
        <f aca="false">'Test Year 2001 Sales and Revs.'!J83</f>
        <v>374866115</v>
      </c>
      <c r="E80" s="77" t="n">
        <f aca="false">surcharge_1*D80</f>
        <v>14345685.3655354</v>
      </c>
      <c r="F80" s="215"/>
      <c r="G80" s="242" t="n">
        <f aca="false">G79</f>
        <v>0.03757</v>
      </c>
      <c r="H80" s="13" t="n">
        <f aca="false">G80*D80</f>
        <v>14083719.94055</v>
      </c>
      <c r="I80" s="88" t="n">
        <f aca="false">H80/$H$127</f>
        <v>0.00448031033111085</v>
      </c>
      <c r="J80" s="77" t="n">
        <f aca="false">I80*$E$129</f>
        <v>11020349.8230614</v>
      </c>
      <c r="K80" s="215"/>
      <c r="L80" s="243" t="n">
        <v>37546590.0784</v>
      </c>
      <c r="M80" s="88" t="n">
        <f aca="false">L80/$L$127</f>
        <v>0.00537774365731618</v>
      </c>
      <c r="N80" s="77" t="n">
        <f aca="false">M80*$E$129</f>
        <v>13227792.7157961</v>
      </c>
      <c r="O80" s="215"/>
      <c r="P80" s="244" t="n">
        <f aca="false">S_Equal</f>
        <v>0.0385694346851059</v>
      </c>
      <c r="Q80" s="13" t="n">
        <f aca="false">P80*D80</f>
        <v>14458374.1381519</v>
      </c>
      <c r="R80" s="215"/>
      <c r="S80" s="211" t="n">
        <f aca="false">$D80/SUM($D$78:$D$81,$D$83)</f>
        <v>0.820828540263484</v>
      </c>
      <c r="T80" s="245" t="n">
        <v>13618047.5365494</v>
      </c>
      <c r="U80" s="212" t="n">
        <f aca="false">$S80*T80</f>
        <v>11178082.0806646</v>
      </c>
      <c r="V80" s="88" t="n">
        <f aca="false">U80/$U$127</f>
        <v>0.00692178884113257</v>
      </c>
      <c r="W80" s="245" t="n">
        <v>9412444.41242131</v>
      </c>
      <c r="X80" s="212" t="n">
        <f aca="false">$S80*W80</f>
        <v>7726003.00735897</v>
      </c>
      <c r="Y80" s="88" t="n">
        <f aca="false">X80/$X$127</f>
        <v>0.00509684323710504</v>
      </c>
      <c r="Z80" s="88" t="n">
        <f aca="false">AVERAGE(V80,Y80)</f>
        <v>0.00600931603911881</v>
      </c>
      <c r="AA80" s="129" t="n">
        <f aca="false">$Z80*'Inputs and Assumptions'!$C$6</f>
        <v>14781289.6996363</v>
      </c>
      <c r="AB80" s="217"/>
      <c r="AC80" s="255" t="n">
        <f aca="false">CHOOSE(gen_choice,'Generation Calculations'!$O85,'Generation Calculations'!$P85)</f>
        <v>0.0721004868101439</v>
      </c>
      <c r="AD80" s="256" t="n">
        <f aca="false">EPS</f>
        <v>0.01</v>
      </c>
      <c r="AE80" s="247" t="n">
        <f aca="false">AG80-SUM(AC80:AD80,AF80)</f>
        <v>0.0242590947670295</v>
      </c>
      <c r="AF80" s="226" t="n">
        <f aca="false">AK80/$D80*-1</f>
        <v>2.3702904716646E-005</v>
      </c>
      <c r="AG80" s="226" t="n">
        <f aca="false">AL80/$D80</f>
        <v>0.10638328448189</v>
      </c>
      <c r="AH80" s="77" t="n">
        <f aca="false">$D80*AE80</f>
        <v>9093912.60873319</v>
      </c>
      <c r="AI80" s="258" t="n">
        <f aca="false">CHOOSE(gen_choice,'Generation Calculations'!$M83,'Generation Calculations'!$N83)</f>
        <v>0</v>
      </c>
      <c r="AJ80" s="77" t="n">
        <f aca="false">$D80*AD80</f>
        <v>3748661.15</v>
      </c>
      <c r="AK80" s="248" t="n">
        <f aca="false">CHOOSE(gen_choice,'Generation Calculations'!K83,'Generation Calculations'!L83)</f>
        <v>-8885.41580534425</v>
      </c>
      <c r="AL80" s="77" t="n">
        <f aca="false">$D80*gen_equal</f>
        <v>39879488.5546659</v>
      </c>
      <c r="AM80" s="215"/>
      <c r="AN80" s="255" t="n">
        <f aca="false">CHOOSE(gen_choice,'Generation Calculations'!$O85,'Generation Calculations'!$P85)</f>
        <v>0.0721004868101439</v>
      </c>
      <c r="AO80" s="256" t="n">
        <f aca="false">EPS</f>
        <v>0.01</v>
      </c>
      <c r="AP80" s="247" t="n">
        <f aca="false">AR80-SUM(AN80:AO80,AQ80)</f>
        <v>0.0123624696005138</v>
      </c>
      <c r="AQ80" s="226" t="n">
        <f aca="false">AV80/$D80*-1</f>
        <v>2.3702904716646E-005</v>
      </c>
      <c r="AR80" s="226" t="n">
        <f aca="false">AW80/$D80</f>
        <v>0.0944866593153744</v>
      </c>
      <c r="AS80" s="77" t="n">
        <f aca="false">$D80*AP80</f>
        <v>4634270.95095022</v>
      </c>
      <c r="AT80" s="77" t="n">
        <f aca="false">$AI80</f>
        <v>0</v>
      </c>
      <c r="AU80" s="77" t="n">
        <f aca="false">$D80*AO80</f>
        <v>3748661.15</v>
      </c>
      <c r="AV80" s="77" t="n">
        <f aca="false">$AK80</f>
        <v>-8885.41580534425</v>
      </c>
      <c r="AW80" s="77" t="n">
        <f aca="false">$I80*'Inputs and Assumptions'!$C$15</f>
        <v>35419846.896883</v>
      </c>
      <c r="AX80" s="215"/>
      <c r="AY80" s="255" t="n">
        <f aca="false">CHOOSE(gen_choice,'Generation Calculations'!$O85,'Generation Calculations'!$P85)</f>
        <v>0.0721004868101439</v>
      </c>
      <c r="AZ80" s="256" t="n">
        <f aca="false">EPS</f>
        <v>0.01</v>
      </c>
      <c r="BA80" s="247" t="n">
        <f aca="false">BC80-SUM(AY80:AZ80,BB80)</f>
        <v>0.0312887203922537</v>
      </c>
      <c r="BB80" s="226" t="n">
        <f aca="false">BG80/$D80*-1</f>
        <v>2.3702904716646E-005</v>
      </c>
      <c r="BC80" s="226" t="n">
        <f aca="false">BH80/$D80</f>
        <v>0.113412910107114</v>
      </c>
      <c r="BD80" s="77" t="n">
        <f aca="false">$D80*BA80</f>
        <v>11729081.0567654</v>
      </c>
      <c r="BE80" s="77" t="n">
        <f aca="false">$AI80</f>
        <v>0</v>
      </c>
      <c r="BF80" s="77" t="n">
        <f aca="false">$D80*AZ80</f>
        <v>3748661.15</v>
      </c>
      <c r="BG80" s="77" t="n">
        <f aca="false">$AK80</f>
        <v>-8885.41580534425</v>
      </c>
      <c r="BH80" s="77" t="n">
        <f aca="false">$M80*'Inputs and Assumptions'!$C$15</f>
        <v>42514657.0026982</v>
      </c>
      <c r="BI80" s="215"/>
      <c r="BJ80" s="255" t="n">
        <f aca="false">CHOOSE(gen_choice,'Generation Calculations'!$O85,'Generation Calculations'!$P85)</f>
        <v>0.0721004868101439</v>
      </c>
      <c r="BK80" s="256" t="n">
        <f aca="false">EPS</f>
        <v>0.01</v>
      </c>
      <c r="BL80" s="247" t="n">
        <f aca="false">BN80-SUM(BJ80:BK80,BM80)</f>
        <v>0.0175317717307395</v>
      </c>
      <c r="BM80" s="226" t="n">
        <f aca="false">BR80/$D80*-1</f>
        <v>2.3702904716646E-005</v>
      </c>
      <c r="BN80" s="226" t="n">
        <f aca="false">BS80/$D80</f>
        <v>0.0996559614456001</v>
      </c>
      <c r="BO80" s="77" t="n">
        <f aca="false">$D80*BL80</f>
        <v>6572067.15776915</v>
      </c>
      <c r="BP80" s="77" t="n">
        <f aca="false">$AI80</f>
        <v>0</v>
      </c>
      <c r="BQ80" s="77" t="n">
        <f aca="false">$D80*BK80</f>
        <v>3748661.15</v>
      </c>
      <c r="BR80" s="77" t="n">
        <f aca="false">$AK80</f>
        <v>-8885.41580534425</v>
      </c>
      <c r="BS80" s="77" t="n">
        <f aca="false">D80*s_equal_gen</f>
        <v>37357643.1037019</v>
      </c>
      <c r="BT80" s="215"/>
      <c r="BU80" s="255" t="n">
        <f aca="false">CHOOSE(gen_choice,'Generation Calculations'!$O85,'Generation Calculations'!$P85)</f>
        <v>0.0721004868101439</v>
      </c>
      <c r="BV80" s="256" t="n">
        <f aca="false">EPS</f>
        <v>0.01</v>
      </c>
      <c r="BW80" s="247" t="n">
        <f aca="false">BY80-SUM(BU80:BV80,BX80)</f>
        <v>0.044608146963669</v>
      </c>
      <c r="BX80" s="226" t="n">
        <f aca="false">CC80/$D80*-1</f>
        <v>2.3702904716646E-005</v>
      </c>
      <c r="BY80" s="226" t="n">
        <f aca="false">CD80/$D80</f>
        <v>0.12673233667853</v>
      </c>
      <c r="BZ80" s="77" t="n">
        <f aca="false">$D80*BW80</f>
        <v>16722082.7496196</v>
      </c>
      <c r="CA80" s="77" t="n">
        <f aca="false">$AI80</f>
        <v>0</v>
      </c>
      <c r="CB80" s="77" t="n">
        <f aca="false">$D80*BV80</f>
        <v>3748661.15</v>
      </c>
      <c r="CC80" s="77" t="n">
        <f aca="false">$AK80</f>
        <v>-8885.41580534425</v>
      </c>
      <c r="CD80" s="77" t="n">
        <f aca="false">$Z80*'Inputs and Assumptions'!$C$15</f>
        <v>47507658.6955524</v>
      </c>
    </row>
    <row r="81" customFormat="false" ht="12.75" hidden="false" customHeight="false" outlineLevel="0" collapsed="false">
      <c r="A81" s="94" t="s">
        <v>332</v>
      </c>
      <c r="B81" s="79" t="s">
        <v>234</v>
      </c>
      <c r="C81" s="79" t="n">
        <v>2</v>
      </c>
      <c r="D81" s="170" t="n">
        <f aca="false">'Test Year 2001 Sales and Revs.'!J84</f>
        <v>358622</v>
      </c>
      <c r="E81" s="77" t="n">
        <f aca="false">surcharge_1*D81</f>
        <v>13724.0421881264</v>
      </c>
      <c r="F81" s="215"/>
      <c r="G81" s="242" t="n">
        <v>0.03574</v>
      </c>
      <c r="H81" s="13" t="n">
        <f aca="false">G81*D81</f>
        <v>12817.15028</v>
      </c>
      <c r="I81" s="88" t="n">
        <f aca="false">H81/$H$127</f>
        <v>4.07738942958857E-006</v>
      </c>
      <c r="J81" s="77" t="n">
        <f aca="false">I81*$E$129</f>
        <v>10029.2735453836</v>
      </c>
      <c r="K81" s="215"/>
      <c r="L81" s="243" t="n">
        <v>34147.98684</v>
      </c>
      <c r="M81" s="88" t="n">
        <f aca="false">L81/$L$127</f>
        <v>4.89096664318849E-006</v>
      </c>
      <c r="N81" s="77" t="n">
        <f aca="false">M81*$E$129</f>
        <v>12030.4531153978</v>
      </c>
      <c r="O81" s="215"/>
      <c r="P81" s="267" t="n">
        <f aca="false">P_Equal</f>
        <v>0.0376807380333753</v>
      </c>
      <c r="Q81" s="13" t="n">
        <f aca="false">P81*D81</f>
        <v>13513.1416350051</v>
      </c>
      <c r="R81" s="215"/>
      <c r="S81" s="211" t="n">
        <f aca="false">$D81/SUM($D$78:$D$81,$D$83)</f>
        <v>0.000785259485953728</v>
      </c>
      <c r="T81" s="245" t="n">
        <v>13618047.5365494</v>
      </c>
      <c r="U81" s="212" t="n">
        <f aca="false">$S81*T81</f>
        <v>10693.7010082442</v>
      </c>
      <c r="V81" s="88" t="n">
        <f aca="false">U81/$U$127</f>
        <v>6.62184619643374E-006</v>
      </c>
      <c r="W81" s="245" t="n">
        <v>9412444.41242131</v>
      </c>
      <c r="X81" s="212" t="n">
        <f aca="false">$S81*W81</f>
        <v>7391.211260866</v>
      </c>
      <c r="Y81" s="88" t="n">
        <f aca="false">X81/$X$127</f>
        <v>4.87598116297357E-006</v>
      </c>
      <c r="Z81" s="88" t="n">
        <f aca="false">AVERAGE(V81,Y81)</f>
        <v>5.74891367970366E-006</v>
      </c>
      <c r="AA81" s="129" t="n">
        <f aca="false">$Z81*'Inputs and Assumptions'!$C$6</f>
        <v>14140.7704312325</v>
      </c>
      <c r="AB81" s="217"/>
      <c r="AC81" s="17" t="n">
        <f aca="false">AC80</f>
        <v>0.0721004868101439</v>
      </c>
      <c r="AD81" s="249" t="n">
        <f aca="false">EPS</f>
        <v>0.01</v>
      </c>
      <c r="AE81" s="226" t="n">
        <f aca="false">AG81-SUM(AC81:AD81,AF81)</f>
        <v>0.0242827976717462</v>
      </c>
      <c r="AF81" s="226" t="n">
        <f aca="false">AK81/$D81*-1</f>
        <v>-0</v>
      </c>
      <c r="AG81" s="226" t="n">
        <f aca="false">AL81/$D81</f>
        <v>0.10638328448189</v>
      </c>
      <c r="AH81" s="77" t="n">
        <f aca="false">$D81*AE81</f>
        <v>8708.34546663696</v>
      </c>
      <c r="AI81" s="258" t="n">
        <f aca="false">CHOOSE(gen_choice,'Generation Calculations'!$M84,'Generation Calculations'!$N84)</f>
        <v>0</v>
      </c>
      <c r="AJ81" s="77" t="n">
        <f aca="false">$D81*AD81</f>
        <v>3586.22</v>
      </c>
      <c r="AK81" s="248"/>
      <c r="AL81" s="77" t="n">
        <f aca="false">$D81*gen_equal</f>
        <v>38151.3862474644</v>
      </c>
      <c r="AM81" s="215"/>
      <c r="AN81" s="17" t="n">
        <f aca="false">AN80</f>
        <v>0.0721004868101439</v>
      </c>
      <c r="AO81" s="249" t="n">
        <f aca="false">EPS</f>
        <v>0.01</v>
      </c>
      <c r="AP81" s="226" t="n">
        <f aca="false">AR81-SUM(AN81:AO81,AQ81)</f>
        <v>0.00778381459873236</v>
      </c>
      <c r="AQ81" s="226" t="n">
        <f aca="false">AV81/$D81*-1</f>
        <v>-0</v>
      </c>
      <c r="AR81" s="226" t="n">
        <f aca="false">AW81/$D81</f>
        <v>0.0898843014088763</v>
      </c>
      <c r="AS81" s="77" t="n">
        <f aca="false">$D81*AP81</f>
        <v>2791.4471590266</v>
      </c>
      <c r="AT81" s="77"/>
      <c r="AU81" s="77" t="n">
        <f aca="false">$D81*AO81</f>
        <v>3586.22</v>
      </c>
      <c r="AV81" s="77" t="n">
        <f aca="false">$AK81</f>
        <v>0</v>
      </c>
      <c r="AW81" s="77" t="n">
        <f aca="false">$I81*'Inputs and Assumptions'!$C$15</f>
        <v>32234.487939854</v>
      </c>
      <c r="AX81" s="215"/>
      <c r="AY81" s="17" t="n">
        <f aca="false">AY80</f>
        <v>0.0721004868101439</v>
      </c>
      <c r="AZ81" s="249" t="n">
        <f aca="false">EPS</f>
        <v>0.01</v>
      </c>
      <c r="BA81" s="226" t="n">
        <f aca="false">BC81-SUM(AY81:AZ81,BB81)</f>
        <v>0.025718775374355</v>
      </c>
      <c r="BB81" s="226" t="n">
        <f aca="false">BG81/$D81*-1</f>
        <v>-0</v>
      </c>
      <c r="BC81" s="226" t="n">
        <f aca="false">BH81/$D81</f>
        <v>0.107819262184499</v>
      </c>
      <c r="BD81" s="77" t="n">
        <f aca="false">$D81*BA81</f>
        <v>9223.31866230194</v>
      </c>
      <c r="BE81" s="77" t="n">
        <f aca="false">$AI81</f>
        <v>0</v>
      </c>
      <c r="BF81" s="77" t="n">
        <f aca="false">$D81*AZ81</f>
        <v>3586.22</v>
      </c>
      <c r="BG81" s="77" t="n">
        <f aca="false">$AK81</f>
        <v>0</v>
      </c>
      <c r="BH81" s="77" t="n">
        <f aca="false">$M81*'Inputs and Assumptions'!$C$15</f>
        <v>38666.3594431294</v>
      </c>
      <c r="BI81" s="215"/>
      <c r="BJ81" s="17" t="n">
        <f aca="false">BJ80</f>
        <v>0.0721004868101439</v>
      </c>
      <c r="BK81" s="249" t="n">
        <f aca="false">EPS</f>
        <v>0.01</v>
      </c>
      <c r="BL81" s="226" t="n">
        <f aca="false">BN81-SUM(BJ81:BK81,BM81)</f>
        <v>0.0152592543256497</v>
      </c>
      <c r="BM81" s="226" t="n">
        <f aca="false">BR81/$D81*-1</f>
        <v>-0</v>
      </c>
      <c r="BN81" s="226" t="n">
        <f aca="false">BS81/$D81</f>
        <v>0.0973597411357937</v>
      </c>
      <c r="BO81" s="77" t="n">
        <f aca="false">$D81*BL81</f>
        <v>5472.30430477316</v>
      </c>
      <c r="BP81" s="77" t="n">
        <f aca="false">$AI81</f>
        <v>0</v>
      </c>
      <c r="BQ81" s="77" t="n">
        <f aca="false">$D81*BK81</f>
        <v>3586.22</v>
      </c>
      <c r="BR81" s="77" t="n">
        <f aca="false">$AK81</f>
        <v>0</v>
      </c>
      <c r="BS81" s="77" t="n">
        <f aca="false">D81*P_equal_gen</f>
        <v>34915.3450856006</v>
      </c>
      <c r="BT81" s="215"/>
      <c r="BU81" s="17" t="n">
        <f aca="false">BU80</f>
        <v>0.0721004868101439</v>
      </c>
      <c r="BV81" s="249" t="n">
        <f aca="false">EPS</f>
        <v>0.01</v>
      </c>
      <c r="BW81" s="226" t="n">
        <f aca="false">BY81-SUM(BU81:BV81,BX81)</f>
        <v>0.0446318498683856</v>
      </c>
      <c r="BX81" s="226" t="n">
        <f aca="false">CC81/$D81*-1</f>
        <v>-0</v>
      </c>
      <c r="BY81" s="226" t="n">
        <f aca="false">CD81/$D81</f>
        <v>0.12673233667853</v>
      </c>
      <c r="BZ81" s="77" t="n">
        <f aca="false">$D81*BW81</f>
        <v>16005.9632635002</v>
      </c>
      <c r="CA81" s="77" t="n">
        <f aca="false">$AI81</f>
        <v>0</v>
      </c>
      <c r="CB81" s="77" t="n">
        <f aca="false">$D81*BV81</f>
        <v>3586.22</v>
      </c>
      <c r="CC81" s="77" t="n">
        <f aca="false">$AK81</f>
        <v>0</v>
      </c>
      <c r="CD81" s="77" t="n">
        <f aca="false">$Z81*'Inputs and Assumptions'!$C$15</f>
        <v>45449.0040443276</v>
      </c>
    </row>
    <row r="82" customFormat="false" ht="12.75" hidden="false" customHeight="false" outlineLevel="0" collapsed="false">
      <c r="A82" s="94" t="s">
        <v>333</v>
      </c>
      <c r="B82" s="79"/>
      <c r="C82" s="79"/>
      <c r="D82" s="159" t="n">
        <f aca="false">SUM(D80:D81)</f>
        <v>375224737</v>
      </c>
      <c r="E82" s="77" t="n">
        <f aca="false">surcharge_1*D82</f>
        <v>14359409.4077235</v>
      </c>
      <c r="F82" s="215"/>
      <c r="G82" s="242"/>
      <c r="H82" s="13" t="n">
        <f aca="false">SUM(H80:H81)</f>
        <v>14096537.09083</v>
      </c>
      <c r="I82" s="88" t="n">
        <f aca="false">H82/$H$127</f>
        <v>0.00448438772054043</v>
      </c>
      <c r="J82" s="77" t="n">
        <f aca="false">I82*$E$129</f>
        <v>11030379.0966068</v>
      </c>
      <c r="K82" s="215"/>
      <c r="L82" s="243" t="n">
        <v>37580738.06524</v>
      </c>
      <c r="M82" s="88" t="n">
        <f aca="false">L82/$L$127</f>
        <v>0.00538263462395937</v>
      </c>
      <c r="N82" s="77" t="n">
        <f aca="false">M82*$E$129</f>
        <v>13239823.1689115</v>
      </c>
      <c r="O82" s="215"/>
      <c r="P82" s="244"/>
      <c r="Q82" s="50" t="n">
        <f aca="false">SUM(Q80:Q81)</f>
        <v>14471887.2797869</v>
      </c>
      <c r="R82" s="215"/>
      <c r="T82" s="245"/>
      <c r="V82" s="88" t="n">
        <f aca="false">U82/$U$127</f>
        <v>0</v>
      </c>
      <c r="W82" s="245"/>
      <c r="X82" s="212"/>
      <c r="Y82" s="88" t="n">
        <f aca="false">X82/$X$127</f>
        <v>0</v>
      </c>
      <c r="Z82" s="88"/>
      <c r="AA82" s="77" t="n">
        <f aca="false">SUM(AA80:AA81)</f>
        <v>14795430.4700676</v>
      </c>
      <c r="AB82" s="217"/>
      <c r="AC82" s="19"/>
      <c r="AD82" s="249"/>
      <c r="AE82" s="226"/>
      <c r="AF82" s="226"/>
      <c r="AG82" s="226"/>
      <c r="AH82" s="77" t="n">
        <f aca="false">SUM(AH80:AH81)</f>
        <v>9102620.95419983</v>
      </c>
      <c r="AI82" s="258" t="n">
        <f aca="false">CHOOSE(gen_choice,'Generation Calculations'!$M85,'Generation Calculations'!$N85)</f>
        <v>27053886.2009082</v>
      </c>
      <c r="AJ82" s="77" t="n">
        <f aca="false">SUM(AJ80:AJ81)</f>
        <v>3752247.37</v>
      </c>
      <c r="AK82" s="77" t="n">
        <f aca="false">SUM(AK80:AK81)</f>
        <v>-8885.41580534425</v>
      </c>
      <c r="AL82" s="77" t="n">
        <f aca="false">SUM(AL80:AL81)</f>
        <v>39917639.9409134</v>
      </c>
      <c r="AM82" s="215"/>
      <c r="AN82" s="19"/>
      <c r="AO82" s="249"/>
      <c r="AP82" s="226"/>
      <c r="AQ82" s="226"/>
      <c r="AR82" s="226"/>
      <c r="AS82" s="77" t="n">
        <f aca="false">SUM(AS80:AS81)</f>
        <v>4637062.39810925</v>
      </c>
      <c r="AT82" s="77" t="n">
        <f aca="false">$AI82</f>
        <v>27053886.2009082</v>
      </c>
      <c r="AU82" s="77" t="n">
        <f aca="false">SUM(AU80:AU81)</f>
        <v>3752247.37</v>
      </c>
      <c r="AV82" s="77" t="n">
        <f aca="false">$AK82</f>
        <v>-8885.41580534425</v>
      </c>
      <c r="AW82" s="77" t="n">
        <f aca="false">SUM(AW80:AW81)</f>
        <v>35452081.3848228</v>
      </c>
      <c r="AX82" s="215"/>
      <c r="AY82" s="19"/>
      <c r="AZ82" s="249"/>
      <c r="BA82" s="226"/>
      <c r="BB82" s="226"/>
      <c r="BC82" s="226"/>
      <c r="BD82" s="77" t="n">
        <f aca="false">SUM(BD80:BD81)</f>
        <v>11738304.3754277</v>
      </c>
      <c r="BE82" s="77" t="n">
        <f aca="false">$AI82</f>
        <v>27053886.2009082</v>
      </c>
      <c r="BF82" s="77" t="n">
        <f aca="false">SUM(BF80:BF81)</f>
        <v>3752247.37</v>
      </c>
      <c r="BG82" s="77" t="n">
        <f aca="false">$AK82</f>
        <v>-8885.41580534425</v>
      </c>
      <c r="BH82" s="77" t="n">
        <f aca="false">SUM(BH80:BH81)</f>
        <v>42553323.3621413</v>
      </c>
      <c r="BI82" s="215"/>
      <c r="BJ82" s="19"/>
      <c r="BK82" s="249"/>
      <c r="BL82" s="226"/>
      <c r="BM82" s="226"/>
      <c r="BN82" s="226"/>
      <c r="BO82" s="77" t="n">
        <f aca="false">SUM(BO80:BO81)</f>
        <v>6577539.46207393</v>
      </c>
      <c r="BP82" s="77" t="n">
        <f aca="false">$AI82</f>
        <v>27053886.2009082</v>
      </c>
      <c r="BQ82" s="77" t="n">
        <f aca="false">SUM(BQ80:BQ81)</f>
        <v>3752247.37</v>
      </c>
      <c r="BR82" s="77" t="n">
        <f aca="false">$AK82</f>
        <v>-8885.41580534425</v>
      </c>
      <c r="BS82" s="77" t="n">
        <f aca="false">SUM(BS80:BS81)</f>
        <v>37392558.4487875</v>
      </c>
      <c r="BT82" s="215"/>
      <c r="BU82" s="19"/>
      <c r="BV82" s="249"/>
      <c r="BW82" s="226"/>
      <c r="BX82" s="226"/>
      <c r="BY82" s="226"/>
      <c r="BZ82" s="77" t="n">
        <f aca="false">SUM(BZ80:BZ81)</f>
        <v>16738088.7128831</v>
      </c>
      <c r="CA82" s="77" t="n">
        <f aca="false">$AI82</f>
        <v>27053886.2009082</v>
      </c>
      <c r="CB82" s="77" t="n">
        <f aca="false">SUM(CB80:CB81)</f>
        <v>3752247.37</v>
      </c>
      <c r="CC82" s="77" t="n">
        <f aca="false">$AK82</f>
        <v>-8885.41580534425</v>
      </c>
      <c r="CD82" s="77" t="n">
        <f aca="false">SUM(CD80:CD81)</f>
        <v>47553107.6995967</v>
      </c>
    </row>
    <row r="83" customFormat="false" ht="12.75" hidden="false" customHeight="false" outlineLevel="0" collapsed="false">
      <c r="A83" s="94" t="s">
        <v>334</v>
      </c>
      <c r="B83" s="79" t="s">
        <v>231</v>
      </c>
      <c r="C83" s="79" t="n">
        <v>1</v>
      </c>
      <c r="D83" s="170" t="n">
        <f aca="false">'Test Year 2001 Sales and Revs.'!J86</f>
        <v>37452913</v>
      </c>
      <c r="E83" s="77" t="n">
        <f aca="false">surcharge_1*D83</f>
        <v>1433278.93458914</v>
      </c>
      <c r="F83" s="215"/>
      <c r="G83" s="242" t="n">
        <f aca="false">G79</f>
        <v>0.03757</v>
      </c>
      <c r="H83" s="13" t="n">
        <f aca="false">G83*D83</f>
        <v>1407105.94141</v>
      </c>
      <c r="I83" s="88" t="n">
        <f aca="false">H83/$H$127</f>
        <v>0.000447628276682451</v>
      </c>
      <c r="J83" s="77" t="n">
        <f aca="false">I83*$E$129</f>
        <v>1101044.31058722</v>
      </c>
      <c r="K83" s="215"/>
      <c r="L83" s="243" t="n">
        <v>3751283.76608</v>
      </c>
      <c r="M83" s="88" t="n">
        <f aca="false">L83/$L$127</f>
        <v>0.000537290934748169</v>
      </c>
      <c r="N83" s="77" t="n">
        <f aca="false">M83*$E$129</f>
        <v>1321590.16230833</v>
      </c>
      <c r="O83" s="215"/>
      <c r="P83" s="244" t="n">
        <f aca="false">S_Equal</f>
        <v>0.0385694346851059</v>
      </c>
      <c r="Q83" s="13" t="n">
        <f aca="false">P83*D83</f>
        <v>1444537.68172045</v>
      </c>
      <c r="R83" s="215"/>
      <c r="S83" s="211" t="n">
        <f aca="false">$D83/SUM($D$78:$D$81,$D$83)</f>
        <v>0.0820090658404941</v>
      </c>
      <c r="T83" s="245" t="n">
        <v>13618047.5365494</v>
      </c>
      <c r="U83" s="212" t="n">
        <f aca="false">$S83*T83</f>
        <v>1116803.35704386</v>
      </c>
      <c r="V83" s="88" t="n">
        <f aca="false">U83/$U$127</f>
        <v>0.000691556651556273</v>
      </c>
      <c r="W83" s="245" t="n">
        <v>9412444.41242131</v>
      </c>
      <c r="X83" s="212" t="n">
        <f aca="false">$S83*W83</f>
        <v>771905.773538251</v>
      </c>
      <c r="Y83" s="88" t="n">
        <f aca="false">X83/$X$127</f>
        <v>0.000509226144203334</v>
      </c>
      <c r="Z83" s="88" t="n">
        <f aca="false">AVERAGE(V83,Y83)</f>
        <v>0.000600391397879803</v>
      </c>
      <c r="AA83" s="129" t="n">
        <f aca="false">$Z83*'Inputs and Assumptions'!$C$6</f>
        <v>1476800.20945152</v>
      </c>
      <c r="AB83" s="217"/>
      <c r="AC83" s="255" t="n">
        <f aca="false">CHOOSE(gen_choice,'Generation Calculations'!$O86,'Generation Calculations'!$P86)</f>
        <v>0.0603694536504785</v>
      </c>
      <c r="AD83" s="256" t="n">
        <f aca="false">EPS</f>
        <v>0.01</v>
      </c>
      <c r="AE83" s="247" t="n">
        <f aca="false">AG83-SUM(AC83:AD83,AF83)</f>
        <v>0.0359487562752832</v>
      </c>
      <c r="AF83" s="226" t="n">
        <f aca="false">AK83/$D83*-1</f>
        <v>6.50745561285025E-005</v>
      </c>
      <c r="AG83" s="226" t="n">
        <f aca="false">AL83/$D83</f>
        <v>0.10638328448189</v>
      </c>
      <c r="AH83" s="77" t="n">
        <f aca="false">$D83*AE83</f>
        <v>1346385.64123638</v>
      </c>
      <c r="AI83" s="258" t="n">
        <f aca="false">CHOOSE(gen_choice,'Generation Calculations'!$M86,'Generation Calculations'!$N86)</f>
        <v>2261011.8954289</v>
      </c>
      <c r="AJ83" s="77" t="n">
        <f aca="false">$D83*AD83</f>
        <v>374529.13</v>
      </c>
      <c r="AK83" s="248" t="n">
        <f aca="false">CHOOSE(gen_choice,'Generation Calculations'!K86,'Generation Calculations'!L86)</f>
        <v>-2437.23168919442</v>
      </c>
      <c r="AL83" s="77" t="n">
        <f aca="false">$D83*gen_equal</f>
        <v>3984363.89835448</v>
      </c>
      <c r="AM83" s="215"/>
      <c r="AN83" s="255" t="n">
        <f aca="false">CHOOSE(gen_choice,'Generation Calculations'!$O86,'Generation Calculations'!$P86)</f>
        <v>0.0603694536504785</v>
      </c>
      <c r="AO83" s="256" t="n">
        <f aca="false">EPS</f>
        <v>0.01</v>
      </c>
      <c r="AP83" s="247" t="n">
        <f aca="false">AR83-SUM(AN83:AO83,AQ83)</f>
        <v>0.0240521311087675</v>
      </c>
      <c r="AQ83" s="226" t="n">
        <f aca="false">AV83/$D83*-1</f>
        <v>6.50745561285025E-005</v>
      </c>
      <c r="AR83" s="226" t="n">
        <f aca="false">AW83/$D83</f>
        <v>0.0944866593153744</v>
      </c>
      <c r="AS83" s="77" t="n">
        <f aca="false">$D83*AP83</f>
        <v>900822.373881261</v>
      </c>
      <c r="AT83" s="77" t="n">
        <f aca="false">$AI83</f>
        <v>2261011.8954289</v>
      </c>
      <c r="AU83" s="77" t="n">
        <f aca="false">$D83*AO83</f>
        <v>374529.13</v>
      </c>
      <c r="AV83" s="77" t="n">
        <f aca="false">$AK83</f>
        <v>-2437.23168919442</v>
      </c>
      <c r="AW83" s="77" t="n">
        <f aca="false">$I83*'Inputs and Assumptions'!$C$15</f>
        <v>3538800.63099936</v>
      </c>
      <c r="AX83" s="215"/>
      <c r="AY83" s="255" t="n">
        <f aca="false">CHOOSE(gen_choice,'Generation Calculations'!$O86,'Generation Calculations'!$P86)</f>
        <v>0.0603694536504785</v>
      </c>
      <c r="AZ83" s="256" t="n">
        <f aca="false">EPS</f>
        <v>0.01</v>
      </c>
      <c r="BA83" s="247" t="n">
        <f aca="false">BC83-SUM(AY83:AZ83,BB83)</f>
        <v>0.0429783819005073</v>
      </c>
      <c r="BB83" s="226" t="n">
        <f aca="false">BG83/$D83*-1</f>
        <v>6.50745561285025E-005</v>
      </c>
      <c r="BC83" s="226" t="n">
        <f aca="false">BH83/$D83</f>
        <v>0.113412910107114</v>
      </c>
      <c r="BD83" s="77" t="n">
        <f aca="false">$D83*BA83</f>
        <v>1609665.59820047</v>
      </c>
      <c r="BE83" s="77" t="n">
        <f aca="false">$AI83</f>
        <v>2261011.8954289</v>
      </c>
      <c r="BF83" s="77" t="n">
        <f aca="false">$D83*AZ83</f>
        <v>374529.13</v>
      </c>
      <c r="BG83" s="77" t="n">
        <f aca="false">$AK83</f>
        <v>-2437.23168919442</v>
      </c>
      <c r="BH83" s="77" t="n">
        <f aca="false">$M83*'Inputs and Assumptions'!$C$15</f>
        <v>4247643.85531857</v>
      </c>
      <c r="BI83" s="215"/>
      <c r="BJ83" s="255" t="n">
        <f aca="false">CHOOSE(gen_choice,'Generation Calculations'!$O86,'Generation Calculations'!$P86)</f>
        <v>0.0603694536504785</v>
      </c>
      <c r="BK83" s="256" t="n">
        <f aca="false">EPS</f>
        <v>0.01</v>
      </c>
      <c r="BL83" s="247" t="n">
        <f aca="false">BN83-SUM(BJ83:BK83,BM83)</f>
        <v>0.0292214332389932</v>
      </c>
      <c r="BM83" s="226" t="n">
        <f aca="false">BR83/$D83*-1</f>
        <v>6.50745561285025E-005</v>
      </c>
      <c r="BN83" s="226" t="n">
        <f aca="false">BS83/$D83</f>
        <v>0.0996559614456001</v>
      </c>
      <c r="BO83" s="77" t="n">
        <f aca="false">$D83*BL83</f>
        <v>1094427.79683532</v>
      </c>
      <c r="BP83" s="77" t="n">
        <f aca="false">$AI83</f>
        <v>2261011.8954289</v>
      </c>
      <c r="BQ83" s="77" t="n">
        <f aca="false">$D83*BK83</f>
        <v>374529.13</v>
      </c>
      <c r="BR83" s="77" t="n">
        <f aca="false">$AK83</f>
        <v>-2437.23168919442</v>
      </c>
      <c r="BS83" s="77" t="n">
        <f aca="false">D83*s_equal_gen</f>
        <v>3732406.05395342</v>
      </c>
      <c r="BT83" s="215"/>
      <c r="BU83" s="255" t="n">
        <f aca="false">CHOOSE(gen_choice,'Generation Calculations'!$O86,'Generation Calculations'!$P86)</f>
        <v>0.0603694536504785</v>
      </c>
      <c r="BV83" s="256" t="n">
        <f aca="false">EPS</f>
        <v>0.01</v>
      </c>
      <c r="BW83" s="247" t="n">
        <f aca="false">BY83-SUM(BU83:BV83,BX83)</f>
        <v>0.0562978084719225</v>
      </c>
      <c r="BX83" s="226" t="n">
        <f aca="false">CC83/$D83*-1</f>
        <v>6.50745561285025E-005</v>
      </c>
      <c r="BY83" s="226" t="n">
        <f aca="false">CD83/$D83</f>
        <v>0.126732336678529</v>
      </c>
      <c r="BZ83" s="77" t="n">
        <f aca="false">$D83*BW83</f>
        <v>2108516.92278958</v>
      </c>
      <c r="CA83" s="77" t="n">
        <f aca="false">$AI83</f>
        <v>2261011.8954289</v>
      </c>
      <c r="CB83" s="77" t="n">
        <f aca="false">$D83*BV83</f>
        <v>374529.13</v>
      </c>
      <c r="CC83" s="77" t="n">
        <f aca="false">$AK83</f>
        <v>-2437.23168919442</v>
      </c>
      <c r="CD83" s="77" t="n">
        <f aca="false">$Z83*'Inputs and Assumptions'!$C$15</f>
        <v>4746495.17990767</v>
      </c>
    </row>
    <row r="84" customFormat="false" ht="12.75" hidden="false" customHeight="false" outlineLevel="0" collapsed="false">
      <c r="A84" s="97" t="s">
        <v>335</v>
      </c>
      <c r="B84" s="79" t="s">
        <v>231</v>
      </c>
      <c r="C84" s="79" t="n">
        <v>1</v>
      </c>
      <c r="D84" s="170" t="n">
        <f aca="false">'Test Year 2001 Sales and Revs.'!J87</f>
        <v>1949345964</v>
      </c>
      <c r="E84" s="77" t="n">
        <f aca="false">surcharge_1*D84</f>
        <v>74599177.5440154</v>
      </c>
      <c r="F84" s="215"/>
      <c r="G84" s="242" t="n">
        <f aca="false">0.03841</f>
        <v>0.03841</v>
      </c>
      <c r="H84" s="13" t="n">
        <f aca="false">G84*D84</f>
        <v>74874378.47724</v>
      </c>
      <c r="I84" s="88" t="n">
        <f aca="false">H84/$H$127</f>
        <v>0.0238190231588758</v>
      </c>
      <c r="J84" s="77" t="n">
        <f aca="false">I84*$E$129</f>
        <v>58588345.0598679</v>
      </c>
      <c r="K84" s="215"/>
      <c r="L84" s="243" t="n">
        <v>205012715.03388</v>
      </c>
      <c r="M84" s="88" t="n">
        <f aca="false">L84/$L$127</f>
        <v>0.0293636739219329</v>
      </c>
      <c r="N84" s="77" t="n">
        <f aca="false">M84*$E$129</f>
        <v>72226684.0452932</v>
      </c>
      <c r="O84" s="215"/>
      <c r="P84" s="244" t="n">
        <f aca="false">S_Equal</f>
        <v>0.0385694346851059</v>
      </c>
      <c r="Q84" s="13" t="n">
        <f aca="false">P84*D84</f>
        <v>75185171.8371727</v>
      </c>
      <c r="R84" s="215"/>
      <c r="S84" s="211" t="n">
        <f aca="false">$D84/SUM($D$84:$D$86,$D$88)</f>
        <v>0.863371984018803</v>
      </c>
      <c r="T84" s="245" t="n">
        <v>52782541.9488448</v>
      </c>
      <c r="U84" s="212" t="n">
        <f aca="false">$S84*T84</f>
        <v>45570967.9639299</v>
      </c>
      <c r="V84" s="88" t="n">
        <f aca="false">U84/$U$127</f>
        <v>0.0282188496430853</v>
      </c>
      <c r="W84" s="245" t="n">
        <v>46658771.2971352</v>
      </c>
      <c r="X84" s="212" t="n">
        <f aca="false">$S84*W84</f>
        <v>40283875.9466872</v>
      </c>
      <c r="Y84" s="88" t="n">
        <f aca="false">X84/$X$127</f>
        <v>0.0265752680250945</v>
      </c>
      <c r="Z84" s="88" t="n">
        <f aca="false">AVERAGE(V84,Y84)</f>
        <v>0.0273970588340899</v>
      </c>
      <c r="AA84" s="129" t="n">
        <f aca="false">$Z84*'Inputs and Assumptions'!$C$6</f>
        <v>67389343.6305352</v>
      </c>
      <c r="AB84" s="217"/>
      <c r="AC84" s="255" t="n">
        <f aca="false">CHOOSE(gen_choice,'Generation Calculations'!$O89,'Generation Calculations'!$P89)</f>
        <v>0.048359284101298</v>
      </c>
      <c r="AD84" s="256" t="n">
        <f aca="false">EPS</f>
        <v>0.01</v>
      </c>
      <c r="AE84" s="247" t="n">
        <f aca="false">AG84-SUM(AC84:AD84,AF84)</f>
        <v>0.0479362380297441</v>
      </c>
      <c r="AF84" s="226" t="n">
        <f aca="false">AK84/$D84*-1</f>
        <v>8.77623508480124E-005</v>
      </c>
      <c r="AG84" s="226" t="n">
        <f aca="false">AL84/$D84</f>
        <v>0.10638328448189</v>
      </c>
      <c r="AH84" s="77" t="n">
        <f aca="false">$D84*AE84</f>
        <v>93444312.132625</v>
      </c>
      <c r="AI84" s="258" t="n">
        <f aca="false">CHOOSE(gen_choice,'Generation Calculations'!$M87,'Generation Calculations'!$N87)</f>
        <v>0</v>
      </c>
      <c r="AJ84" s="129" t="n">
        <f aca="false">$D84*AD84</f>
        <v>19493459.64</v>
      </c>
      <c r="AK84" s="248" t="n">
        <f aca="false">CHOOSE(gen_choice,'Generation Calculations'!K87,'Generation Calculations'!L87)</f>
        <v>-171079.184416725</v>
      </c>
      <c r="AL84" s="77" t="n">
        <f aca="false">$D84*gen_equal</f>
        <v>207377826.241836</v>
      </c>
      <c r="AM84" s="215"/>
      <c r="AN84" s="255" t="n">
        <f aca="false">CHOOSE(gen_choice,'Generation Calculations'!$O89,'Generation Calculations'!$P89)</f>
        <v>0.048359284101298</v>
      </c>
      <c r="AO84" s="256" t="n">
        <f aca="false">EPS</f>
        <v>0.01</v>
      </c>
      <c r="AP84" s="247" t="n">
        <f aca="false">AR84-SUM(AN84:AO84,AQ84)</f>
        <v>0.0381521705908014</v>
      </c>
      <c r="AQ84" s="226" t="n">
        <f aca="false">AV84/$D84*-1</f>
        <v>8.77623508480124E-005</v>
      </c>
      <c r="AR84" s="226" t="n">
        <f aca="false">AW84/$D84</f>
        <v>0.0965992170429474</v>
      </c>
      <c r="AS84" s="77" t="n">
        <f aca="false">$D84*AP84</f>
        <v>74371779.7590181</v>
      </c>
      <c r="AT84" s="129" t="n">
        <f aca="false">$AI84</f>
        <v>0</v>
      </c>
      <c r="AU84" s="129" t="n">
        <f aca="false">$D84*AO84</f>
        <v>19493459.64</v>
      </c>
      <c r="AV84" s="129" t="n">
        <f aca="false">$AK84</f>
        <v>-171079.184416725</v>
      </c>
      <c r="AW84" s="77" t="n">
        <f aca="false">$I84*'Inputs and Assumptions'!$C$15</f>
        <v>188305293.868229</v>
      </c>
      <c r="AX84" s="215"/>
      <c r="AY84" s="255" t="n">
        <f aca="false">CHOOSE(gen_choice,'Generation Calculations'!$O89,'Generation Calculations'!$P89)</f>
        <v>0.048359284101298</v>
      </c>
      <c r="AZ84" s="256" t="n">
        <f aca="false">EPS</f>
        <v>0.01</v>
      </c>
      <c r="BA84" s="247" t="n">
        <f aca="false">BC84-SUM(AY84:AZ84,BB84)</f>
        <v>0.0606387737951104</v>
      </c>
      <c r="BB84" s="226" t="n">
        <f aca="false">BG84/$D84*-1</f>
        <v>8.77623508480124E-005</v>
      </c>
      <c r="BC84" s="226" t="n">
        <f aca="false">BH84/$D84</f>
        <v>0.119085820247256</v>
      </c>
      <c r="BD84" s="77" t="n">
        <f aca="false">$D84*BA84</f>
        <v>118205948.959407</v>
      </c>
      <c r="BE84" s="129" t="n">
        <f aca="false">$AI84</f>
        <v>0</v>
      </c>
      <c r="BF84" s="129" t="n">
        <f aca="false">$D84*AZ84</f>
        <v>19493459.64</v>
      </c>
      <c r="BG84" s="129" t="n">
        <f aca="false">$AK84</f>
        <v>-171079.184416725</v>
      </c>
      <c r="BH84" s="77" t="n">
        <f aca="false">$M84*'Inputs and Assumptions'!$C$15</f>
        <v>232139463.068619</v>
      </c>
      <c r="BI84" s="215"/>
      <c r="BJ84" s="255" t="n">
        <f aca="false">CHOOSE(gen_choice,'Generation Calculations'!$O89,'Generation Calculations'!$P89)</f>
        <v>0.048359284101298</v>
      </c>
      <c r="BK84" s="256" t="n">
        <f aca="false">EPS</f>
        <v>0.01</v>
      </c>
      <c r="BL84" s="247" t="n">
        <f aca="false">BN84-SUM(BJ84:BK84,BM84)</f>
        <v>0.0412089149934541</v>
      </c>
      <c r="BM84" s="226" t="n">
        <f aca="false">BR84/$D84*-1</f>
        <v>8.77623508480124E-005</v>
      </c>
      <c r="BN84" s="226" t="n">
        <f aca="false">BS84/$D84</f>
        <v>0.0996559614456001</v>
      </c>
      <c r="BO84" s="77" t="n">
        <f aca="false">$D84*BL84</f>
        <v>80330432.1233089</v>
      </c>
      <c r="BP84" s="129" t="n">
        <f aca="false">$AI84</f>
        <v>0</v>
      </c>
      <c r="BQ84" s="129" t="n">
        <f aca="false">$D84*BK84</f>
        <v>19493459.64</v>
      </c>
      <c r="BR84" s="129" t="n">
        <f aca="false">$AK84</f>
        <v>-171079.184416725</v>
      </c>
      <c r="BS84" s="77" t="n">
        <f aca="false">D84*s_equal_gen</f>
        <v>194263946.23252</v>
      </c>
      <c r="BT84" s="215"/>
      <c r="BU84" s="255" t="n">
        <f aca="false">CHOOSE(gen_choice,'Generation Calculations'!$O89,'Generation Calculations'!$P89)</f>
        <v>0.048359284101298</v>
      </c>
      <c r="BV84" s="256" t="n">
        <f aca="false">EPS</f>
        <v>0.01</v>
      </c>
      <c r="BW84" s="247" t="n">
        <f aca="false">BY84-SUM(BU84:BV84,BX84)</f>
        <v>0.052663069819203</v>
      </c>
      <c r="BX84" s="226" t="n">
        <f aca="false">CC84/$D84*-1</f>
        <v>8.77623508480124E-005</v>
      </c>
      <c r="BY84" s="226" t="n">
        <f aca="false">CD84/$D84</f>
        <v>0.111110116271349</v>
      </c>
      <c r="BZ84" s="77" t="n">
        <f aca="false">$D84*BW84</f>
        <v>102658542.603914</v>
      </c>
      <c r="CA84" s="129" t="n">
        <f aca="false">$AI84</f>
        <v>0</v>
      </c>
      <c r="CB84" s="129" t="n">
        <f aca="false">$D84*BV84</f>
        <v>19493459.64</v>
      </c>
      <c r="CC84" s="129" t="n">
        <f aca="false">$AK84</f>
        <v>-171079.184416725</v>
      </c>
      <c r="CD84" s="77" t="n">
        <f aca="false">$Z84*'Inputs and Assumptions'!$C$15</f>
        <v>216592056.713125</v>
      </c>
    </row>
    <row r="85" customFormat="false" ht="12.75" hidden="false" customHeight="false" outlineLevel="0" collapsed="false">
      <c r="A85" s="97" t="s">
        <v>335</v>
      </c>
      <c r="B85" s="79" t="s">
        <v>234</v>
      </c>
      <c r="C85" s="79" t="n">
        <v>2</v>
      </c>
      <c r="D85" s="170" t="n">
        <f aca="false">'Test Year 2001 Sales and Revs.'!J88-D86</f>
        <v>82732282</v>
      </c>
      <c r="E85" s="77" t="n">
        <f aca="false">surcharge_1*D85</f>
        <v>3166067.13611538</v>
      </c>
      <c r="F85" s="215"/>
      <c r="G85" s="242" t="n">
        <f aca="false">0.03654</f>
        <v>0.03654</v>
      </c>
      <c r="H85" s="13" t="n">
        <f aca="false">G85*D85</f>
        <v>3023037.58428</v>
      </c>
      <c r="I85" s="88" t="n">
        <f aca="false">H85/$H$127</f>
        <v>0.000961688146126053</v>
      </c>
      <c r="J85" s="77" t="n">
        <f aca="false">I85*$E$129</f>
        <v>2365492.34489585</v>
      </c>
      <c r="K85" s="215"/>
      <c r="L85" s="243" t="n">
        <v>8269918.90872</v>
      </c>
      <c r="M85" s="88" t="n">
        <f aca="false">L85/$L$127</f>
        <v>0.00118448849456167</v>
      </c>
      <c r="N85" s="77" t="n">
        <f aca="false">M85*$E$129</f>
        <v>2913520.85162915</v>
      </c>
      <c r="O85" s="215"/>
      <c r="P85" s="267" t="n">
        <f aca="false">P_Equal</f>
        <v>0.0376807380333753</v>
      </c>
      <c r="Q85" s="13" t="n">
        <f aca="false">P85*D85</f>
        <v>3117413.44494533</v>
      </c>
      <c r="R85" s="215"/>
      <c r="S85" s="211" t="n">
        <f aca="false">$D85/SUM($D$84:$D$86,$D$88)</f>
        <v>0.036642410209306</v>
      </c>
      <c r="T85" s="245" t="n">
        <v>52782541.9488448</v>
      </c>
      <c r="U85" s="212" t="n">
        <f aca="false">$S85*T85</f>
        <v>1934079.55397948</v>
      </c>
      <c r="V85" s="88" t="n">
        <f aca="false">U85/$U$127</f>
        <v>0.0011976374997062</v>
      </c>
      <c r="W85" s="245" t="n">
        <v>46658771.2971352</v>
      </c>
      <c r="X85" s="212" t="n">
        <f aca="false">$S85*W85</f>
        <v>1709689.83773182</v>
      </c>
      <c r="Y85" s="88" t="n">
        <f aca="false">X85/$X$127</f>
        <v>0.001127882176423</v>
      </c>
      <c r="Z85" s="88" t="n">
        <f aca="false">AVERAGE(V85,Y85)</f>
        <v>0.0011627598380646</v>
      </c>
      <c r="AA85" s="129" t="n">
        <f aca="false">$Z85*'Inputs and Assumptions'!$C$6</f>
        <v>2860074.24233513</v>
      </c>
      <c r="AB85" s="217"/>
      <c r="AC85" s="17" t="n">
        <f aca="false">AC84</f>
        <v>0.048359284101298</v>
      </c>
      <c r="AD85" s="249" t="n">
        <f aca="false">EPS</f>
        <v>0.01</v>
      </c>
      <c r="AE85" s="226" t="n">
        <f aca="false">AG85-SUM(AC85:AD85,AF85)</f>
        <v>0.0480240003805921</v>
      </c>
      <c r="AF85" s="226" t="n">
        <f aca="false">AK85/$D85*-1</f>
        <v>-0</v>
      </c>
      <c r="AG85" s="226" t="n">
        <f aca="false">AL85/$D85</f>
        <v>0.10638328448189</v>
      </c>
      <c r="AH85" s="77" t="n">
        <f aca="false">$D85*AE85</f>
        <v>3973135.14225526</v>
      </c>
      <c r="AI85" s="258" t="n">
        <f aca="false">CHOOSE(gen_choice,'Generation Calculations'!$M88,'Generation Calculations'!$N88)</f>
        <v>0</v>
      </c>
      <c r="AJ85" s="129" t="n">
        <f aca="false">$D85*AD85</f>
        <v>827322.82</v>
      </c>
      <c r="AK85" s="248"/>
      <c r="AL85" s="77" t="n">
        <f aca="false">$D85*gen_equal</f>
        <v>8801331.89184196</v>
      </c>
      <c r="AM85" s="215"/>
      <c r="AN85" s="17" t="n">
        <f aca="false">AN84</f>
        <v>0.048359284101298</v>
      </c>
      <c r="AO85" s="249" t="n">
        <f aca="false">EPS</f>
        <v>0.01</v>
      </c>
      <c r="AP85" s="226" t="n">
        <f aca="false">AR85-SUM(AN85:AO85,AQ85)</f>
        <v>0.0335369770481239</v>
      </c>
      <c r="AQ85" s="226" t="n">
        <f aca="false">AV85/$D85*-1</f>
        <v>-0</v>
      </c>
      <c r="AR85" s="226" t="n">
        <f aca="false">AW85/$D85</f>
        <v>0.0918962611494219</v>
      </c>
      <c r="AS85" s="77" t="n">
        <f aca="false">$D85*AP85</f>
        <v>2774590.64257292</v>
      </c>
      <c r="AT85" s="129" t="n">
        <f aca="false">$AI85</f>
        <v>0</v>
      </c>
      <c r="AU85" s="129" t="n">
        <f aca="false">$D85*AO85</f>
        <v>827322.82</v>
      </c>
      <c r="AV85" s="129" t="n">
        <f aca="false">$AK85</f>
        <v>0</v>
      </c>
      <c r="AW85" s="77" t="n">
        <f aca="false">$I85*'Inputs and Assumptions'!$C$15</f>
        <v>7602787.39215962</v>
      </c>
      <c r="AX85" s="215"/>
      <c r="AY85" s="17" t="n">
        <f aca="false">AY84</f>
        <v>0.048359284101298</v>
      </c>
      <c r="AZ85" s="249" t="n">
        <f aca="false">EPS</f>
        <v>0.01</v>
      </c>
      <c r="BA85" s="226" t="n">
        <f aca="false">BC85-SUM(AY85:AZ85,BB85)</f>
        <v>0.0548271625271678</v>
      </c>
      <c r="BB85" s="226" t="n">
        <f aca="false">BG85/$D85*-1</f>
        <v>-0</v>
      </c>
      <c r="BC85" s="226" t="n">
        <f aca="false">BH85/$D85</f>
        <v>0.113186446628466</v>
      </c>
      <c r="BD85" s="77" t="n">
        <f aca="false">$D85*BA85</f>
        <v>4535976.27145748</v>
      </c>
      <c r="BE85" s="129" t="n">
        <f aca="false">$AI85</f>
        <v>0</v>
      </c>
      <c r="BF85" s="129" t="n">
        <f aca="false">$D85*AZ85</f>
        <v>827322.82</v>
      </c>
      <c r="BG85" s="129" t="n">
        <f aca="false">$AK85</f>
        <v>0</v>
      </c>
      <c r="BH85" s="77" t="n">
        <f aca="false">$M85*'Inputs and Assumptions'!$C$15</f>
        <v>9364173.02104418</v>
      </c>
      <c r="BI85" s="215"/>
      <c r="BJ85" s="17" t="n">
        <f aca="false">BJ84</f>
        <v>0.048359284101298</v>
      </c>
      <c r="BK85" s="249" t="n">
        <f aca="false">EPS</f>
        <v>0.01</v>
      </c>
      <c r="BL85" s="226" t="n">
        <f aca="false">BN85-SUM(BJ85:BK85,BM85)</f>
        <v>0.0390004570344957</v>
      </c>
      <c r="BM85" s="226" t="n">
        <f aca="false">BR85/$D85*-1</f>
        <v>-0</v>
      </c>
      <c r="BN85" s="226" t="n">
        <f aca="false">BS85/$D85</f>
        <v>0.0973597411357937</v>
      </c>
      <c r="BO85" s="77" t="n">
        <f aca="false">$D85*BL85</f>
        <v>3226596.80950678</v>
      </c>
      <c r="BP85" s="129" t="n">
        <f aca="false">$AI85</f>
        <v>0</v>
      </c>
      <c r="BQ85" s="129" t="n">
        <f aca="false">$D85*BK85</f>
        <v>827322.82</v>
      </c>
      <c r="BR85" s="129" t="n">
        <f aca="false">$AK85</f>
        <v>0</v>
      </c>
      <c r="BS85" s="77" t="n">
        <f aca="false">D85*P_equal_gen</f>
        <v>8054793.55909348</v>
      </c>
      <c r="BT85" s="215"/>
      <c r="BU85" s="17" t="n">
        <f aca="false">BU84</f>
        <v>0.048359284101298</v>
      </c>
      <c r="BV85" s="249" t="n">
        <f aca="false">EPS</f>
        <v>0.01</v>
      </c>
      <c r="BW85" s="226" t="n">
        <f aca="false">BY85-SUM(BU85:BV85,BX85)</f>
        <v>0.052750832170051</v>
      </c>
      <c r="BX85" s="226" t="n">
        <f aca="false">CC85/$D85*-1</f>
        <v>-0</v>
      </c>
      <c r="BY85" s="226" t="n">
        <f aca="false">CD85/$D85</f>
        <v>0.111110116271349</v>
      </c>
      <c r="BZ85" s="77" t="n">
        <f aca="false">$D85*BW85</f>
        <v>4364196.72282733</v>
      </c>
      <c r="CA85" s="129" t="n">
        <f aca="false">$AI85</f>
        <v>0</v>
      </c>
      <c r="CB85" s="129" t="n">
        <f aca="false">$D85*BV85</f>
        <v>827322.82</v>
      </c>
      <c r="CC85" s="129" t="n">
        <f aca="false">$AK85</f>
        <v>0</v>
      </c>
      <c r="CD85" s="77" t="n">
        <f aca="false">$Z85*'Inputs and Assumptions'!$C$15</f>
        <v>9192393.47241404</v>
      </c>
    </row>
    <row r="86" customFormat="false" ht="12.75" hidden="false" customHeight="false" outlineLevel="0" collapsed="false">
      <c r="A86" s="97" t="s">
        <v>335</v>
      </c>
      <c r="B86" s="79" t="s">
        <v>236</v>
      </c>
      <c r="C86" s="79" t="n">
        <v>3</v>
      </c>
      <c r="D86" s="186" t="n">
        <v>69434402</v>
      </c>
      <c r="E86" s="77" t="n">
        <f aca="false">surcharge_1*D86</f>
        <v>2657172.90728212</v>
      </c>
      <c r="F86" s="215"/>
      <c r="G86" s="242" t="n">
        <f aca="false">0.03578</f>
        <v>0.03578</v>
      </c>
      <c r="H86" s="13" t="n">
        <f aca="false">G86*D86</f>
        <v>2484362.90356</v>
      </c>
      <c r="I86" s="88" t="n">
        <f aca="false">H86/$H$127</f>
        <v>0.000790325058296617</v>
      </c>
      <c r="J86" s="77" t="n">
        <f aca="false">I86*$E$129</f>
        <v>1943985.56633032</v>
      </c>
      <c r="K86" s="215"/>
      <c r="L86" s="243" t="n">
        <v>6789295.82756</v>
      </c>
      <c r="M86" s="88" t="n">
        <f aca="false">L86/$L$127</f>
        <v>0.000972420997434552</v>
      </c>
      <c r="N86" s="77" t="n">
        <f aca="false">M86*$E$129</f>
        <v>2391892.25188382</v>
      </c>
      <c r="O86" s="215"/>
      <c r="P86" s="267" t="n">
        <f aca="false">T_Equal</f>
        <v>0.0362588233906064</v>
      </c>
      <c r="Q86" s="13" t="n">
        <f aca="false">P86*D86</f>
        <v>2517609.71935037</v>
      </c>
      <c r="R86" s="215"/>
      <c r="S86" s="211" t="n">
        <f aca="false">$D86/SUM($D$84:$D$86,$D$88)</f>
        <v>0.0307527337481379</v>
      </c>
      <c r="T86" s="245" t="n">
        <v>52782541.9488448</v>
      </c>
      <c r="U86" s="212" t="n">
        <f aca="false">$S86*T86</f>
        <v>1623207.45910274</v>
      </c>
      <c r="V86" s="88" t="n">
        <f aca="false">U86/$U$127</f>
        <v>0.00100513658749163</v>
      </c>
      <c r="W86" s="245" t="n">
        <v>46658771.2971352</v>
      </c>
      <c r="X86" s="212" t="n">
        <f aca="false">$S86*W86</f>
        <v>1434884.77071606</v>
      </c>
      <c r="Y86" s="88" t="n">
        <f aca="false">X86/$X$127</f>
        <v>0.000946593307391053</v>
      </c>
      <c r="Z86" s="88" t="n">
        <f aca="false">AVERAGE(V86,Y86)</f>
        <v>0.000975864947441341</v>
      </c>
      <c r="AA86" s="129" t="n">
        <f aca="false">$Z86*'Inputs and Assumptions'!$C$6</f>
        <v>2400363.43603024</v>
      </c>
      <c r="AB86" s="217"/>
      <c r="AC86" s="17" t="n">
        <f aca="false">AC85</f>
        <v>0.048359284101298</v>
      </c>
      <c r="AD86" s="249" t="n">
        <f aca="false">EPS</f>
        <v>0.01</v>
      </c>
      <c r="AE86" s="226" t="n">
        <f aca="false">AG86-SUM(AC86:AD86,AF86)</f>
        <v>0.0480240003805921</v>
      </c>
      <c r="AF86" s="226" t="n">
        <f aca="false">AK86/$D86*-1</f>
        <v>-0</v>
      </c>
      <c r="AG86" s="226" t="n">
        <f aca="false">AL86/$D86</f>
        <v>0.10638328448189</v>
      </c>
      <c r="AH86" s="77" t="n">
        <f aca="false">$D86*AE86</f>
        <v>3334517.74807419</v>
      </c>
      <c r="AI86" s="258"/>
      <c r="AJ86" s="129" t="n">
        <f aca="false">$D86*AD86</f>
        <v>694344.02</v>
      </c>
      <c r="AK86" s="248"/>
      <c r="AL86" s="77" t="n">
        <f aca="false">$D86*gen_equal</f>
        <v>7386659.74079592</v>
      </c>
      <c r="AM86" s="215"/>
      <c r="AN86" s="17" t="n">
        <f aca="false">AN85</f>
        <v>0.048359284101298</v>
      </c>
      <c r="AO86" s="249" t="n">
        <f aca="false">EPS</f>
        <v>0.01</v>
      </c>
      <c r="AP86" s="226" t="n">
        <f aca="false">AR86-SUM(AN86:AO86,AQ86)</f>
        <v>0.0316256152946056</v>
      </c>
      <c r="AQ86" s="226" t="n">
        <f aca="false">AV86/$D86*-1</f>
        <v>-0</v>
      </c>
      <c r="AR86" s="226" t="n">
        <f aca="false">AW86/$D86</f>
        <v>0.0899848993959036</v>
      </c>
      <c r="AS86" s="77" t="n">
        <f aca="false">$D86*AP86</f>
        <v>2195905.68586299</v>
      </c>
      <c r="AT86" s="129" t="n">
        <f aca="false">$AI86</f>
        <v>0</v>
      </c>
      <c r="AU86" s="129" t="n">
        <f aca="false">$D86*AO86</f>
        <v>694344.02</v>
      </c>
      <c r="AV86" s="129" t="n">
        <f aca="false">$AK86</f>
        <v>0</v>
      </c>
      <c r="AW86" s="77" t="n">
        <f aca="false">$I86*'Inputs and Assumptions'!$C$15</f>
        <v>6248047.67858473</v>
      </c>
      <c r="AX86" s="215"/>
      <c r="AY86" s="17" t="n">
        <f aca="false">AY85</f>
        <v>0.048359284101298</v>
      </c>
      <c r="AZ86" s="249" t="n">
        <f aca="false">EPS</f>
        <v>0.01</v>
      </c>
      <c r="BA86" s="226" t="n">
        <f aca="false">BC86-SUM(AY86:AZ86,BB86)</f>
        <v>0.0523587106099004</v>
      </c>
      <c r="BB86" s="226" t="n">
        <f aca="false">BG86/$D86*-1</f>
        <v>-0</v>
      </c>
      <c r="BC86" s="226" t="n">
        <f aca="false">BH86/$D86</f>
        <v>0.110717994711198</v>
      </c>
      <c r="BD86" s="77" t="n">
        <f aca="false">$D86*BA86</f>
        <v>3635495.76068949</v>
      </c>
      <c r="BE86" s="129" t="n">
        <f aca="false">$AI86</f>
        <v>0</v>
      </c>
      <c r="BF86" s="129" t="n">
        <f aca="false">$D86*AZ86</f>
        <v>694344.02</v>
      </c>
      <c r="BG86" s="129" t="n">
        <f aca="false">$AK86</f>
        <v>0</v>
      </c>
      <c r="BH86" s="77" t="n">
        <f aca="false">$M86*'Inputs and Assumptions'!$C$15</f>
        <v>7687637.75341122</v>
      </c>
      <c r="BI86" s="215"/>
      <c r="BJ86" s="17" t="n">
        <f aca="false">BJ85</f>
        <v>0.048359284101298</v>
      </c>
      <c r="BK86" s="249" t="n">
        <f aca="false">EPS</f>
        <v>0.01</v>
      </c>
      <c r="BL86" s="226" t="n">
        <f aca="false">BN86-SUM(BJ86:BK86,BM86)</f>
        <v>0.0353265045388054</v>
      </c>
      <c r="BM86" s="226" t="n">
        <f aca="false">BR86/$D86*-1</f>
        <v>-0</v>
      </c>
      <c r="BN86" s="226" t="n">
        <f aca="false">BS86/$D86</f>
        <v>0.0936857886401033</v>
      </c>
      <c r="BO86" s="77" t="n">
        <f aca="false">$D86*BL86</f>
        <v>2452874.71740224</v>
      </c>
      <c r="BP86" s="129" t="n">
        <f aca="false">$AI86</f>
        <v>0</v>
      </c>
      <c r="BQ86" s="129" t="n">
        <f aca="false">$D86*BK86</f>
        <v>694344.02</v>
      </c>
      <c r="BR86" s="129" t="n">
        <f aca="false">$AK86</f>
        <v>0</v>
      </c>
      <c r="BS86" s="77" t="n">
        <f aca="false">D86*T_equal_gen</f>
        <v>6505016.71012397</v>
      </c>
      <c r="BT86" s="215"/>
      <c r="BU86" s="17" t="n">
        <f aca="false">BU85</f>
        <v>0.048359284101298</v>
      </c>
      <c r="BV86" s="249" t="n">
        <f aca="false">EPS</f>
        <v>0.01</v>
      </c>
      <c r="BW86" s="226" t="n">
        <f aca="false">BY86-SUM(BU86:BV86,BX86)</f>
        <v>0.052750832170051</v>
      </c>
      <c r="BX86" s="226" t="n">
        <f aca="false">CC86/$D86*-1</f>
        <v>-0</v>
      </c>
      <c r="BY86" s="226" t="n">
        <f aca="false">CD86/$D86</f>
        <v>0.111110116271349</v>
      </c>
      <c r="BZ86" s="77" t="n">
        <f aca="false">$D86*BW86</f>
        <v>3662722.48672985</v>
      </c>
      <c r="CA86" s="129" t="n">
        <f aca="false">$AI86</f>
        <v>0</v>
      </c>
      <c r="CB86" s="129" t="n">
        <f aca="false">$D86*BV86</f>
        <v>694344.02</v>
      </c>
      <c r="CC86" s="129" t="n">
        <f aca="false">$AK86</f>
        <v>0</v>
      </c>
      <c r="CD86" s="77" t="n">
        <f aca="false">$Z86*'Inputs and Assumptions'!$C$15</f>
        <v>7714864.47945159</v>
      </c>
    </row>
    <row r="87" customFormat="false" ht="12.75" hidden="false" customHeight="false" outlineLevel="0" collapsed="false">
      <c r="A87" s="97" t="s">
        <v>336</v>
      </c>
      <c r="B87" s="84"/>
      <c r="C87" s="84"/>
      <c r="D87" s="159" t="n">
        <f aca="false">SUM(D84:D86)</f>
        <v>2101512648</v>
      </c>
      <c r="E87" s="77" t="n">
        <f aca="false">surcharge_1*D87</f>
        <v>80422417.5874129</v>
      </c>
      <c r="F87" s="215"/>
      <c r="G87" s="242"/>
      <c r="H87" s="13" t="n">
        <f aca="false">SUM(H84:H86)</f>
        <v>80381778.96508</v>
      </c>
      <c r="I87" s="88" t="n">
        <f aca="false">H87/$H$127</f>
        <v>0.0255710363632985</v>
      </c>
      <c r="J87" s="77" t="n">
        <f aca="false">SUM(J84:J86)</f>
        <v>62897822.971094</v>
      </c>
      <c r="K87" s="215"/>
      <c r="L87" s="243" t="n">
        <v>220071929.77016</v>
      </c>
      <c r="M87" s="88" t="n">
        <f aca="false">L87/$L$127</f>
        <v>0.0315205834139291</v>
      </c>
      <c r="N87" s="77" t="n">
        <f aca="false">SUM(N84:N86)</f>
        <v>77532097.1488061</v>
      </c>
      <c r="O87" s="215"/>
      <c r="P87" s="244"/>
      <c r="Q87" s="13" t="n">
        <f aca="false">SUM(Q84:Q86)</f>
        <v>80820195.0014684</v>
      </c>
      <c r="R87" s="215"/>
      <c r="T87" s="245"/>
      <c r="V87" s="88" t="n">
        <f aca="false">U87/$U$127</f>
        <v>0</v>
      </c>
      <c r="W87" s="245"/>
      <c r="X87" s="212"/>
      <c r="Y87" s="88" t="n">
        <f aca="false">X87/$X$127</f>
        <v>0</v>
      </c>
      <c r="Z87" s="88" t="n">
        <f aca="false">AVERAGE(V87,Y87)</f>
        <v>0</v>
      </c>
      <c r="AA87" s="129" t="n">
        <f aca="false">SUM(AA84:AA86)</f>
        <v>72649781.3089006</v>
      </c>
      <c r="AB87" s="217"/>
      <c r="AC87" s="19"/>
      <c r="AD87" s="249"/>
      <c r="AE87" s="226"/>
      <c r="AF87" s="226"/>
      <c r="AG87" s="226"/>
      <c r="AH87" s="77" t="n">
        <f aca="false">SUM(AH84:AH86)</f>
        <v>100751965.022954</v>
      </c>
      <c r="AI87" s="258" t="n">
        <f aca="false">CHOOSE(gen_choice,'Generation Calculations'!$M89,'Generation Calculations'!$N89)</f>
        <v>101627647.187103</v>
      </c>
      <c r="AJ87" s="77" t="n">
        <f aca="false">SUM(AJ84:AJ86)</f>
        <v>21015126.48</v>
      </c>
      <c r="AK87" s="77" t="n">
        <f aca="false">SUM(AK84:AK86)</f>
        <v>-171079.184416725</v>
      </c>
      <c r="AL87" s="77" t="n">
        <f aca="false">SUM(AL84:AL86)</f>
        <v>223565817.874474</v>
      </c>
      <c r="AM87" s="215"/>
      <c r="AN87" s="19"/>
      <c r="AO87" s="249"/>
      <c r="AP87" s="226"/>
      <c r="AQ87" s="226"/>
      <c r="AR87" s="226"/>
      <c r="AS87" s="77" t="n">
        <f aca="false">SUM(AS84:AS86)</f>
        <v>79342276.087454</v>
      </c>
      <c r="AT87" s="77" t="n">
        <f aca="false">AI87</f>
        <v>101627647.187103</v>
      </c>
      <c r="AU87" s="77" t="n">
        <f aca="false">SUM(AU84:AU86)</f>
        <v>21015126.48</v>
      </c>
      <c r="AV87" s="77" t="n">
        <f aca="false">SUM(AV84:AV86)</f>
        <v>-171079.184416725</v>
      </c>
      <c r="AW87" s="77" t="n">
        <f aca="false">SUM(AW84:AW86)</f>
        <v>202156128.938974</v>
      </c>
      <c r="AX87" s="215"/>
      <c r="AY87" s="19"/>
      <c r="AZ87" s="249"/>
      <c r="BA87" s="226"/>
      <c r="BB87" s="226"/>
      <c r="BC87" s="226"/>
      <c r="BD87" s="77" t="n">
        <f aca="false">SUM(BD84:BD86)</f>
        <v>126377420.991554</v>
      </c>
      <c r="BE87" s="129" t="n">
        <f aca="false">$AI87</f>
        <v>101627647.187103</v>
      </c>
      <c r="BF87" s="77" t="n">
        <f aca="false">SUM(BF84:BF86)</f>
        <v>21015126.48</v>
      </c>
      <c r="BG87" s="77" t="n">
        <f aca="false">SUM(BG84:BG86)</f>
        <v>-171079.184416725</v>
      </c>
      <c r="BH87" s="77" t="n">
        <f aca="false">SUM(BH84:BH86)</f>
        <v>249191273.843074</v>
      </c>
      <c r="BI87" s="215"/>
      <c r="BJ87" s="19"/>
      <c r="BK87" s="249"/>
      <c r="BL87" s="226"/>
      <c r="BM87" s="226"/>
      <c r="BN87" s="226"/>
      <c r="BO87" s="77" t="n">
        <f aca="false">SUM(BO84:BO86)</f>
        <v>86009903.6502179</v>
      </c>
      <c r="BP87" s="129" t="n">
        <f aca="false">$AI87</f>
        <v>101627647.187103</v>
      </c>
      <c r="BQ87" s="77" t="n">
        <f aca="false">SUM(BQ84:BQ86)</f>
        <v>21015126.48</v>
      </c>
      <c r="BR87" s="77" t="n">
        <f aca="false">SUM(BR84:BR86)</f>
        <v>-171079.184416725</v>
      </c>
      <c r="BS87" s="77" t="n">
        <f aca="false">SUM(BS84:BS86)</f>
        <v>208823756.501738</v>
      </c>
      <c r="BT87" s="215"/>
      <c r="BU87" s="19"/>
      <c r="BV87" s="249"/>
      <c r="BW87" s="226"/>
      <c r="BX87" s="226"/>
      <c r="BY87" s="226"/>
      <c r="BZ87" s="77" t="n">
        <f aca="false">SUM(BZ84:BZ86)</f>
        <v>110685461.813471</v>
      </c>
      <c r="CA87" s="129" t="n">
        <f aca="false">$AI87</f>
        <v>101627647.187103</v>
      </c>
      <c r="CB87" s="77" t="n">
        <f aca="false">SUM(CB84:CB86)</f>
        <v>21015126.48</v>
      </c>
      <c r="CC87" s="77" t="n">
        <f aca="false">SUM(CC84:CC86)</f>
        <v>-171079.184416725</v>
      </c>
      <c r="CD87" s="77" t="n">
        <f aca="false">SUM(CD84:CD86)</f>
        <v>233499314.664991</v>
      </c>
    </row>
    <row r="88" customFormat="false" ht="12.75" hidden="false" customHeight="false" outlineLevel="0" collapsed="false">
      <c r="A88" s="94" t="s">
        <v>337</v>
      </c>
      <c r="B88" s="79" t="s">
        <v>231</v>
      </c>
      <c r="C88" s="79" t="n">
        <v>1</v>
      </c>
      <c r="D88" s="177" t="n">
        <f aca="false">'Test Year 2001 Sales and Revs.'!J90</f>
        <v>156315959</v>
      </c>
      <c r="E88" s="231" t="n">
        <f aca="false">surcharge_1*D88</f>
        <v>5982027.91795661</v>
      </c>
      <c r="F88" s="228"/>
      <c r="G88" s="250" t="n">
        <f aca="false">0.03841</f>
        <v>0.03841</v>
      </c>
      <c r="H88" s="229" t="n">
        <f aca="false">G88*D88</f>
        <v>6004095.98519</v>
      </c>
      <c r="I88" s="91" t="n">
        <f aca="false">H88/$H$127</f>
        <v>0.00191002188235627</v>
      </c>
      <c r="J88" s="231" t="n">
        <f aca="false">I88*$E$129</f>
        <v>4698136.45878621</v>
      </c>
      <c r="K88" s="228"/>
      <c r="L88" s="251" t="n">
        <v>16439749.40803</v>
      </c>
      <c r="M88" s="91" t="n">
        <f aca="false">L88/$L$127</f>
        <v>0.00235464147136389</v>
      </c>
      <c r="N88" s="231" t="n">
        <f aca="false">M88*$E$129</f>
        <v>5791780.21266316</v>
      </c>
      <c r="O88" s="228"/>
      <c r="P88" s="244" t="n">
        <f aca="false">S_Equal</f>
        <v>0.0385694346851059</v>
      </c>
      <c r="Q88" s="13" t="n">
        <f aca="false">P88*D88</f>
        <v>6029018.17089018</v>
      </c>
      <c r="R88" s="228"/>
      <c r="S88" s="211" t="n">
        <f aca="false">$D88/SUM($D$84:$D$86,$D$88)</f>
        <v>0.0692328720237532</v>
      </c>
      <c r="T88" s="245" t="n">
        <v>52782541.9488448</v>
      </c>
      <c r="U88" s="70" t="n">
        <f aca="false">$S88*T88</f>
        <v>3654286.97183276</v>
      </c>
      <c r="V88" s="91" t="n">
        <f aca="false">U88/$U$127</f>
        <v>0.00226283924213449</v>
      </c>
      <c r="W88" s="245" t="n">
        <v>46658771.2971352</v>
      </c>
      <c r="X88" s="70" t="n">
        <f aca="false">$S88*W88</f>
        <v>3230320.74200013</v>
      </c>
      <c r="Y88" s="91" t="n">
        <f aca="false">X88/$X$127</f>
        <v>0.00213104219760997</v>
      </c>
      <c r="Z88" s="91" t="n">
        <f aca="false">AVERAGE(V88,Y88)</f>
        <v>0.00219694071987223</v>
      </c>
      <c r="AA88" s="129" t="n">
        <f aca="false">$Z88*'Inputs and Assumptions'!$C$6</f>
        <v>5403879.08074159</v>
      </c>
      <c r="AB88" s="237"/>
      <c r="AC88" s="262" t="n">
        <f aca="false">CHOOSE(gen_choice,'Generation Calculations'!$O90,'Generation Calculations'!$P90)</f>
        <v>0.0475207196582777</v>
      </c>
      <c r="AD88" s="263" t="n">
        <f aca="false">EPS</f>
        <v>0.01</v>
      </c>
      <c r="AE88" s="264" t="n">
        <f aca="false">AG88-SUM(AC88:AD88,AF88)</f>
        <v>0.0488273646128832</v>
      </c>
      <c r="AF88" s="264" t="n">
        <f aca="false">AK88/$D88*-1</f>
        <v>3.52002107292391E-005</v>
      </c>
      <c r="AG88" s="253" t="n">
        <f aca="false">AL88/$D88</f>
        <v>0.10638328448189</v>
      </c>
      <c r="AH88" s="231" t="n">
        <f aca="false">$D88*AE88</f>
        <v>7632496.3249055</v>
      </c>
      <c r="AI88" s="260" t="n">
        <f aca="false">CHOOSE(gen_choice,'Generation Calculations'!$M90,'Generation Calculations'!$N90)</f>
        <v>7428246.86575383</v>
      </c>
      <c r="AJ88" s="231" t="n">
        <f aca="false">$D88*AD88</f>
        <v>1563159.59</v>
      </c>
      <c r="AK88" s="254" t="n">
        <f aca="false">CHOOSE(gen_choice,'Generation Calculations'!K90,'Generation Calculations'!L90)</f>
        <v>-5502.3546971431</v>
      </c>
      <c r="AL88" s="231" t="n">
        <f aca="false">$D88*gen_equal</f>
        <v>16629405.1353565</v>
      </c>
      <c r="AM88" s="228"/>
      <c r="AN88" s="262" t="n">
        <f aca="false">CHOOSE(gen_choice,'Generation Calculations'!$O90,'Generation Calculations'!$P90)</f>
        <v>0.0475207196582777</v>
      </c>
      <c r="AO88" s="263" t="n">
        <f aca="false">EPS</f>
        <v>0.01</v>
      </c>
      <c r="AP88" s="264" t="n">
        <f aca="false">AR88-SUM(AN88:AO88,AQ88)</f>
        <v>0.0390432971739404</v>
      </c>
      <c r="AQ88" s="264" t="n">
        <f aca="false">AV88/$D88*-1</f>
        <v>3.52002107292391E-005</v>
      </c>
      <c r="AR88" s="253" t="n">
        <f aca="false">AW88/$D88</f>
        <v>0.0965992170429474</v>
      </c>
      <c r="AS88" s="231" t="n">
        <f aca="false">$D88*AP88</f>
        <v>6103090.44026648</v>
      </c>
      <c r="AT88" s="231" t="n">
        <f aca="false">$AI88</f>
        <v>7428246.86575383</v>
      </c>
      <c r="AU88" s="231" t="n">
        <f aca="false">$D88*AO88</f>
        <v>1563159.59</v>
      </c>
      <c r="AV88" s="231" t="n">
        <f aca="false">$AK88</f>
        <v>-5502.3546971431</v>
      </c>
      <c r="AW88" s="231" t="n">
        <f aca="false">$I88*'Inputs and Assumptions'!$C$15</f>
        <v>15099999.2507175</v>
      </c>
      <c r="AX88" s="228"/>
      <c r="AY88" s="262" t="n">
        <f aca="false">CHOOSE(gen_choice,'Generation Calculations'!$O90,'Generation Calculations'!$P90)</f>
        <v>0.0475207196582777</v>
      </c>
      <c r="AZ88" s="263" t="n">
        <f aca="false">EPS</f>
        <v>0.01</v>
      </c>
      <c r="BA88" s="264" t="n">
        <f aca="false">BC88-SUM(AY88:AZ88,BB88)</f>
        <v>0.0615299003782495</v>
      </c>
      <c r="BB88" s="264" t="n">
        <f aca="false">BG88/$D88*-1</f>
        <v>3.52002107292391E-005</v>
      </c>
      <c r="BC88" s="253" t="n">
        <f aca="false">BH88/$D88</f>
        <v>0.119085820247256</v>
      </c>
      <c r="BD88" s="231" t="n">
        <f aca="false">$D88*BA88</f>
        <v>9618105.38480053</v>
      </c>
      <c r="BE88" s="231" t="n">
        <f aca="false">$AI88</f>
        <v>7428246.86575383</v>
      </c>
      <c r="BF88" s="231" t="n">
        <f aca="false">$D88*AZ88</f>
        <v>1563159.59</v>
      </c>
      <c r="BG88" s="231" t="n">
        <f aca="false">$AK88</f>
        <v>-5502.3546971431</v>
      </c>
      <c r="BH88" s="231" t="n">
        <f aca="false">$M88*'Inputs and Assumptions'!$C$15</f>
        <v>18615014.1952515</v>
      </c>
      <c r="BI88" s="228"/>
      <c r="BJ88" s="262" t="n">
        <f aca="false">CHOOSE(gen_choice,'Generation Calculations'!$O90,'Generation Calculations'!$P90)</f>
        <v>0.0475207196582777</v>
      </c>
      <c r="BK88" s="263" t="n">
        <f aca="false">EPS</f>
        <v>0.01</v>
      </c>
      <c r="BL88" s="264" t="n">
        <f aca="false">BN88-SUM(BJ88:BK88,BM88)</f>
        <v>0.0421000415765932</v>
      </c>
      <c r="BM88" s="264" t="n">
        <f aca="false">BR88/$D88*-1</f>
        <v>3.52002107292391E-005</v>
      </c>
      <c r="BN88" s="253" t="n">
        <f aca="false">BS88/$D88</f>
        <v>0.0996559614456001</v>
      </c>
      <c r="BO88" s="231" t="n">
        <f aca="false">$D88*BL88</f>
        <v>6580908.37298503</v>
      </c>
      <c r="BP88" s="231" t="n">
        <f aca="false">$AI88</f>
        <v>7428246.86575383</v>
      </c>
      <c r="BQ88" s="231" t="n">
        <f aca="false">$D88*BK88</f>
        <v>1563159.59</v>
      </c>
      <c r="BR88" s="231" t="n">
        <f aca="false">$AK88</f>
        <v>-5502.3546971431</v>
      </c>
      <c r="BS88" s="231" t="n">
        <f aca="false">D88*s_equal_gen</f>
        <v>15577817.183436</v>
      </c>
      <c r="BT88" s="228"/>
      <c r="BU88" s="262" t="n">
        <f aca="false">CHOOSE(gen_choice,'Generation Calculations'!$O90,'Generation Calculations'!$P90)</f>
        <v>0.0475207196582777</v>
      </c>
      <c r="BV88" s="263" t="n">
        <f aca="false">EPS</f>
        <v>0.01</v>
      </c>
      <c r="BW88" s="264" t="n">
        <f aca="false">BY88-SUM(BU88:BV88,BX88)</f>
        <v>0.0535541964023421</v>
      </c>
      <c r="BX88" s="264" t="n">
        <f aca="false">CC88/$D88*-1</f>
        <v>3.52002107292391E-005</v>
      </c>
      <c r="BY88" s="253" t="n">
        <f aca="false">CD88/$D88</f>
        <v>0.111110116271349</v>
      </c>
      <c r="BZ88" s="231" t="n">
        <f aca="false">$D88*BW88</f>
        <v>8371375.56910645</v>
      </c>
      <c r="CA88" s="231" t="n">
        <f aca="false">$AI88</f>
        <v>7428246.86575383</v>
      </c>
      <c r="CB88" s="231" t="n">
        <f aca="false">$D88*BV88</f>
        <v>1563159.59</v>
      </c>
      <c r="CC88" s="231" t="n">
        <f aca="false">$AK88</f>
        <v>-5502.3546971431</v>
      </c>
      <c r="CD88" s="231" t="n">
        <f aca="false">$Z88*'Inputs and Assumptions'!$C$15</f>
        <v>17368284.3795574</v>
      </c>
    </row>
    <row r="89" customFormat="false" ht="12.75" hidden="false" customHeight="false" outlineLevel="0" collapsed="false">
      <c r="A89" s="100" t="s">
        <v>338</v>
      </c>
      <c r="B89" s="84"/>
      <c r="C89" s="84"/>
      <c r="D89" s="268" t="n">
        <f aca="false">SUM(D72:D76)</f>
        <v>459426966.125</v>
      </c>
      <c r="E89" s="77" t="n">
        <f aca="false">SUM(E72:E76)</f>
        <v>17581729.691604</v>
      </c>
      <c r="F89" s="215"/>
      <c r="G89" s="242"/>
      <c r="H89" s="50" t="n">
        <f aca="false">SUM(H72:H76)</f>
        <v>17012271.036025</v>
      </c>
      <c r="I89" s="88" t="n">
        <f aca="false">H89/$H$127</f>
        <v>0.00541194045323966</v>
      </c>
      <c r="J89" s="77" t="n">
        <f aca="false">SUM(J72:J76)</f>
        <v>13311907.5708068</v>
      </c>
      <c r="K89" s="215"/>
      <c r="L89" s="129" t="n">
        <f aca="false">SUM(L72:L76)</f>
        <v>49062933.7206138</v>
      </c>
      <c r="M89" s="88" t="n">
        <f aca="false">L89/$L$127</f>
        <v>0.00702721285939472</v>
      </c>
      <c r="N89" s="77" t="n">
        <f aca="false">SUM(N72:N76)</f>
        <v>17285040.1575742</v>
      </c>
      <c r="O89" s="215"/>
      <c r="P89" s="244"/>
      <c r="Q89" s="50" t="n">
        <f aca="false">SUM(Q72:Q76)</f>
        <v>17719838.3625345</v>
      </c>
      <c r="R89" s="215"/>
      <c r="T89" s="245"/>
      <c r="U89" s="212" t="n">
        <f aca="false">SUM(U72:U76)</f>
        <v>11065313.7334332</v>
      </c>
      <c r="V89" s="88" t="n">
        <f aca="false">U89/$U$127</f>
        <v>0.00685195944805184</v>
      </c>
      <c r="W89" s="245"/>
      <c r="X89" s="212" t="n">
        <f aca="false">SUM(X72:X76)</f>
        <v>9192650.92263728</v>
      </c>
      <c r="Y89" s="88" t="n">
        <f aca="false">X89/$X$127</f>
        <v>0.00606439068707113</v>
      </c>
      <c r="Z89" s="88" t="n">
        <f aca="false">AVERAGE(V89,Y89)</f>
        <v>0.00645817506756148</v>
      </c>
      <c r="AA89" s="77" t="n">
        <f aca="false">SUM(AA72:AA76)</f>
        <v>15885361.3261773</v>
      </c>
      <c r="AB89" s="217"/>
      <c r="AC89" s="19"/>
      <c r="AD89" s="19"/>
      <c r="AE89" s="226"/>
      <c r="AF89" s="226"/>
      <c r="AG89" s="226"/>
      <c r="AH89" s="77" t="n">
        <f aca="false">SUM(AH72:AH76)</f>
        <v>10756711.5444717</v>
      </c>
      <c r="AI89" s="77" t="n">
        <f aca="false">SUM(AI72:AI76)</f>
        <v>33524368.4302058</v>
      </c>
      <c r="AJ89" s="77" t="n">
        <f aca="false">SUM(AJ72:AJ76)</f>
        <v>4594269.66125</v>
      </c>
      <c r="AK89" s="77"/>
      <c r="AL89" s="77" t="n">
        <f aca="false">SUM(AL72:AL76)</f>
        <v>48875349.6359276</v>
      </c>
      <c r="AM89" s="215"/>
      <c r="AN89" s="19"/>
      <c r="AO89" s="19"/>
      <c r="AP89" s="226"/>
      <c r="AQ89" s="226"/>
      <c r="AR89" s="226"/>
      <c r="AS89" s="77" t="n">
        <f aca="false">SUM(AS72:AS76)</f>
        <v>4666367.43321029</v>
      </c>
      <c r="AT89" s="77" t="n">
        <f aca="false">SUM(AT72:AT76)</f>
        <v>33524368.4302058</v>
      </c>
      <c r="AU89" s="77" t="n">
        <f aca="false">SUM(AU72:AU76)</f>
        <v>4594269.66125</v>
      </c>
      <c r="AV89" s="77" t="n">
        <f aca="false">SUM(AV72:AV76)</f>
        <v>0</v>
      </c>
      <c r="AW89" s="77" t="n">
        <f aca="false">SUM(AW72:AW76)</f>
        <v>42785005.5246661</v>
      </c>
      <c r="AX89" s="215"/>
      <c r="AY89" s="19"/>
      <c r="AZ89" s="19"/>
      <c r="BA89" s="226"/>
      <c r="BB89" s="226"/>
      <c r="BC89" s="226"/>
      <c r="BD89" s="77" t="n">
        <f aca="false">SUM(BD72:BD76)</f>
        <v>17436175.1238723</v>
      </c>
      <c r="BE89" s="77" t="n">
        <f aca="false">SUM(BE72:BE76)</f>
        <v>33524368.4302058</v>
      </c>
      <c r="BF89" s="77" t="n">
        <f aca="false">SUM(BF72:BF76)</f>
        <v>4594269.66125</v>
      </c>
      <c r="BG89" s="77" t="n">
        <f aca="false">SUM(BG72:BG76)</f>
        <v>0</v>
      </c>
      <c r="BH89" s="77" t="n">
        <f aca="false">SUM(BH72:BH76)</f>
        <v>55554813.2153282</v>
      </c>
      <c r="BI89" s="215"/>
      <c r="BJ89" s="19"/>
      <c r="BK89" s="19"/>
      <c r="BL89" s="226"/>
      <c r="BM89" s="226"/>
      <c r="BN89" s="226"/>
      <c r="BO89" s="77" t="n">
        <f aca="false">SUM(BO72:BO76)</f>
        <v>7665997.9317662</v>
      </c>
      <c r="BP89" s="77" t="n">
        <f aca="false">SUM(BP72:BP76)</f>
        <v>33524368.4302058</v>
      </c>
      <c r="BQ89" s="77" t="n">
        <f aca="false">SUM(BQ72:BQ76)</f>
        <v>4594269.66125</v>
      </c>
      <c r="BR89" s="77" t="n">
        <f aca="false">SUM(BR72:BR76)</f>
        <v>0</v>
      </c>
      <c r="BS89" s="77" t="n">
        <f aca="false">SUM(BS72:BS76)</f>
        <v>45784636.023222</v>
      </c>
      <c r="BT89" s="215"/>
      <c r="BU89" s="19"/>
      <c r="BV89" s="19"/>
      <c r="BW89" s="226"/>
      <c r="BX89" s="226"/>
      <c r="BY89" s="226"/>
      <c r="BZ89" s="77" t="n">
        <f aca="false">SUM(BZ72:BZ76)</f>
        <v>12937551.150145</v>
      </c>
      <c r="CA89" s="77" t="n">
        <f aca="false">SUM(CA72:CA76)</f>
        <v>33524368.4302058</v>
      </c>
      <c r="CB89" s="77" t="n">
        <f aca="false">SUM(CB72:CB76)</f>
        <v>4594269.66125</v>
      </c>
      <c r="CC89" s="77" t="n">
        <f aca="false">SUM(CC72:CC76)</f>
        <v>0</v>
      </c>
      <c r="CD89" s="77" t="n">
        <f aca="false">SUM(CD72:CD76)</f>
        <v>51056189.2416008</v>
      </c>
    </row>
    <row r="90" customFormat="false" ht="12.75" hidden="false" customHeight="false" outlineLevel="0" collapsed="false">
      <c r="A90" s="100" t="s">
        <v>339</v>
      </c>
      <c r="B90" s="84"/>
      <c r="C90" s="84"/>
      <c r="D90" s="269" t="n">
        <f aca="false">SUM(D77:D79,D82,D83,D87,D88)</f>
        <v>2963447237</v>
      </c>
      <c r="E90" s="231" t="n">
        <f aca="false">SUM(E77:E81,E83:E86,E88)</f>
        <v>113407640.643559</v>
      </c>
      <c r="F90" s="228"/>
      <c r="G90" s="250"/>
      <c r="H90" s="238" t="n">
        <f aca="false">SUM(H77:H81,H83:H86,H88)</f>
        <v>112902778.38951</v>
      </c>
      <c r="I90" s="91" t="n">
        <f aca="false">H90/$H$127</f>
        <v>0.0359166105663051</v>
      </c>
      <c r="J90" s="231" t="n">
        <f aca="false">SUM(J77:J81,J83:J86,J88)</f>
        <v>88345133.1821491</v>
      </c>
      <c r="K90" s="228"/>
      <c r="L90" s="232" t="n">
        <f aca="false">SUM(L77:L81,L83:L86,L88)</f>
        <v>308683205.77191</v>
      </c>
      <c r="M90" s="91" t="n">
        <f aca="false">L90/$L$127</f>
        <v>0.0442122479962541</v>
      </c>
      <c r="N90" s="231" t="n">
        <f aca="false">SUM(N77:N81,N83:N86,N88)</f>
        <v>108750154.202345</v>
      </c>
      <c r="O90" s="228"/>
      <c r="P90" s="270"/>
      <c r="Q90" s="238" t="n">
        <f aca="false">SUM(Q77:Q81,Q83:Q86,Q88)</f>
        <v>114064206.128567</v>
      </c>
      <c r="R90" s="228"/>
      <c r="S90" s="271"/>
      <c r="T90" s="266"/>
      <c r="U90" s="70" t="n">
        <f aca="false">SUM(U77:U81,U83:U86,U88)</f>
        <v>74141330.3235753</v>
      </c>
      <c r="V90" s="91" t="n">
        <f aca="false">U90/$U$127</f>
        <v>0.045910436978106</v>
      </c>
      <c r="W90" s="266"/>
      <c r="X90" s="70" t="n">
        <f aca="false">SUM(X77:X81,X83:X86,X88)</f>
        <v>62619629.547252</v>
      </c>
      <c r="Y90" s="91" t="n">
        <f aca="false">X90/$X$127</f>
        <v>0.0413101619380596</v>
      </c>
      <c r="Z90" s="91" t="n">
        <f aca="false">AVERAGE(V90,Y90)</f>
        <v>0.0436102994580828</v>
      </c>
      <c r="AA90" s="231" t="n">
        <f aca="false">SUM(AA77:AA81,AA83:AA86,AA88)</f>
        <v>107269523.849563</v>
      </c>
      <c r="AB90" s="237"/>
      <c r="AC90" s="252"/>
      <c r="AD90" s="252"/>
      <c r="AE90" s="253"/>
      <c r="AF90" s="253"/>
      <c r="AG90" s="253"/>
      <c r="AH90" s="231" t="n">
        <f aca="false">SUM(AH77:AH81,AH83:AH86,AH88)</f>
        <v>123068402.290812</v>
      </c>
      <c r="AI90" s="231" t="n">
        <f aca="false">SUM(AI77:AI88)</f>
        <v>162362887.74766</v>
      </c>
      <c r="AJ90" s="231" t="n">
        <f aca="false">SUM(AJ77:AJ81,AJ83:AJ86,AJ88)</f>
        <v>29634472.37</v>
      </c>
      <c r="AK90" s="231" t="n">
        <f aca="false">SUM(AK77:AK81,AK83:AK86,AK88)</f>
        <v>-195488.052370439</v>
      </c>
      <c r="AL90" s="231" t="n">
        <f aca="false">SUM(AL77:AL81,AL83:AL86,AL88)</f>
        <v>315261250.460842</v>
      </c>
      <c r="AM90" s="228"/>
      <c r="AN90" s="252"/>
      <c r="AO90" s="252"/>
      <c r="AP90" s="253"/>
      <c r="AQ90" s="253"/>
      <c r="AR90" s="253"/>
      <c r="AS90" s="231" t="n">
        <f aca="false">SUM(AS77:AS81,AS83:AS86,AS88)</f>
        <v>91751957.7242692</v>
      </c>
      <c r="AT90" s="231" t="n">
        <f aca="false">SUM(AT77:AT88)</f>
        <v>162362887.74766</v>
      </c>
      <c r="AU90" s="231" t="n">
        <f aca="false">SUM(AU77:AU81,AU83:AU86,AU88)</f>
        <v>29634472.37</v>
      </c>
      <c r="AV90" s="231" t="n">
        <f aca="false">SUM(AV77:AV81,AV83:AV86,AV88)</f>
        <v>-195488.052370439</v>
      </c>
      <c r="AW90" s="231" t="n">
        <f aca="false">SUM(AW77:AW81,AW83:AW86,AW88)</f>
        <v>283944805.8943</v>
      </c>
      <c r="AX90" s="228"/>
      <c r="AY90" s="252"/>
      <c r="AZ90" s="252"/>
      <c r="BA90" s="253"/>
      <c r="BB90" s="253"/>
      <c r="BC90" s="253"/>
      <c r="BD90" s="231" t="n">
        <f aca="false">SUM(BD77:BD81,BD83:BD86,BD88)</f>
        <v>157334514.727188</v>
      </c>
      <c r="BE90" s="231" t="n">
        <f aca="false">SUM(BE77:BE88)</f>
        <v>162362887.74766</v>
      </c>
      <c r="BF90" s="231" t="n">
        <f aca="false">SUM(BF77:BF81,BF83:BF86,BF88)</f>
        <v>29634472.37</v>
      </c>
      <c r="BG90" s="231" t="n">
        <f aca="false">SUM(BG77:BG81,BG83:BG86,BG88)</f>
        <v>-195488.052370439</v>
      </c>
      <c r="BH90" s="231" t="n">
        <f aca="false">SUM(BH77:BH81,BH83:BH86,BH88)</f>
        <v>349527362.897219</v>
      </c>
      <c r="BI90" s="228"/>
      <c r="BJ90" s="252"/>
      <c r="BK90" s="252"/>
      <c r="BL90" s="253"/>
      <c r="BM90" s="253"/>
      <c r="BN90" s="253"/>
      <c r="BO90" s="231" t="n">
        <f aca="false">SUM(BO77:BO81,BO83:BO86,BO88)</f>
        <v>102527005.0266</v>
      </c>
      <c r="BP90" s="231" t="n">
        <f aca="false">SUM(BP77:BP88)</f>
        <v>162362887.74766</v>
      </c>
      <c r="BQ90" s="231" t="n">
        <f aca="false">SUM(BQ77:BQ81,BQ83:BQ86,BQ88)</f>
        <v>29634472.37</v>
      </c>
      <c r="BR90" s="231" t="n">
        <f aca="false">SUM(BR77:BR81,BR83:BR86,BR88)</f>
        <v>-195488.052370439</v>
      </c>
      <c r="BS90" s="231" t="n">
        <f aca="false">SUM(BS77:BS81,BS83:BS86,BS88)</f>
        <v>294719853.196631</v>
      </c>
      <c r="BT90" s="228"/>
      <c r="BU90" s="252"/>
      <c r="BV90" s="252"/>
      <c r="BW90" s="253"/>
      <c r="BX90" s="253"/>
      <c r="BY90" s="253"/>
      <c r="BZ90" s="231" t="n">
        <f aca="false">SUM(BZ77:BZ81,BZ83:BZ86,BZ88)</f>
        <v>152575709.3128</v>
      </c>
      <c r="CA90" s="231" t="n">
        <f aca="false">SUM(CA77:CA88)</f>
        <v>162362887.74766</v>
      </c>
      <c r="CB90" s="231" t="n">
        <f aca="false">SUM(CB77:CB81,CB83:CB86,CB88)</f>
        <v>29634472.37</v>
      </c>
      <c r="CC90" s="231" t="n">
        <f aca="false">SUM(CC77:CC81,CC83:CC86,CC88)</f>
        <v>-195488.052370439</v>
      </c>
      <c r="CD90" s="231" t="n">
        <f aca="false">SUM(CD77:CD81,CD83:CD86,CD88)</f>
        <v>344768557.482831</v>
      </c>
    </row>
    <row r="91" customFormat="false" ht="12.75" hidden="false" customHeight="false" outlineLevel="0" collapsed="false">
      <c r="A91" s="95" t="s">
        <v>340</v>
      </c>
      <c r="B91" s="98"/>
      <c r="C91" s="98"/>
      <c r="D91" s="268" t="n">
        <f aca="false">SUM(D89:D90)</f>
        <v>3422874203.125</v>
      </c>
      <c r="E91" s="77" t="n">
        <f aca="false">SUM(E89:E90)</f>
        <v>130989370.335163</v>
      </c>
      <c r="F91" s="215"/>
      <c r="G91" s="242"/>
      <c r="H91" s="50" t="n">
        <f aca="false">SUM(H89:H90)</f>
        <v>129915049.425535</v>
      </c>
      <c r="I91" s="88" t="n">
        <f aca="false">H91/$H$127</f>
        <v>0.0413285510195448</v>
      </c>
      <c r="J91" s="77" t="n">
        <f aca="false">SUM(J89:J90)</f>
        <v>101657040.752956</v>
      </c>
      <c r="K91" s="215"/>
      <c r="L91" s="129" t="n">
        <f aca="false">SUM(L89:L90)</f>
        <v>357746139.492524</v>
      </c>
      <c r="M91" s="88" t="n">
        <f aca="false">L91/$L$127</f>
        <v>0.0512394608556488</v>
      </c>
      <c r="N91" s="77" t="n">
        <f aca="false">SUM(N89:N90)</f>
        <v>126035194.35992</v>
      </c>
      <c r="O91" s="215"/>
      <c r="P91" s="244"/>
      <c r="Q91" s="50" t="n">
        <f aca="false">SUM(Q89:Q90)</f>
        <v>131784044.491101</v>
      </c>
      <c r="R91" s="215"/>
      <c r="T91" s="245"/>
      <c r="U91" s="212" t="n">
        <f aca="false">SUM(U89:U90)</f>
        <v>85206644.0570084</v>
      </c>
      <c r="V91" s="88" t="n">
        <f aca="false">U91/$U$127</f>
        <v>0.0527623964261579</v>
      </c>
      <c r="W91" s="245"/>
      <c r="X91" s="212" t="n">
        <f aca="false">SUM(X89:X90)</f>
        <v>71812280.4698893</v>
      </c>
      <c r="Y91" s="88" t="n">
        <f aca="false">X91/$X$127</f>
        <v>0.0473745526251307</v>
      </c>
      <c r="Z91" s="88" t="n">
        <f aca="false">AVERAGE(V91,Y91)</f>
        <v>0.0500684745256443</v>
      </c>
      <c r="AA91" s="77" t="n">
        <f aca="false">SUM(AA89:AA90)</f>
        <v>123154885.17574</v>
      </c>
      <c r="AB91" s="217"/>
      <c r="AC91" s="19" t="n">
        <f aca="false">CHOOSE(gen_choice,'Generation Calculations'!$O94,'Generation Calculations'!$P94)</f>
        <v>0.057228879752293</v>
      </c>
      <c r="AD91" s="19" t="n">
        <f aca="false">AJ91/$D$91</f>
        <v>0.01</v>
      </c>
      <c r="AE91" s="17" t="n">
        <f aca="false">AH91/$D91</f>
        <v>0.0390972924780888</v>
      </c>
      <c r="AF91" s="17" t="n">
        <f aca="false">AK91/$D91*-1</f>
        <v>5.71122515083853E-005</v>
      </c>
      <c r="AG91" s="17" t="n">
        <f aca="false">AL91/$D91</f>
        <v>0.10638328448189</v>
      </c>
      <c r="AH91" s="77" t="n">
        <f aca="false">AL91+AK91-SUM(AI91:AJ91)</f>
        <v>133825113.835283</v>
      </c>
      <c r="AI91" s="77" t="n">
        <f aca="false">SUM(AI89:AI90)</f>
        <v>195887256.177866</v>
      </c>
      <c r="AJ91" s="77" t="n">
        <f aca="false">SUM(AJ89:AJ90)</f>
        <v>34228742.03125</v>
      </c>
      <c r="AK91" s="77" t="n">
        <f aca="false">SUM(AK89:AK90)</f>
        <v>-195488.052370439</v>
      </c>
      <c r="AL91" s="77" t="n">
        <f aca="false">SUM(AL89:AL90)</f>
        <v>364136600.09677</v>
      </c>
      <c r="AM91" s="215"/>
      <c r="AN91" s="19" t="n">
        <f aca="false">CHOOSE(gen_choice,'Generation Calculations'!$O94,'Generation Calculations'!$P94)</f>
        <v>0.057228879752293</v>
      </c>
      <c r="AO91" s="19" t="n">
        <f aca="false">AU91/$D$91</f>
        <v>0.01</v>
      </c>
      <c r="AP91" s="17" t="n">
        <f aca="false">AS91/$D91</f>
        <v>0.0281688193709988</v>
      </c>
      <c r="AQ91" s="17" t="n">
        <f aca="false">AV91/$D91*-1</f>
        <v>5.71122515083853E-005</v>
      </c>
      <c r="AR91" s="17" t="n">
        <f aca="false">AW91/$D91</f>
        <v>0.0954548113748001</v>
      </c>
      <c r="AS91" s="77" t="n">
        <f aca="false">SUM(AS89:AS90)</f>
        <v>96418325.1574795</v>
      </c>
      <c r="AT91" s="77" t="n">
        <f aca="false">SUM(AT89:AT90)</f>
        <v>195887256.177866</v>
      </c>
      <c r="AU91" s="77" t="n">
        <f aca="false">SUM(AU89:AU90)</f>
        <v>34228742.03125</v>
      </c>
      <c r="AV91" s="77" t="n">
        <f aca="false">SUM(AV89:AV90)</f>
        <v>-195488.052370439</v>
      </c>
      <c r="AW91" s="77" t="n">
        <f aca="false">SUM(AW89:AW90)</f>
        <v>326729811.418966</v>
      </c>
      <c r="AX91" s="215"/>
      <c r="AY91" s="19" t="n">
        <f aca="false">CHOOSE(gen_choice,'Generation Calculations'!$O94,'Generation Calculations'!$P94)</f>
        <v>0.057228879752293</v>
      </c>
      <c r="AZ91" s="19" t="n">
        <f aca="false">BF91/$D$91</f>
        <v>0.01</v>
      </c>
      <c r="BA91" s="17" t="n">
        <f aca="false">BD91/$D91</f>
        <v>0.0510596298547868</v>
      </c>
      <c r="BB91" s="17" t="n">
        <f aca="false">BG91/$D91*-1</f>
        <v>5.71122515083853E-005</v>
      </c>
      <c r="BC91" s="17" t="n">
        <f aca="false">BH91/$D91</f>
        <v>0.118345621858588</v>
      </c>
      <c r="BD91" s="77" t="n">
        <f aca="false">SUM(BD89:BD90)</f>
        <v>174770689.851061</v>
      </c>
      <c r="BE91" s="77" t="n">
        <f aca="false">SUM(BE89:BE90)</f>
        <v>195887256.177866</v>
      </c>
      <c r="BF91" s="77" t="n">
        <f aca="false">SUM(BF89:BF90)</f>
        <v>34228742.03125</v>
      </c>
      <c r="BG91" s="77" t="n">
        <f aca="false">SUM(BG89:BG90)</f>
        <v>-195488.052370439</v>
      </c>
      <c r="BH91" s="77" t="n">
        <f aca="false">SUM(BH89:BH90)</f>
        <v>405082176.112547</v>
      </c>
      <c r="BI91" s="215"/>
      <c r="BJ91" s="19" t="n">
        <f aca="false">CHOOSE(gen_choice,'Generation Calculations'!$O94,'Generation Calculations'!$P94)</f>
        <v>0.057228879752293</v>
      </c>
      <c r="BK91" s="19" t="n">
        <f aca="false">BQ91/$D$91</f>
        <v>0.01</v>
      </c>
      <c r="BL91" s="17" t="n">
        <f aca="false">BO91/$D91</f>
        <v>0.0321931208741948</v>
      </c>
      <c r="BM91" s="17" t="n">
        <f aca="false">BR91/$D91*-1</f>
        <v>5.71122515083853E-005</v>
      </c>
      <c r="BN91" s="17" t="n">
        <f aca="false">BS91/$D91</f>
        <v>0.0994791128779961</v>
      </c>
      <c r="BO91" s="77" t="n">
        <f aca="false">SUM(BO89:BO90)</f>
        <v>110193002.958366</v>
      </c>
      <c r="BP91" s="77" t="n">
        <f aca="false">SUM(BP89:BP90)</f>
        <v>195887256.177866</v>
      </c>
      <c r="BQ91" s="77" t="n">
        <f aca="false">SUM(BQ89:BQ90)</f>
        <v>34228742.03125</v>
      </c>
      <c r="BR91" s="77" t="n">
        <f aca="false">SUM(BR89:BR90)</f>
        <v>-195488.052370439</v>
      </c>
      <c r="BS91" s="77" t="n">
        <f aca="false">SUM(BS89:BS90)</f>
        <v>340504489.219853</v>
      </c>
      <c r="BT91" s="215"/>
      <c r="BU91" s="19" t="n">
        <f aca="false">CHOOSE(gen_choice,'Generation Calculations'!$O94,'Generation Calculations'!$P94)</f>
        <v>0.057228879752293</v>
      </c>
      <c r="BV91" s="19" t="n">
        <f aca="false">CB91/$D$91</f>
        <v>0.01</v>
      </c>
      <c r="BW91" s="17" t="n">
        <f aca="false">BZ91/$D91</f>
        <v>0.0483550521114203</v>
      </c>
      <c r="BX91" s="17" t="n">
        <f aca="false">CC91/$D91*-1</f>
        <v>5.71122515083853E-005</v>
      </c>
      <c r="BY91" s="17" t="n">
        <f aca="false">CD91/$D91</f>
        <v>0.115641044115222</v>
      </c>
      <c r="BZ91" s="77" t="n">
        <f aca="false">SUM(BZ89:BZ90)</f>
        <v>165513260.462945</v>
      </c>
      <c r="CA91" s="77" t="n">
        <f aca="false">SUM(CA89:CA90)</f>
        <v>195887256.177866</v>
      </c>
      <c r="CB91" s="77" t="n">
        <f aca="false">SUM(CB89:CB90)</f>
        <v>34228742.03125</v>
      </c>
      <c r="CC91" s="77" t="n">
        <f aca="false">SUM(CC89:CC90)</f>
        <v>-195488.052370439</v>
      </c>
      <c r="CD91" s="77" t="n">
        <f aca="false">SUM(CD89:CD90)</f>
        <v>395824746.724432</v>
      </c>
    </row>
    <row r="92" customFormat="false" ht="12.75" hidden="false" customHeight="false" outlineLevel="0" collapsed="false">
      <c r="A92" s="85"/>
      <c r="B92" s="82"/>
      <c r="C92" s="82"/>
      <c r="D92" s="159"/>
      <c r="E92" s="77"/>
      <c r="F92" s="215"/>
      <c r="G92" s="242"/>
      <c r="H92" s="13"/>
      <c r="I92" s="88"/>
      <c r="J92" s="77"/>
      <c r="K92" s="215"/>
      <c r="L92" s="129"/>
      <c r="M92" s="88"/>
      <c r="N92" s="77"/>
      <c r="O92" s="215"/>
      <c r="P92" s="244"/>
      <c r="Q92" s="13"/>
      <c r="R92" s="215"/>
      <c r="T92" s="245"/>
      <c r="V92" s="88"/>
      <c r="W92" s="245"/>
      <c r="X92" s="212"/>
      <c r="Y92" s="88"/>
      <c r="Z92" s="88"/>
      <c r="AA92" s="129"/>
      <c r="AB92" s="217"/>
      <c r="AC92" s="74"/>
      <c r="AD92" s="19"/>
      <c r="AH92" s="77"/>
      <c r="AJ92" s="77"/>
      <c r="AK92" s="77"/>
      <c r="AL92" s="77" t="n">
        <f aca="false">AL91-SUM(AH91:AJ91)+AK91</f>
        <v>-9.86619852483273E-009</v>
      </c>
      <c r="AM92" s="215"/>
      <c r="AN92" s="74"/>
      <c r="AO92" s="19"/>
      <c r="AP92" s="0"/>
      <c r="AQ92" s="0"/>
      <c r="AR92" s="0"/>
      <c r="AS92" s="77"/>
      <c r="AT92" s="77"/>
      <c r="AU92" s="77"/>
      <c r="AV92" s="77"/>
      <c r="AW92" s="77"/>
      <c r="AX92" s="215"/>
      <c r="AY92" s="74"/>
      <c r="AZ92" s="19"/>
      <c r="BA92" s="0"/>
      <c r="BB92" s="0"/>
      <c r="BC92" s="0"/>
      <c r="BD92" s="77"/>
      <c r="BE92" s="77"/>
      <c r="BF92" s="77"/>
      <c r="BG92" s="77"/>
      <c r="BH92" s="77"/>
      <c r="BI92" s="215"/>
      <c r="BJ92" s="74"/>
      <c r="BK92" s="19"/>
      <c r="BL92" s="0"/>
      <c r="BM92" s="0"/>
      <c r="BN92" s="0"/>
      <c r="BO92" s="77"/>
      <c r="BP92" s="77"/>
      <c r="BQ92" s="77"/>
      <c r="BR92" s="77"/>
      <c r="BS92" s="77"/>
      <c r="BT92" s="215"/>
      <c r="BU92" s="74"/>
      <c r="BV92" s="19"/>
      <c r="BW92" s="0"/>
      <c r="BX92" s="0"/>
      <c r="BY92" s="0"/>
      <c r="BZ92" s="77"/>
      <c r="CA92" s="77"/>
      <c r="CB92" s="77"/>
      <c r="CC92" s="77"/>
      <c r="CD92" s="77"/>
    </row>
    <row r="93" customFormat="false" ht="12.75" hidden="false" customHeight="false" outlineLevel="0" collapsed="false">
      <c r="A93" s="85" t="s">
        <v>341</v>
      </c>
      <c r="B93" s="82"/>
      <c r="C93" s="82"/>
      <c r="D93" s="159"/>
      <c r="E93" s="77"/>
      <c r="F93" s="215"/>
      <c r="G93" s="242"/>
      <c r="H93" s="13"/>
      <c r="I93" s="88"/>
      <c r="J93" s="77"/>
      <c r="K93" s="215"/>
      <c r="L93" s="129"/>
      <c r="M93" s="88"/>
      <c r="N93" s="77"/>
      <c r="O93" s="215"/>
      <c r="P93" s="244"/>
      <c r="Q93" s="13"/>
      <c r="R93" s="215"/>
      <c r="T93" s="245"/>
      <c r="V93" s="88"/>
      <c r="W93" s="245"/>
      <c r="X93" s="212"/>
      <c r="Y93" s="88"/>
      <c r="Z93" s="88"/>
      <c r="AA93" s="129"/>
      <c r="AB93" s="217"/>
      <c r="AC93" s="74"/>
      <c r="AD93" s="19"/>
      <c r="AH93" s="77"/>
      <c r="AJ93" s="77"/>
      <c r="AK93" s="77"/>
      <c r="AL93" s="77"/>
      <c r="AM93" s="215"/>
      <c r="AN93" s="74"/>
      <c r="AO93" s="19"/>
      <c r="AP93" s="0"/>
      <c r="AQ93" s="0"/>
      <c r="AR93" s="0"/>
      <c r="AS93" s="77"/>
      <c r="AT93" s="77"/>
      <c r="AU93" s="77"/>
      <c r="AV93" s="77"/>
      <c r="AW93" s="77"/>
      <c r="AX93" s="215"/>
      <c r="AY93" s="74"/>
      <c r="AZ93" s="19"/>
      <c r="BA93" s="0"/>
      <c r="BB93" s="0"/>
      <c r="BC93" s="0"/>
      <c r="BD93" s="77"/>
      <c r="BE93" s="77"/>
      <c r="BF93" s="77"/>
      <c r="BG93" s="77"/>
      <c r="BH93" s="77"/>
      <c r="BI93" s="215"/>
      <c r="BJ93" s="74"/>
      <c r="BK93" s="19"/>
      <c r="BL93" s="0"/>
      <c r="BM93" s="0"/>
      <c r="BN93" s="0"/>
      <c r="BO93" s="77"/>
      <c r="BP93" s="77"/>
      <c r="BQ93" s="77"/>
      <c r="BR93" s="77"/>
      <c r="BS93" s="77"/>
      <c r="BT93" s="215"/>
      <c r="BU93" s="74"/>
      <c r="BV93" s="19"/>
      <c r="BW93" s="0"/>
      <c r="BX93" s="0"/>
      <c r="BY93" s="0"/>
      <c r="BZ93" s="77"/>
      <c r="CA93" s="77"/>
      <c r="CB93" s="77"/>
      <c r="CC93" s="77"/>
      <c r="CD93" s="77"/>
    </row>
    <row r="94" customFormat="false" ht="12.75" hidden="false" customHeight="false" outlineLevel="0" collapsed="false">
      <c r="A94" s="94" t="s">
        <v>342</v>
      </c>
      <c r="B94" s="82" t="s">
        <v>236</v>
      </c>
      <c r="C94" s="82" t="n">
        <v>3</v>
      </c>
      <c r="D94" s="170" t="n">
        <v>4077242526.23564</v>
      </c>
      <c r="E94" s="77" t="n">
        <f aca="false">surcharge_1*D94</f>
        <v>156031276.500831</v>
      </c>
      <c r="F94" s="215"/>
      <c r="G94" s="242" t="n">
        <f aca="false">0.03601</f>
        <v>0.03601</v>
      </c>
      <c r="H94" s="13" t="n">
        <f aca="false">G94*D94</f>
        <v>146821503.369745</v>
      </c>
      <c r="I94" s="88" t="n">
        <f aca="false">H94/$H$127</f>
        <v>0.0467068289594948</v>
      </c>
      <c r="J94" s="77" t="n">
        <f aca="false">I94*$E$129</f>
        <v>114886147.659309</v>
      </c>
      <c r="K94" s="215"/>
      <c r="L94" s="243" t="n">
        <v>317291013.391657</v>
      </c>
      <c r="M94" s="88" t="n">
        <f aca="false">L94/$L$127</f>
        <v>0.045445131800984</v>
      </c>
      <c r="N94" s="77" t="n">
        <f aca="false">M94*$E$129</f>
        <v>111782714.408045</v>
      </c>
      <c r="O94" s="215"/>
      <c r="P94" s="244" t="n">
        <f aca="false">T_Equal</f>
        <v>0.0362588233906064</v>
      </c>
      <c r="Q94" s="13" t="n">
        <f aca="false">P94*D94</f>
        <v>147836016.679448</v>
      </c>
      <c r="R94" s="215"/>
      <c r="S94" s="211" t="n">
        <f aca="false">$D94/$D$122</f>
        <v>0.550646937419452</v>
      </c>
      <c r="T94" s="245" t="n">
        <v>90447566.613451</v>
      </c>
      <c r="U94" s="212" t="n">
        <f aca="false">$S94*T94</f>
        <v>49804675.5527387</v>
      </c>
      <c r="V94" s="88" t="n">
        <f aca="false">U94/$U$127</f>
        <v>0.0308404827401911</v>
      </c>
      <c r="W94" s="245" t="n">
        <v>93601441.81077</v>
      </c>
      <c r="X94" s="212" t="n">
        <f aca="false">$S94*W94</f>
        <v>51541347.2711456</v>
      </c>
      <c r="Y94" s="88" t="n">
        <f aca="false">X94/$X$127</f>
        <v>0.0340018204781958</v>
      </c>
      <c r="Z94" s="88" t="n">
        <f aca="false">AVERAGE(V94,Y94)</f>
        <v>0.0324211516091934</v>
      </c>
      <c r="AA94" s="129" t="n">
        <f aca="false">$Z94*'Inputs and Assumptions'!$C$6</f>
        <v>79747250.9702772</v>
      </c>
      <c r="AB94" s="217"/>
      <c r="AC94" s="255" t="n">
        <f aca="false">CHOOSE(gen_choice,'Generation Calculations'!$O97,'Generation Calculations'!$P97)</f>
        <v>0.0471072774830331</v>
      </c>
      <c r="AD94" s="256" t="n">
        <f aca="false">EPS</f>
        <v>0.01</v>
      </c>
      <c r="AE94" s="247" t="n">
        <f aca="false">AG94-SUM(AC94:AD94,AF94)</f>
        <v>0.0536573150464517</v>
      </c>
      <c r="AF94" s="226" t="n">
        <f aca="false">AK94/$D94*-1</f>
        <v>-0.0043813080475947</v>
      </c>
      <c r="AG94" s="226" t="n">
        <f aca="false">AL94/$D94</f>
        <v>0.10638328448189</v>
      </c>
      <c r="AH94" s="77" t="n">
        <f aca="false">$D94*AE94</f>
        <v>218773886.751016</v>
      </c>
      <c r="AI94" s="258" t="n">
        <f aca="false">CHOOSE(gen_choice,'Generation Calculations'!$M97,'Generation Calculations'!$N97)</f>
        <v>192067795.049005</v>
      </c>
      <c r="AJ94" s="77" t="n">
        <f aca="false">$D94*AD94</f>
        <v>40772425.2623564</v>
      </c>
      <c r="AK94" s="248" t="n">
        <f aca="false">CHOOSE(gen_choice,'Generation Calculations'!K97,'Generation Calculations'!L97)</f>
        <v>17863655.4921915</v>
      </c>
      <c r="AL94" s="77" t="n">
        <f aca="false">$D94*gen_equal</f>
        <v>433750451.570186</v>
      </c>
      <c r="AM94" s="215"/>
      <c r="AN94" s="255" t="n">
        <f aca="false">CHOOSE(gen_choice,'Generation Calculations'!$O97,'Generation Calculations'!$P97)</f>
        <v>0.0471072774830331</v>
      </c>
      <c r="AO94" s="256" t="n">
        <f aca="false">EPS</f>
        <v>0.01</v>
      </c>
      <c r="AP94" s="247" t="n">
        <f aca="false">AR94-SUM(AN94:AO94,AQ94)</f>
        <v>0.037837368385872</v>
      </c>
      <c r="AQ94" s="226" t="n">
        <f aca="false">AV94/$D94*-1</f>
        <v>-0.0043813080475947</v>
      </c>
      <c r="AR94" s="226" t="n">
        <f aca="false">AW94/$D94</f>
        <v>0.0905633378213104</v>
      </c>
      <c r="AS94" s="77" t="n">
        <f aca="false">$D94*AP94</f>
        <v>154272127.463721</v>
      </c>
      <c r="AT94" s="77" t="n">
        <f aca="false">$AI94</f>
        <v>192067795.049005</v>
      </c>
      <c r="AU94" s="77" t="n">
        <f aca="false">$D94*AO94</f>
        <v>40772425.2623564</v>
      </c>
      <c r="AV94" s="77" t="n">
        <f aca="false">$AK94</f>
        <v>17863655.4921915</v>
      </c>
      <c r="AW94" s="77" t="n">
        <f aca="false">$I94*'Inputs and Assumptions'!$C$15</f>
        <v>369248692.282891</v>
      </c>
      <c r="AX94" s="215"/>
      <c r="AY94" s="255" t="n">
        <f aca="false">CHOOSE(gen_choice,'Generation Calculations'!$O97,'Generation Calculations'!$P97)</f>
        <v>0.0471072774830331</v>
      </c>
      <c r="AZ94" s="256" t="n">
        <f aca="false">EPS</f>
        <v>0.01</v>
      </c>
      <c r="BA94" s="247" t="n">
        <f aca="false">BC94-SUM(AY94:AZ94,BB94)</f>
        <v>0.0353909701066505</v>
      </c>
      <c r="BB94" s="226" t="n">
        <f aca="false">BG94/$D94*-1</f>
        <v>-0.0043813080475947</v>
      </c>
      <c r="BC94" s="226" t="n">
        <f aca="false">BH94/$D94</f>
        <v>0.0881169395420889</v>
      </c>
      <c r="BD94" s="77" t="n">
        <f aca="false">$D94*BA94</f>
        <v>144297568.36357</v>
      </c>
      <c r="BE94" s="77" t="n">
        <f aca="false">$AI94</f>
        <v>192067795.049005</v>
      </c>
      <c r="BF94" s="77" t="n">
        <f aca="false">$D94*AZ94</f>
        <v>40772425.2623564</v>
      </c>
      <c r="BG94" s="77" t="n">
        <f aca="false">$AK94</f>
        <v>17863655.4921915</v>
      </c>
      <c r="BH94" s="77" t="n">
        <f aca="false">$M94*'Inputs and Assumptions'!$C$15</f>
        <v>359274133.18274</v>
      </c>
      <c r="BI94" s="215"/>
      <c r="BJ94" s="255" t="n">
        <f aca="false">CHOOSE(gen_choice,'Generation Calculations'!$O97,'Generation Calculations'!$P97)</f>
        <v>0.0471072774830331</v>
      </c>
      <c r="BK94" s="256" t="n">
        <f aca="false">EPS</f>
        <v>0.01</v>
      </c>
      <c r="BL94" s="247" t="n">
        <f aca="false">BN94-SUM(BJ94:BK94,BM94)</f>
        <v>0.0409598192046649</v>
      </c>
      <c r="BM94" s="226" t="n">
        <f aca="false">BR94/$D94*-1</f>
        <v>-0.0043813080475947</v>
      </c>
      <c r="BN94" s="226" t="n">
        <f aca="false">BS94/$D94</f>
        <v>0.0936857886401033</v>
      </c>
      <c r="BO94" s="77" t="n">
        <f aca="false">$D94*BL94</f>
        <v>167003116.728183</v>
      </c>
      <c r="BP94" s="77" t="n">
        <f aca="false">$AI94</f>
        <v>192067795.049005</v>
      </c>
      <c r="BQ94" s="77" t="n">
        <f aca="false">$D94*BK94</f>
        <v>40772425.2623564</v>
      </c>
      <c r="BR94" s="77" t="n">
        <f aca="false">$AK94</f>
        <v>17863655.4921915</v>
      </c>
      <c r="BS94" s="77" t="n">
        <f aca="false">D94*T_equal_gen</f>
        <v>381979681.547353</v>
      </c>
      <c r="BT94" s="215"/>
      <c r="BU94" s="255" t="n">
        <f aca="false">CHOOSE(gen_choice,'Generation Calculations'!$O97,'Generation Calculations'!$P97)</f>
        <v>0.0471072774830331</v>
      </c>
      <c r="BV94" s="256" t="n">
        <f aca="false">EPS</f>
        <v>0.01</v>
      </c>
      <c r="BW94" s="247" t="n">
        <f aca="false">BY94-SUM(BU94:BV94,BX94)</f>
        <v>0.010137808113785</v>
      </c>
      <c r="BX94" s="226" t="n">
        <f aca="false">CC94/$D94*-1</f>
        <v>-0.0043813080475947</v>
      </c>
      <c r="BY94" s="226" t="n">
        <f aca="false">CD94/$D94</f>
        <v>0.0628637775492234</v>
      </c>
      <c r="BZ94" s="77" t="n">
        <f aca="false">$D94*BW94</f>
        <v>41334302.3643408</v>
      </c>
      <c r="CA94" s="77" t="n">
        <f aca="false">$AI94</f>
        <v>192067795.049005</v>
      </c>
      <c r="CB94" s="77" t="n">
        <f aca="false">$D94*BV94</f>
        <v>40772425.2623564</v>
      </c>
      <c r="CC94" s="77" t="n">
        <f aca="false">$AK94</f>
        <v>17863655.4921915</v>
      </c>
      <c r="CD94" s="77" t="n">
        <f aca="false">$Z94*'Inputs and Assumptions'!$C$15</f>
        <v>256310867.183511</v>
      </c>
    </row>
    <row r="95" customFormat="false" ht="12.75" hidden="false" customHeight="false" outlineLevel="0" collapsed="false">
      <c r="A95" s="94" t="s">
        <v>343</v>
      </c>
      <c r="B95" s="82" t="s">
        <v>236</v>
      </c>
      <c r="C95" s="82" t="n">
        <v>3</v>
      </c>
      <c r="D95" s="177" t="n">
        <v>2964888209.77985</v>
      </c>
      <c r="E95" s="231" t="n">
        <f aca="false">surcharge_1*D95</f>
        <v>113462784.977211</v>
      </c>
      <c r="F95" s="228"/>
      <c r="G95" s="250" t="n">
        <f aca="false">G94</f>
        <v>0.03601</v>
      </c>
      <c r="H95" s="13" t="n">
        <f aca="false">G95*D95</f>
        <v>106765624.434173</v>
      </c>
      <c r="I95" s="91" t="n">
        <f aca="false">H95/$H$127</f>
        <v>0.033964260307582</v>
      </c>
      <c r="J95" s="231" t="n">
        <f aca="false">I95*$E$129</f>
        <v>83542880.3830805</v>
      </c>
      <c r="K95" s="228"/>
      <c r="L95" s="251" t="n">
        <v>230727600.485068</v>
      </c>
      <c r="M95" s="91" t="n">
        <f aca="false">L95/$L$127</f>
        <v>0.033046779680538</v>
      </c>
      <c r="N95" s="231" t="n">
        <f aca="false">M95*$E$129</f>
        <v>81286126.5605388</v>
      </c>
      <c r="O95" s="228"/>
      <c r="P95" s="244" t="n">
        <f aca="false">T_Equal</f>
        <v>0.0362588233906064</v>
      </c>
      <c r="Q95" s="13" t="n">
        <f aca="false">P95*D95</f>
        <v>107503357.971299</v>
      </c>
      <c r="R95" s="228"/>
      <c r="S95" s="211" t="n">
        <f aca="false">$D95/$D$122</f>
        <v>0.400419303487851</v>
      </c>
      <c r="T95" s="245" t="n">
        <v>90447566.613451</v>
      </c>
      <c r="U95" s="70" t="n">
        <f aca="false">$S95*T95</f>
        <v>36216951.625529</v>
      </c>
      <c r="V95" s="91" t="n">
        <f aca="false">U95/$U$127</f>
        <v>0.0224265745959275</v>
      </c>
      <c r="W95" s="245" t="n">
        <v>93601441.81077</v>
      </c>
      <c r="X95" s="70" t="n">
        <f aca="false">$S95*W95</f>
        <v>37479824.1353271</v>
      </c>
      <c r="Y95" s="91" t="n">
        <f aca="false">X95/$X$127</f>
        <v>0.024725435388787</v>
      </c>
      <c r="Z95" s="91" t="n">
        <f aca="false">AVERAGE(V95,Y95)</f>
        <v>0.0235760049923573</v>
      </c>
      <c r="AA95" s="232" t="n">
        <f aca="false">$Z95*'Inputs and Assumptions'!$C$6</f>
        <v>57990586.1970952</v>
      </c>
      <c r="AB95" s="237"/>
      <c r="AC95" s="262" t="n">
        <f aca="false">CHOOSE(gen_choice,'Generation Calculations'!$O98,'Generation Calculations'!$P98)</f>
        <v>0.0468415440345757</v>
      </c>
      <c r="AD95" s="263" t="n">
        <f aca="false">EPS</f>
        <v>0.01</v>
      </c>
      <c r="AE95" s="264" t="n">
        <f aca="false">AG95-SUM(AC95:AD95,AF95)</f>
        <v>0.0645314184310484</v>
      </c>
      <c r="AF95" s="253" t="n">
        <f aca="false">AK95/$D95*-1</f>
        <v>-0.0149896779837339</v>
      </c>
      <c r="AG95" s="253" t="n">
        <f aca="false">AL95/$D95</f>
        <v>0.10638328448189</v>
      </c>
      <c r="AH95" s="231" t="n">
        <f aca="false">$D95*AE95</f>
        <v>191328441.666586</v>
      </c>
      <c r="AI95" s="260" t="n">
        <f aca="false">CHOOSE(gen_choice,'Generation Calculations'!$M98,'Generation Calculations'!$N98)</f>
        <v>138879941.635997</v>
      </c>
      <c r="AJ95" s="231" t="n">
        <f aca="false">$D95*AD95</f>
        <v>29648882.0977985</v>
      </c>
      <c r="AK95" s="254" t="n">
        <f aca="false">CHOOSE(gen_choice,'Generation Calculations'!K98,'Generation Calculations'!L98)</f>
        <v>44442719.5223694</v>
      </c>
      <c r="AL95" s="231" t="n">
        <f aca="false">$D95*gen_equal</f>
        <v>315414545.878012</v>
      </c>
      <c r="AM95" s="228"/>
      <c r="AN95" s="262" t="n">
        <f aca="false">CHOOSE(gen_choice,'Generation Calculations'!$O98,'Generation Calculations'!$P98)</f>
        <v>0.0468415440345757</v>
      </c>
      <c r="AO95" s="263" t="n">
        <f aca="false">EPS</f>
        <v>0.01</v>
      </c>
      <c r="AP95" s="264" t="n">
        <f aca="false">AR95-SUM(AN95:AO95,AQ95)</f>
        <v>0.0487114717704687</v>
      </c>
      <c r="AQ95" s="253" t="n">
        <f aca="false">AV95/$D95*-1</f>
        <v>-0.0149896779837339</v>
      </c>
      <c r="AR95" s="253" t="n">
        <f aca="false">AW95/$D95</f>
        <v>0.0905633378213104</v>
      </c>
      <c r="AS95" s="231" t="n">
        <f aca="false">$D95*AP95</f>
        <v>144424068.333287</v>
      </c>
      <c r="AT95" s="231" t="n">
        <f aca="false">$AI95</f>
        <v>138879941.635997</v>
      </c>
      <c r="AU95" s="231" t="n">
        <f aca="false">$D95*AO95</f>
        <v>29648882.0977985</v>
      </c>
      <c r="AV95" s="231" t="n">
        <f aca="false">$AK95</f>
        <v>44442719.5223694</v>
      </c>
      <c r="AW95" s="231" t="n">
        <f aca="false">$I95*'Inputs and Assumptions'!$C$15</f>
        <v>268510172.544713</v>
      </c>
      <c r="AX95" s="228"/>
      <c r="AY95" s="262" t="n">
        <f aca="false">CHOOSE(gen_choice,'Generation Calculations'!$O98,'Generation Calculations'!$P98)</f>
        <v>0.0468415440345757</v>
      </c>
      <c r="AZ95" s="263" t="n">
        <f aca="false">EPS</f>
        <v>0.01</v>
      </c>
      <c r="BA95" s="264" t="n">
        <f aca="false">BC95-SUM(AY95:AZ95,BB95)</f>
        <v>0.0462650734912472</v>
      </c>
      <c r="BB95" s="253" t="n">
        <f aca="false">BG95/$D95*-1</f>
        <v>-0.0149896779837339</v>
      </c>
      <c r="BC95" s="253" t="n">
        <f aca="false">BH95/$D95</f>
        <v>0.088116939542089</v>
      </c>
      <c r="BD95" s="231" t="n">
        <f aca="false">$D95*BA95</f>
        <v>137170770.918797</v>
      </c>
      <c r="BE95" s="231" t="n">
        <f aca="false">$AI95</f>
        <v>138879941.635997</v>
      </c>
      <c r="BF95" s="231" t="n">
        <f aca="false">$D95*AZ95</f>
        <v>29648882.0977985</v>
      </c>
      <c r="BG95" s="231" t="n">
        <f aca="false">$AK95</f>
        <v>44442719.5223694</v>
      </c>
      <c r="BH95" s="231" t="n">
        <f aca="false">$M95*'Inputs and Assumptions'!$C$15</f>
        <v>261256875.130224</v>
      </c>
      <c r="BI95" s="228"/>
      <c r="BJ95" s="262" t="n">
        <f aca="false">CHOOSE(gen_choice,'Generation Calculations'!$O98,'Generation Calculations'!$P98)</f>
        <v>0.0468415440345757</v>
      </c>
      <c r="BK95" s="263" t="n">
        <f aca="false">EPS</f>
        <v>0.01</v>
      </c>
      <c r="BL95" s="264" t="n">
        <f aca="false">BN95-SUM(BJ95:BK95,BM95)</f>
        <v>0.0518339225892616</v>
      </c>
      <c r="BM95" s="253" t="n">
        <f aca="false">BR95/$D95*-1</f>
        <v>-0.0149896779837339</v>
      </c>
      <c r="BN95" s="253" t="n">
        <f aca="false">BS95/$D95</f>
        <v>0.0936857886401033</v>
      </c>
      <c r="BO95" s="231" t="n">
        <f aca="false">$D95*BL95</f>
        <v>153681785.951543</v>
      </c>
      <c r="BP95" s="231" t="n">
        <f aca="false">$AI95</f>
        <v>138879941.635997</v>
      </c>
      <c r="BQ95" s="231" t="n">
        <f aca="false">$D95*BK95</f>
        <v>29648882.0977985</v>
      </c>
      <c r="BR95" s="231" t="n">
        <f aca="false">$AK95</f>
        <v>44442719.5223694</v>
      </c>
      <c r="BS95" s="231" t="n">
        <f aca="false">D95*T_equal_gen</f>
        <v>277767890.16297</v>
      </c>
      <c r="BT95" s="228"/>
      <c r="BU95" s="262" t="n">
        <f aca="false">CHOOSE(gen_choice,'Generation Calculations'!$O98,'Generation Calculations'!$P98)</f>
        <v>0.0468415440345757</v>
      </c>
      <c r="BV95" s="263" t="n">
        <f aca="false">EPS</f>
        <v>0.01</v>
      </c>
      <c r="BW95" s="264" t="n">
        <f aca="false">BY95-SUM(BU95:BV95,BX95)</f>
        <v>0.0210119114983817</v>
      </c>
      <c r="BX95" s="253" t="n">
        <f aca="false">CC95/$D95*-1</f>
        <v>-0.0149896779837339</v>
      </c>
      <c r="BY95" s="253" t="n">
        <f aca="false">CD95/$D95</f>
        <v>0.0628637775492234</v>
      </c>
      <c r="BZ95" s="231" t="n">
        <f aca="false">$D95*BW95</f>
        <v>62297968.6664895</v>
      </c>
      <c r="CA95" s="231" t="n">
        <f aca="false">$AI95</f>
        <v>138879941.635997</v>
      </c>
      <c r="CB95" s="231" t="n">
        <f aca="false">$D95*BV95</f>
        <v>29648882.0977985</v>
      </c>
      <c r="CC95" s="231" t="n">
        <f aca="false">$AK95</f>
        <v>44442719.5223694</v>
      </c>
      <c r="CD95" s="231" t="n">
        <f aca="false">$Z95*'Inputs and Assumptions'!$C$15</f>
        <v>186384072.877916</v>
      </c>
    </row>
    <row r="96" customFormat="false" ht="12.75" hidden="false" customHeight="false" outlineLevel="0" collapsed="false">
      <c r="A96" s="97" t="s">
        <v>344</v>
      </c>
      <c r="B96" s="98" t="s">
        <v>236</v>
      </c>
      <c r="C96" s="98" t="n">
        <v>3</v>
      </c>
      <c r="D96" s="159" t="n">
        <v>7042131736.01549</v>
      </c>
      <c r="E96" s="77" t="n">
        <f aca="false">SUM(E94:E95)</f>
        <v>269494061.478041</v>
      </c>
      <c r="F96" s="215"/>
      <c r="G96" s="242"/>
      <c r="H96" s="13" t="n">
        <f aca="false">SUM(H94:H95)</f>
        <v>253587127.803918</v>
      </c>
      <c r="I96" s="88" t="n">
        <f aca="false">H96/$H$127</f>
        <v>0.0806710892670769</v>
      </c>
      <c r="J96" s="77" t="n">
        <f aca="false">SUM(J94:J95)</f>
        <v>198429028.04239</v>
      </c>
      <c r="K96" s="215"/>
      <c r="L96" s="129" t="n">
        <f aca="false">SUM(L94:L95)</f>
        <v>548018613.876725</v>
      </c>
      <c r="M96" s="88" t="n">
        <f aca="false">L96/$L$127</f>
        <v>0.078491911481522</v>
      </c>
      <c r="N96" s="77" t="n">
        <f aca="false">SUM(N94:N95)</f>
        <v>193068840.968584</v>
      </c>
      <c r="O96" s="215"/>
      <c r="P96" s="244"/>
      <c r="Q96" s="13" t="n">
        <f aca="false">SUM(Q94:Q95)</f>
        <v>255339374.650747</v>
      </c>
      <c r="R96" s="215"/>
      <c r="T96" s="245"/>
      <c r="U96" s="212" t="n">
        <f aca="false">SUM(U94:U95)</f>
        <v>86021627.1782677</v>
      </c>
      <c r="V96" s="88" t="n">
        <f aca="false">U96/$U$127</f>
        <v>0.0532670573361186</v>
      </c>
      <c r="W96" s="245"/>
      <c r="X96" s="212" t="n">
        <f aca="false">SUM(X94:X95)</f>
        <v>89021171.4064727</v>
      </c>
      <c r="Y96" s="88" t="n">
        <f aca="false">X96/$X$127</f>
        <v>0.0587272558669828</v>
      </c>
      <c r="Z96" s="88" t="n">
        <f aca="false">AVERAGE(V96,Y96)</f>
        <v>0.0559971566015507</v>
      </c>
      <c r="AA96" s="129" t="n">
        <f aca="false">SUM(AA94:AA95)</f>
        <v>137737837.167372</v>
      </c>
      <c r="AB96" s="217"/>
      <c r="AC96" s="19" t="n">
        <f aca="false">CHOOSE(gen_choice,'Generation Calculations'!$O99,'Generation Calculations'!$P99)</f>
        <v>0.0469953979968648</v>
      </c>
      <c r="AD96" s="249" t="n">
        <f aca="false">EPS</f>
        <v>0.01</v>
      </c>
      <c r="AE96" s="226" t="n">
        <f aca="false">AH96/$D96</f>
        <v>0.0582355377307443</v>
      </c>
      <c r="AF96" s="226" t="n">
        <f aca="false">AK96/$D96*-1</f>
        <v>-0.00884765825892012</v>
      </c>
      <c r="AG96" s="226" t="n">
        <f aca="false">AL96/$D96</f>
        <v>0.106383269375203</v>
      </c>
      <c r="AH96" s="77" t="n">
        <f aca="false">AL96+AK96-SUM(AI96:AJ96)</f>
        <v>410102328.417602</v>
      </c>
      <c r="AI96" s="77" t="n">
        <f aca="false">SUM(AI94:AI95)</f>
        <v>330947736.685002</v>
      </c>
      <c r="AJ96" s="77" t="n">
        <f aca="false">SUM(AJ94:AJ95)</f>
        <v>70421307.3601549</v>
      </c>
      <c r="AK96" s="77" t="n">
        <f aca="false">SUM(AK94:AK95)</f>
        <v>62306375.0145609</v>
      </c>
      <c r="AL96" s="77" t="n">
        <f aca="false">SUM(AL94:AL95)</f>
        <v>749164997.448198</v>
      </c>
      <c r="AM96" s="215"/>
      <c r="AN96" s="19" t="n">
        <f aca="false">CHOOSE(gen_choice,'Generation Calculations'!$O99,'Generation Calculations'!$P99)</f>
        <v>0.0469953979968648</v>
      </c>
      <c r="AO96" s="249" t="n">
        <f aca="false">EPS</f>
        <v>0.01</v>
      </c>
      <c r="AP96" s="226" t="n">
        <f aca="false">AS96/$D96</f>
        <v>0.0424155933166359</v>
      </c>
      <c r="AQ96" s="226" t="n">
        <f aca="false">AV96/$D96*-1</f>
        <v>-0.00884765825892012</v>
      </c>
      <c r="AR96" s="226" t="n">
        <f aca="false">AW96/$D96</f>
        <v>0.0905633249610941</v>
      </c>
      <c r="AS96" s="77" t="n">
        <f aca="false">SUM(AS94:AS95)</f>
        <v>298696195.797008</v>
      </c>
      <c r="AT96" s="77" t="n">
        <f aca="false">SUM(AT94:AT95)</f>
        <v>330947736.685002</v>
      </c>
      <c r="AU96" s="77" t="n">
        <f aca="false">SUM(AU94:AU95)</f>
        <v>70421307.3601549</v>
      </c>
      <c r="AV96" s="77" t="n">
        <f aca="false">SUM(AV94:AV95)</f>
        <v>62306375.0145609</v>
      </c>
      <c r="AW96" s="77" t="n">
        <f aca="false">SUM(AW94:AW95)</f>
        <v>637758864.827604</v>
      </c>
      <c r="AX96" s="215"/>
      <c r="AY96" s="19" t="n">
        <f aca="false">CHOOSE(gen_choice,'Generation Calculations'!$O99,'Generation Calculations'!$P99)</f>
        <v>0.0469953979968648</v>
      </c>
      <c r="AZ96" s="249" t="n">
        <f aca="false">EPS</f>
        <v>0.01</v>
      </c>
      <c r="BA96" s="226" t="n">
        <f aca="false">BD96/$D96</f>
        <v>0.039969195384809</v>
      </c>
      <c r="BB96" s="226" t="n">
        <f aca="false">BG96/$D96*-1</f>
        <v>-0.00884765825892012</v>
      </c>
      <c r="BC96" s="226" t="n">
        <f aca="false">BH96/$D96</f>
        <v>0.0881169270292671</v>
      </c>
      <c r="BD96" s="77" t="n">
        <f aca="false">SUM(BD94:BD95)</f>
        <v>281468339.282367</v>
      </c>
      <c r="BE96" s="77" t="n">
        <f aca="false">SUM(BE94:BE95)</f>
        <v>330947736.685002</v>
      </c>
      <c r="BF96" s="77" t="n">
        <f aca="false">SUM(BF94:BF95)</f>
        <v>70421307.3601549</v>
      </c>
      <c r="BG96" s="77" t="n">
        <f aca="false">SUM(BG94:BG95)</f>
        <v>62306375.0145609</v>
      </c>
      <c r="BH96" s="77" t="n">
        <f aca="false">SUM(BH94:BH95)</f>
        <v>620531008.312963</v>
      </c>
      <c r="BI96" s="215"/>
      <c r="BJ96" s="19" t="n">
        <f aca="false">CHOOSE(gen_choice,'Generation Calculations'!$O99,'Generation Calculations'!$P99)</f>
        <v>0.0469953979968648</v>
      </c>
      <c r="BK96" s="249" t="n">
        <f aca="false">EPS</f>
        <v>0.01</v>
      </c>
      <c r="BL96" s="226" t="n">
        <f aca="false">BO96/$D96</f>
        <v>0.0455380436920331</v>
      </c>
      <c r="BM96" s="226" t="n">
        <f aca="false">BR96/$D96*-1</f>
        <v>-0.00884765825892012</v>
      </c>
      <c r="BN96" s="226" t="n">
        <f aca="false">BS96/$D96</f>
        <v>0.0936857753364913</v>
      </c>
      <c r="BO96" s="77" t="n">
        <f aca="false">SUM(BO94:BO95)</f>
        <v>320684902.679726</v>
      </c>
      <c r="BP96" s="77" t="n">
        <f aca="false">SUM(BP94:BP95)</f>
        <v>330947736.685002</v>
      </c>
      <c r="BQ96" s="77" t="n">
        <f aca="false">SUM(BQ94:BQ95)</f>
        <v>70421307.3601549</v>
      </c>
      <c r="BR96" s="77" t="n">
        <f aca="false">SUM(BR94:BR95)</f>
        <v>62306375.0145609</v>
      </c>
      <c r="BS96" s="77" t="n">
        <f aca="false">SUM(BS94:BS95)</f>
        <v>659747571.710323</v>
      </c>
      <c r="BT96" s="215"/>
      <c r="BU96" s="19" t="n">
        <f aca="false">CHOOSE(gen_choice,'Generation Calculations'!$O99,'Generation Calculations'!$P99)</f>
        <v>0.0469953979968648</v>
      </c>
      <c r="BV96" s="249" t="n">
        <f aca="false">EPS</f>
        <v>0.01</v>
      </c>
      <c r="BW96" s="226" t="n">
        <f aca="false">BZ96/$D96</f>
        <v>0.0147160369779544</v>
      </c>
      <c r="BX96" s="226" t="n">
        <f aca="false">CC96/$D96*-1</f>
        <v>-0.00884765825892012</v>
      </c>
      <c r="BY96" s="226" t="n">
        <f aca="false">CD96/$D96</f>
        <v>0.0628637686224126</v>
      </c>
      <c r="BZ96" s="77" t="n">
        <f aca="false">SUM(BZ94:BZ95)</f>
        <v>103632271.03083</v>
      </c>
      <c r="CA96" s="77" t="n">
        <f aca="false">SUM(CA94:CA95)</f>
        <v>330947736.685002</v>
      </c>
      <c r="CB96" s="77" t="n">
        <f aca="false">SUM(CB94:CB95)</f>
        <v>70421307.3601549</v>
      </c>
      <c r="CC96" s="77" t="n">
        <f aca="false">SUM(CC94:CC95)</f>
        <v>62306375.0145609</v>
      </c>
      <c r="CD96" s="77" t="n">
        <f aca="false">SUM(CD94:CD95)</f>
        <v>442694940.061427</v>
      </c>
    </row>
    <row r="97" customFormat="false" ht="12.75" hidden="false" customHeight="false" outlineLevel="0" collapsed="false">
      <c r="A97" s="94"/>
      <c r="B97" s="82"/>
      <c r="C97" s="82"/>
      <c r="D97" s="159"/>
      <c r="E97" s="77"/>
      <c r="F97" s="215"/>
      <c r="G97" s="242"/>
      <c r="H97" s="13"/>
      <c r="I97" s="88"/>
      <c r="J97" s="77"/>
      <c r="K97" s="215"/>
      <c r="L97" s="129"/>
      <c r="M97" s="88"/>
      <c r="N97" s="77"/>
      <c r="O97" s="215"/>
      <c r="P97" s="244"/>
      <c r="Q97" s="13"/>
      <c r="R97" s="215"/>
      <c r="T97" s="245"/>
      <c r="V97" s="88"/>
      <c r="W97" s="245"/>
      <c r="X97" s="212"/>
      <c r="Y97" s="88"/>
      <c r="Z97" s="88"/>
      <c r="AA97" s="129"/>
      <c r="AB97" s="217"/>
      <c r="AC97" s="74"/>
      <c r="AD97" s="19"/>
      <c r="AE97" s="226"/>
      <c r="AH97" s="77"/>
      <c r="AJ97" s="77"/>
      <c r="AK97" s="77"/>
      <c r="AL97" s="77"/>
      <c r="AM97" s="215"/>
      <c r="AN97" s="74"/>
      <c r="AO97" s="19"/>
      <c r="AP97" s="226"/>
      <c r="AQ97" s="0"/>
      <c r="AR97" s="0"/>
      <c r="AS97" s="77"/>
      <c r="AT97" s="77"/>
      <c r="AU97" s="77"/>
      <c r="AV97" s="77"/>
      <c r="AW97" s="77"/>
      <c r="AX97" s="215"/>
      <c r="AY97" s="74"/>
      <c r="AZ97" s="19"/>
      <c r="BA97" s="226"/>
      <c r="BB97" s="0"/>
      <c r="BC97" s="0"/>
      <c r="BD97" s="77"/>
      <c r="BE97" s="77"/>
      <c r="BF97" s="77"/>
      <c r="BG97" s="77"/>
      <c r="BH97" s="77"/>
      <c r="BI97" s="215"/>
      <c r="BJ97" s="74"/>
      <c r="BK97" s="19"/>
      <c r="BL97" s="226"/>
      <c r="BM97" s="0"/>
      <c r="BN97" s="0"/>
      <c r="BO97" s="77"/>
      <c r="BP97" s="77"/>
      <c r="BQ97" s="77"/>
      <c r="BR97" s="77"/>
      <c r="BS97" s="77"/>
      <c r="BT97" s="215"/>
      <c r="BU97" s="74"/>
      <c r="BV97" s="19"/>
      <c r="BW97" s="226"/>
      <c r="BX97" s="0"/>
      <c r="BY97" s="0"/>
      <c r="BZ97" s="77"/>
      <c r="CA97" s="77"/>
      <c r="CB97" s="77"/>
      <c r="CC97" s="77"/>
      <c r="CD97" s="77"/>
    </row>
    <row r="98" customFormat="false" ht="12.75" hidden="false" customHeight="false" outlineLevel="0" collapsed="false">
      <c r="A98" s="94" t="s">
        <v>342</v>
      </c>
      <c r="B98" s="82" t="s">
        <v>234</v>
      </c>
      <c r="C98" s="82" t="n">
        <v>2</v>
      </c>
      <c r="D98" s="170" t="n">
        <v>5211296403.98623</v>
      </c>
      <c r="E98" s="77" t="n">
        <f aca="false">surcharge_1*D98</f>
        <v>199430184.715769</v>
      </c>
      <c r="F98" s="215"/>
      <c r="G98" s="242" t="n">
        <f aca="false">0.03714</f>
        <v>0.03714</v>
      </c>
      <c r="H98" s="13" t="n">
        <f aca="false">G98*D98</f>
        <v>193547548.444048</v>
      </c>
      <c r="I98" s="88" t="n">
        <f aca="false">H98/$H$127</f>
        <v>0.0615713096053785</v>
      </c>
      <c r="J98" s="77" t="n">
        <f aca="false">I98*$E$129</f>
        <v>151448743.673757</v>
      </c>
      <c r="K98" s="215"/>
      <c r="L98" s="243" t="n">
        <v>419665699.413011</v>
      </c>
      <c r="M98" s="88" t="n">
        <f aca="false">L98/$L$127</f>
        <v>0.060108109644551</v>
      </c>
      <c r="N98" s="77" t="n">
        <f aca="false">M98*$E$129</f>
        <v>147849668.110299</v>
      </c>
      <c r="O98" s="215"/>
      <c r="P98" s="244" t="n">
        <f aca="false">P_Equal</f>
        <v>0.0376807380333753</v>
      </c>
      <c r="Q98" s="13" t="n">
        <f aca="false">P98*D98</f>
        <v>196365494.612876</v>
      </c>
      <c r="R98" s="215"/>
      <c r="S98" s="211" t="n">
        <f aca="false">$D98/$D$123</f>
        <v>0.832349657882076</v>
      </c>
      <c r="T98" s="245" t="n">
        <v>91500296.9871798</v>
      </c>
      <c r="U98" s="212" t="n">
        <f aca="false">$S98*T98</f>
        <v>76160240.8933874</v>
      </c>
      <c r="V98" s="88" t="n">
        <f aca="false">U98/$U$127</f>
        <v>0.0471606042744746</v>
      </c>
      <c r="W98" s="245" t="n">
        <v>90726123.8936494</v>
      </c>
      <c r="X98" s="212" t="n">
        <f aca="false">$S98*W98</f>
        <v>75515858.1838459</v>
      </c>
      <c r="Y98" s="88" t="n">
        <f aca="false">X98/$X$127</f>
        <v>0.0498178023891411</v>
      </c>
      <c r="Z98" s="88" t="n">
        <f aca="false">AVERAGE(V98,Y98)</f>
        <v>0.0484892033318078</v>
      </c>
      <c r="AA98" s="129" t="n">
        <f aca="false">$Z98*'Inputs and Assumptions'!$C$6</f>
        <v>119270305.819549</v>
      </c>
      <c r="AB98" s="217"/>
      <c r="AC98" s="255" t="n">
        <f aca="false">CHOOSE(gen_choice,'Generation Calculations'!$O101,'Generation Calculations'!$P101)</f>
        <v>0.0556404707649594</v>
      </c>
      <c r="AD98" s="256" t="n">
        <f aca="false">EPS</f>
        <v>0.01</v>
      </c>
      <c r="AE98" s="247" t="n">
        <f aca="false">AG98-SUM(AC98:AD98,AF98)</f>
        <v>0.0450087321597396</v>
      </c>
      <c r="AF98" s="247" t="n">
        <f aca="false">AK98/$D98*-1</f>
        <v>-0.00426591844280888</v>
      </c>
      <c r="AG98" s="226" t="n">
        <f aca="false">AL98/$D98</f>
        <v>0.10638328448189</v>
      </c>
      <c r="AH98" s="77" t="n">
        <f aca="false">$D98*AE98</f>
        <v>234553844.05203</v>
      </c>
      <c r="AI98" s="258" t="n">
        <f aca="false">CHOOSE(gen_choice,'Generation Calculations'!$M101,'Generation Calculations'!$N101)</f>
        <v>289958985.213533</v>
      </c>
      <c r="AJ98" s="77" t="n">
        <f aca="false">$D98*AD98</f>
        <v>52112964.0398623</v>
      </c>
      <c r="AK98" s="248" t="n">
        <f aca="false">CHOOSE(gen_choice,'Generation Calculations'!K101,'Generation Calculations'!L101)</f>
        <v>22230965.4407084</v>
      </c>
      <c r="AL98" s="77" t="n">
        <f aca="false">$D98*gen_equal</f>
        <v>554394827.864718</v>
      </c>
      <c r="AM98" s="215"/>
      <c r="AN98" s="255" t="n">
        <f aca="false">CHOOSE(gen_choice,'Generation Calculations'!$O101,'Generation Calculations'!$P101)</f>
        <v>0.0556404707649594</v>
      </c>
      <c r="AO98" s="256" t="n">
        <f aca="false">EPS</f>
        <v>0.01</v>
      </c>
      <c r="AP98" s="247" t="n">
        <f aca="false">AR98-SUM(AN98:AO98,AQ98)</f>
        <v>0.0320306786326807</v>
      </c>
      <c r="AQ98" s="247" t="n">
        <f aca="false">AV98/$D98*-1</f>
        <v>-0.00426591844280888</v>
      </c>
      <c r="AR98" s="226" t="n">
        <f aca="false">AW98/$D98</f>
        <v>0.0934052309548312</v>
      </c>
      <c r="AS98" s="77" t="n">
        <f aca="false">$D98*AP98</f>
        <v>166921360.375727</v>
      </c>
      <c r="AT98" s="77" t="n">
        <f aca="false">$AI98</f>
        <v>289958985.213533</v>
      </c>
      <c r="AU98" s="77" t="n">
        <f aca="false">$D98*AO98</f>
        <v>52112964.0398623</v>
      </c>
      <c r="AV98" s="77" t="n">
        <f aca="false">$AK98</f>
        <v>22230965.4407084</v>
      </c>
      <c r="AW98" s="77" t="n">
        <f aca="false">$I98*'Inputs and Assumptions'!$C$15</f>
        <v>486762344.188415</v>
      </c>
      <c r="AX98" s="215"/>
      <c r="AY98" s="255" t="n">
        <f aca="false">CHOOSE(gen_choice,'Generation Calculations'!$O101,'Generation Calculations'!$P101)</f>
        <v>0.0556404707649594</v>
      </c>
      <c r="AZ98" s="256" t="n">
        <f aca="false">EPS</f>
        <v>0.01</v>
      </c>
      <c r="BA98" s="247" t="n">
        <f aca="false">BC98-SUM(AY98:AZ98,BB98)</f>
        <v>0.0298109673556242</v>
      </c>
      <c r="BB98" s="247" t="n">
        <f aca="false">BG98/$D98*-1</f>
        <v>-0.00426591844280888</v>
      </c>
      <c r="BC98" s="226" t="n">
        <f aca="false">BH98/$D98</f>
        <v>0.0911855196777746</v>
      </c>
      <c r="BD98" s="77" t="n">
        <f aca="false">$D98*BA98</f>
        <v>155353786.979715</v>
      </c>
      <c r="BE98" s="77" t="n">
        <f aca="false">$AI98</f>
        <v>289958985.213533</v>
      </c>
      <c r="BF98" s="77" t="n">
        <f aca="false">$D98*AZ98</f>
        <v>52112964.0398623</v>
      </c>
      <c r="BG98" s="77" t="n">
        <f aca="false">$AK98</f>
        <v>22230965.4407084</v>
      </c>
      <c r="BH98" s="77" t="n">
        <f aca="false">$M98*'Inputs and Assumptions'!$C$15</f>
        <v>475194770.792402</v>
      </c>
      <c r="BI98" s="215"/>
      <c r="BJ98" s="255" t="n">
        <f aca="false">CHOOSE(gen_choice,'Generation Calculations'!$O101,'Generation Calculations'!$P101)</f>
        <v>0.0556404707649594</v>
      </c>
      <c r="BK98" s="256" t="n">
        <f aca="false">EPS</f>
        <v>0.01</v>
      </c>
      <c r="BL98" s="247" t="n">
        <f aca="false">BN98-SUM(BJ98:BK98,BM98)</f>
        <v>0.0359851888136432</v>
      </c>
      <c r="BM98" s="247" t="n">
        <f aca="false">BR98/$D98*-1</f>
        <v>-0.00426591844280888</v>
      </c>
      <c r="BN98" s="226" t="n">
        <f aca="false">BS98/$D98</f>
        <v>0.0973597411357937</v>
      </c>
      <c r="BO98" s="77" t="n">
        <f aca="false">$D98*BL98</f>
        <v>187529485.061304</v>
      </c>
      <c r="BP98" s="77" t="n">
        <f aca="false">$AI98</f>
        <v>289958985.213533</v>
      </c>
      <c r="BQ98" s="77" t="n">
        <f aca="false">$D98*BK98</f>
        <v>52112964.0398623</v>
      </c>
      <c r="BR98" s="77" t="n">
        <f aca="false">$AK98</f>
        <v>22230965.4407084</v>
      </c>
      <c r="BS98" s="77" t="n">
        <f aca="false">D98*P_equal_gen</f>
        <v>507370468.873992</v>
      </c>
      <c r="BT98" s="215"/>
      <c r="BU98" s="255" t="n">
        <f aca="false">CHOOSE(gen_choice,'Generation Calculations'!$O101,'Generation Calculations'!$P101)</f>
        <v>0.0556404707649594</v>
      </c>
      <c r="BV98" s="256" t="n">
        <f aca="false">EPS</f>
        <v>0.01</v>
      </c>
      <c r="BW98" s="247" t="n">
        <f aca="false">BY98-SUM(BU98:BV98,BX98)</f>
        <v>0.0121847931757994</v>
      </c>
      <c r="BX98" s="247" t="n">
        <f aca="false">CC98/$D98*-1</f>
        <v>-0.00426591844280888</v>
      </c>
      <c r="BY98" s="226" t="n">
        <f aca="false">CD98/$D98</f>
        <v>0.0735593454979498</v>
      </c>
      <c r="BZ98" s="77" t="n">
        <f aca="false">$D98*BW98</f>
        <v>63498568.8603591</v>
      </c>
      <c r="CA98" s="77" t="n">
        <f aca="false">$AI98</f>
        <v>289958985.213533</v>
      </c>
      <c r="CB98" s="77" t="n">
        <f aca="false">$D98*BV98</f>
        <v>52112964.0398623</v>
      </c>
      <c r="CC98" s="77" t="n">
        <f aca="false">$AK98</f>
        <v>22230965.4407084</v>
      </c>
      <c r="CD98" s="77" t="n">
        <f aca="false">$Z98*'Inputs and Assumptions'!$C$15</f>
        <v>383339552.673046</v>
      </c>
    </row>
    <row r="99" customFormat="false" ht="12.75" hidden="false" customHeight="false" outlineLevel="0" collapsed="false">
      <c r="A99" s="94" t="s">
        <v>343</v>
      </c>
      <c r="B99" s="82" t="s">
        <v>234</v>
      </c>
      <c r="C99" s="82" t="n">
        <v>2</v>
      </c>
      <c r="D99" s="177" t="n">
        <v>1049649767.65808</v>
      </c>
      <c r="E99" s="231" t="n">
        <f aca="false">surcharge_1*D99</f>
        <v>40168862.1838496</v>
      </c>
      <c r="F99" s="228"/>
      <c r="G99" s="250" t="n">
        <f aca="false">G98</f>
        <v>0.03714</v>
      </c>
      <c r="H99" s="13" t="n">
        <f aca="false">G99*D99</f>
        <v>38983992.370821</v>
      </c>
      <c r="I99" s="91" t="n">
        <f aca="false">H99/$H$127</f>
        <v>0.012401580300106</v>
      </c>
      <c r="J99" s="231" t="n">
        <f aca="false">I99*$E$129</f>
        <v>30504528.2950455</v>
      </c>
      <c r="K99" s="228"/>
      <c r="L99" s="251" t="n">
        <v>84528295.7895049</v>
      </c>
      <c r="M99" s="91" t="n">
        <f aca="false">L99/$L$127</f>
        <v>0.0121068652465265</v>
      </c>
      <c r="N99" s="231" t="n">
        <f aca="false">M99*$E$129</f>
        <v>29779609.0933517</v>
      </c>
      <c r="O99" s="228"/>
      <c r="P99" s="244" t="n">
        <f aca="false">P_Equal</f>
        <v>0.0376807380333753</v>
      </c>
      <c r="Q99" s="13" t="n">
        <f aca="false">P99*D99</f>
        <v>39551577.9219172</v>
      </c>
      <c r="R99" s="228"/>
      <c r="S99" s="211" t="n">
        <f aca="false">$D99/$D$123</f>
        <v>0.167650342117924</v>
      </c>
      <c r="T99" s="245" t="n">
        <v>91500296.9871798</v>
      </c>
      <c r="U99" s="70" t="n">
        <f aca="false">$S99*T99</f>
        <v>15340056.0937924</v>
      </c>
      <c r="V99" s="91" t="n">
        <f aca="false">U99/$U$127</f>
        <v>0.00949900245195256</v>
      </c>
      <c r="W99" s="245" t="n">
        <v>90726123.8936494</v>
      </c>
      <c r="X99" s="70" t="n">
        <f aca="false">$S99*W99</f>
        <v>15210265.7098035</v>
      </c>
      <c r="Y99" s="91" t="n">
        <f aca="false">X99/$X$127</f>
        <v>0.0100342104246842</v>
      </c>
      <c r="Z99" s="91" t="n">
        <f aca="false">AVERAGE(V99,Y99)</f>
        <v>0.00976660643831838</v>
      </c>
      <c r="AA99" s="232" t="n">
        <f aca="false">$Z99*'Inputs and Assumptions'!$C$6</f>
        <v>24023206.3361884</v>
      </c>
      <c r="AB99" s="237"/>
      <c r="AC99" s="262" t="n">
        <f aca="false">CHOOSE(gen_choice,'Generation Calculations'!$O102,'Generation Calculations'!$P102)</f>
        <v>0.0566548645446992</v>
      </c>
      <c r="AD99" s="263" t="n">
        <f aca="false">EPS</f>
        <v>0.01</v>
      </c>
      <c r="AE99" s="264" t="n">
        <f aca="false">AG99-SUM(AC99:AD99,AF99)</f>
        <v>0.0559034720873588</v>
      </c>
      <c r="AF99" s="264" t="n">
        <f aca="false">AK99/$D99*-1</f>
        <v>-0.0161750521501679</v>
      </c>
      <c r="AG99" s="253" t="n">
        <f aca="false">AL99/$D99</f>
        <v>0.10638328448189</v>
      </c>
      <c r="AH99" s="231" t="n">
        <f aca="false">$D99*AE99</f>
        <v>58679066.4877759</v>
      </c>
      <c r="AI99" s="260" t="n">
        <f aca="false">CHOOSE(gen_choice,'Generation Calculations'!$M102,'Generation Calculations'!$N102)</f>
        <v>59467765.4060434</v>
      </c>
      <c r="AJ99" s="231" t="n">
        <f aca="false">$D99*AD99</f>
        <v>10496497.6765808</v>
      </c>
      <c r="AK99" s="254" t="n">
        <f aca="false">CHOOSE(gen_choice,'Generation Calculations'!K102,'Generation Calculations'!L102)</f>
        <v>16978139.731281</v>
      </c>
      <c r="AL99" s="231" t="n">
        <f aca="false">$D99*gen_equal</f>
        <v>111665189.839119</v>
      </c>
      <c r="AM99" s="228"/>
      <c r="AN99" s="262" t="n">
        <f aca="false">CHOOSE(gen_choice,'Generation Calculations'!$O102,'Generation Calculations'!$P102)</f>
        <v>0.0566548645446992</v>
      </c>
      <c r="AO99" s="263" t="n">
        <f aca="false">EPS</f>
        <v>0.01</v>
      </c>
      <c r="AP99" s="264" t="n">
        <f aca="false">AR99-SUM(AN99:AO99,AQ99)</f>
        <v>0.0429254185602998</v>
      </c>
      <c r="AQ99" s="264" t="n">
        <f aca="false">AV99/$D99*-1</f>
        <v>-0.0161750521501679</v>
      </c>
      <c r="AR99" s="253" t="n">
        <f aca="false">AW99/$D99</f>
        <v>0.0934052309548312</v>
      </c>
      <c r="AS99" s="231" t="n">
        <f aca="false">$D99*AP99</f>
        <v>45056655.6184444</v>
      </c>
      <c r="AT99" s="231" t="n">
        <f aca="false">$AI99</f>
        <v>59467765.4060434</v>
      </c>
      <c r="AU99" s="231" t="n">
        <f aca="false">$D99*AO99</f>
        <v>10496497.6765808</v>
      </c>
      <c r="AV99" s="231" t="n">
        <f aca="false">$AK99</f>
        <v>16978139.731281</v>
      </c>
      <c r="AW99" s="231" t="n">
        <f aca="false">$I99*'Inputs and Assumptions'!$C$15</f>
        <v>98042778.9697875</v>
      </c>
      <c r="AX99" s="228"/>
      <c r="AY99" s="262" t="n">
        <f aca="false">CHOOSE(gen_choice,'Generation Calculations'!$O102,'Generation Calculations'!$P102)</f>
        <v>0.0566548645446992</v>
      </c>
      <c r="AZ99" s="263" t="n">
        <f aca="false">EPS</f>
        <v>0.01</v>
      </c>
      <c r="BA99" s="264" t="n">
        <f aca="false">BC99-SUM(AY99:AZ99,BB99)</f>
        <v>0.0407057072832433</v>
      </c>
      <c r="BB99" s="264" t="n">
        <f aca="false">BG99/$D99*-1</f>
        <v>-0.0161750521501679</v>
      </c>
      <c r="BC99" s="253" t="n">
        <f aca="false">BH99/$D99</f>
        <v>0.0911855196777746</v>
      </c>
      <c r="BD99" s="231" t="n">
        <f aca="false">$D99*BA99</f>
        <v>42726736.192214</v>
      </c>
      <c r="BE99" s="231" t="n">
        <f aca="false">$AI99</f>
        <v>59467765.4060434</v>
      </c>
      <c r="BF99" s="231" t="n">
        <f aca="false">$D99*AZ99</f>
        <v>10496497.6765808</v>
      </c>
      <c r="BG99" s="231" t="n">
        <f aca="false">$AK99</f>
        <v>16978139.731281</v>
      </c>
      <c r="BH99" s="231" t="n">
        <f aca="false">$M99*'Inputs and Assumptions'!$C$15</f>
        <v>95712859.5435571</v>
      </c>
      <c r="BI99" s="228"/>
      <c r="BJ99" s="262" t="n">
        <f aca="false">CHOOSE(gen_choice,'Generation Calculations'!$O102,'Generation Calculations'!$P102)</f>
        <v>0.0566548645446992</v>
      </c>
      <c r="BK99" s="263" t="n">
        <f aca="false">EPS</f>
        <v>0.01</v>
      </c>
      <c r="BL99" s="264" t="n">
        <f aca="false">BN99-SUM(BJ99:BK99,BM99)</f>
        <v>0.0468799287412623</v>
      </c>
      <c r="BM99" s="264" t="n">
        <f aca="false">BR99/$D99*-1</f>
        <v>-0.0161750521501679</v>
      </c>
      <c r="BN99" s="253" t="n">
        <f aca="false">BS99/$D99</f>
        <v>0.0973597411357937</v>
      </c>
      <c r="BO99" s="231" t="n">
        <f aca="false">$D99*BL99</f>
        <v>49207506.3110932</v>
      </c>
      <c r="BP99" s="231" t="n">
        <f aca="false">$AI99</f>
        <v>59467765.4060434</v>
      </c>
      <c r="BQ99" s="231" t="n">
        <f aca="false">$D99*BK99</f>
        <v>10496497.6765808</v>
      </c>
      <c r="BR99" s="231" t="n">
        <f aca="false">$AK99</f>
        <v>16978139.731281</v>
      </c>
      <c r="BS99" s="231" t="n">
        <f aca="false">D99*P_equal_gen</f>
        <v>102193629.662436</v>
      </c>
      <c r="BT99" s="228"/>
      <c r="BU99" s="262" t="n">
        <f aca="false">CHOOSE(gen_choice,'Generation Calculations'!$O102,'Generation Calculations'!$P102)</f>
        <v>0.0566548645446992</v>
      </c>
      <c r="BV99" s="263" t="n">
        <f aca="false">EPS</f>
        <v>0.01</v>
      </c>
      <c r="BW99" s="264" t="n">
        <f aca="false">BY99-SUM(BU99:BV99,BX99)</f>
        <v>0.0230795331034185</v>
      </c>
      <c r="BX99" s="264" t="n">
        <f aca="false">CC99/$D99*-1</f>
        <v>-0.0161750521501679</v>
      </c>
      <c r="BY99" s="253" t="n">
        <f aca="false">CD99/$D99</f>
        <v>0.0735593454979499</v>
      </c>
      <c r="BZ99" s="231" t="n">
        <f aca="false">$D99*BW99</f>
        <v>24225426.5596601</v>
      </c>
      <c r="CA99" s="231" t="n">
        <f aca="false">$AI99</f>
        <v>59467765.4060434</v>
      </c>
      <c r="CB99" s="231" t="n">
        <f aca="false">$D99*BV99</f>
        <v>10496497.6765808</v>
      </c>
      <c r="CC99" s="231" t="n">
        <f aca="false">$AK99</f>
        <v>16978139.731281</v>
      </c>
      <c r="CD99" s="231" t="n">
        <f aca="false">$Z99*'Inputs and Assumptions'!$C$15</f>
        <v>77211549.9110033</v>
      </c>
    </row>
    <row r="100" customFormat="false" ht="12.75" hidden="false" customHeight="false" outlineLevel="0" collapsed="false">
      <c r="A100" s="97" t="s">
        <v>344</v>
      </c>
      <c r="B100" s="98" t="s">
        <v>234</v>
      </c>
      <c r="C100" s="98" t="n">
        <v>2</v>
      </c>
      <c r="D100" s="159" t="n">
        <v>6260946171.6443</v>
      </c>
      <c r="E100" s="77" t="n">
        <f aca="false">SUM(E98:E99)</f>
        <v>239599046.899618</v>
      </c>
      <c r="F100" s="215"/>
      <c r="G100" s="242"/>
      <c r="H100" s="13" t="n">
        <f aca="false">SUM(H98:H99)</f>
        <v>232531540.814869</v>
      </c>
      <c r="I100" s="88" t="n">
        <f aca="false">H100/$H$127</f>
        <v>0.0739728899054846</v>
      </c>
      <c r="J100" s="77" t="n">
        <f aca="false">SUM(J98:J99)</f>
        <v>181953271.968803</v>
      </c>
      <c r="K100" s="215"/>
      <c r="L100" s="129" t="n">
        <f aca="false">SUM(L98:L99)</f>
        <v>504193995.202516</v>
      </c>
      <c r="M100" s="88" t="n">
        <f aca="false">L100/$L$127</f>
        <v>0.0722149748910774</v>
      </c>
      <c r="N100" s="77" t="n">
        <f aca="false">SUM(N98:N99)</f>
        <v>177629277.203651</v>
      </c>
      <c r="O100" s="215"/>
      <c r="P100" s="244"/>
      <c r="Q100" s="13" t="n">
        <f aca="false">SUM(Q98:Q99)</f>
        <v>235917072.534793</v>
      </c>
      <c r="R100" s="215"/>
      <c r="T100" s="245"/>
      <c r="U100" s="212" t="n">
        <f aca="false">SUM(U98:U99)</f>
        <v>91500296.9871798</v>
      </c>
      <c r="V100" s="88" t="n">
        <f aca="false">U100/$U$127</f>
        <v>0.0566596067264271</v>
      </c>
      <c r="W100" s="245"/>
      <c r="X100" s="212" t="n">
        <f aca="false">SUM(X98:X99)</f>
        <v>90726123.8936494</v>
      </c>
      <c r="Y100" s="88" t="n">
        <f aca="false">X100/$X$127</f>
        <v>0.0598520128138252</v>
      </c>
      <c r="Z100" s="88" t="n">
        <f aca="false">AVERAGE(V100,Y100)</f>
        <v>0.0582558097701262</v>
      </c>
      <c r="AA100" s="129" t="n">
        <f aca="false">SUM(AA98:AA99)</f>
        <v>143293512.155738</v>
      </c>
      <c r="AB100" s="217"/>
      <c r="AC100" s="19" t="n">
        <f aca="false">CHOOSE(gen_choice,'Generation Calculations'!$O103,'Generation Calculations'!$P103)</f>
        <v>0.055810534229175</v>
      </c>
      <c r="AD100" s="249" t="n">
        <f aca="false">EPS</f>
        <v>0.01</v>
      </c>
      <c r="AE100" s="226" t="n">
        <f aca="false">AH100/$D100</f>
        <v>0.0468352390358908</v>
      </c>
      <c r="AF100" s="226" t="n">
        <f aca="false">AK100/$D100*-1</f>
        <v>-0.00626248878317573</v>
      </c>
      <c r="AG100" s="226" t="n">
        <f aca="false">AL100/$D100</f>
        <v>0.10638328448189</v>
      </c>
      <c r="AH100" s="77" t="n">
        <f aca="false">AL100+AK100-SUM(AI100:AJ100)</f>
        <v>293232910.539806</v>
      </c>
      <c r="AI100" s="77" t="n">
        <f aca="false">SUM(AI98:AI99)</f>
        <v>349426750.619577</v>
      </c>
      <c r="AJ100" s="77" t="n">
        <f aca="false">SUM(AJ98:AJ99)</f>
        <v>62609461.716443</v>
      </c>
      <c r="AK100" s="77" t="n">
        <f aca="false">SUM(AK98:AK99)</f>
        <v>39209105.1719895</v>
      </c>
      <c r="AL100" s="77" t="n">
        <f aca="false">SUM(AL98:AL99)</f>
        <v>666060017.703837</v>
      </c>
      <c r="AM100" s="215"/>
      <c r="AN100" s="19" t="n">
        <f aca="false">CHOOSE(gen_choice,'Generation Calculations'!$O103,'Generation Calculations'!$P103)</f>
        <v>0.055810534229175</v>
      </c>
      <c r="AO100" s="249" t="n">
        <f aca="false">EPS</f>
        <v>0.01</v>
      </c>
      <c r="AP100" s="226" t="n">
        <f aca="false">AS100/$D100</f>
        <v>0.0338571855088318</v>
      </c>
      <c r="AQ100" s="226" t="n">
        <f aca="false">AV100/$D100*-1</f>
        <v>-0.00626248878317573</v>
      </c>
      <c r="AR100" s="226" t="n">
        <f aca="false">AW100/$D100</f>
        <v>0.0934052309548312</v>
      </c>
      <c r="AS100" s="77" t="n">
        <f aca="false">SUM(AS98:AS99)</f>
        <v>211978015.994172</v>
      </c>
      <c r="AT100" s="77" t="n">
        <f aca="false">SUM(AT98:AT99)</f>
        <v>349426750.619577</v>
      </c>
      <c r="AU100" s="77" t="n">
        <f aca="false">SUM(AU98:AU99)</f>
        <v>62609461.716443</v>
      </c>
      <c r="AV100" s="77" t="n">
        <f aca="false">SUM(AV98:AV99)</f>
        <v>39209105.1719895</v>
      </c>
      <c r="AW100" s="77" t="n">
        <f aca="false">SUM(AW98:AW99)</f>
        <v>584805123.158202</v>
      </c>
      <c r="AX100" s="215"/>
      <c r="AY100" s="19" t="n">
        <f aca="false">CHOOSE(gen_choice,'Generation Calculations'!$O103,'Generation Calculations'!$P103)</f>
        <v>0.055810534229175</v>
      </c>
      <c r="AZ100" s="249" t="n">
        <f aca="false">EPS</f>
        <v>0.01</v>
      </c>
      <c r="BA100" s="226" t="n">
        <f aca="false">BD100/$D100</f>
        <v>0.0316374742317753</v>
      </c>
      <c r="BB100" s="226" t="n">
        <f aca="false">BG100/$D100*-1</f>
        <v>-0.00626248878317573</v>
      </c>
      <c r="BC100" s="226" t="n">
        <f aca="false">BH100/$D100</f>
        <v>0.0911855196777747</v>
      </c>
      <c r="BD100" s="77" t="n">
        <f aca="false">SUM(BD98:BD99)</f>
        <v>198080523.171929</v>
      </c>
      <c r="BE100" s="77" t="n">
        <f aca="false">SUM(BE98:BE99)</f>
        <v>349426750.619577</v>
      </c>
      <c r="BF100" s="77" t="n">
        <f aca="false">SUM(BF98:BF99)</f>
        <v>62609461.716443</v>
      </c>
      <c r="BG100" s="77" t="n">
        <f aca="false">SUM(BG98:BG99)</f>
        <v>39209105.1719895</v>
      </c>
      <c r="BH100" s="77" t="n">
        <f aca="false">SUM(BH98:BH99)</f>
        <v>570907630.335959</v>
      </c>
      <c r="BI100" s="215"/>
      <c r="BJ100" s="19" t="n">
        <f aca="false">CHOOSE(gen_choice,'Generation Calculations'!$O103,'Generation Calculations'!$P103)</f>
        <v>0.055810534229175</v>
      </c>
      <c r="BK100" s="249" t="n">
        <f aca="false">EPS</f>
        <v>0.01</v>
      </c>
      <c r="BL100" s="226" t="n">
        <f aca="false">BO100/$D100</f>
        <v>0.0378116956897944</v>
      </c>
      <c r="BM100" s="226" t="n">
        <f aca="false">BR100/$D100*-1</f>
        <v>-0.00626248878317573</v>
      </c>
      <c r="BN100" s="226" t="n">
        <f aca="false">BS100/$D100</f>
        <v>0.0973597411357937</v>
      </c>
      <c r="BO100" s="77" t="n">
        <f aca="false">SUM(BO98:BO99)</f>
        <v>236736991.372397</v>
      </c>
      <c r="BP100" s="77" t="n">
        <f aca="false">SUM(BP98:BP99)</f>
        <v>349426750.619577</v>
      </c>
      <c r="BQ100" s="77" t="n">
        <f aca="false">SUM(BQ98:BQ99)</f>
        <v>62609461.716443</v>
      </c>
      <c r="BR100" s="77" t="n">
        <f aca="false">SUM(BR98:BR99)</f>
        <v>39209105.1719895</v>
      </c>
      <c r="BS100" s="77" t="n">
        <f aca="false">SUM(BS98:BS99)</f>
        <v>609564098.536428</v>
      </c>
      <c r="BT100" s="215"/>
      <c r="BU100" s="19" t="n">
        <f aca="false">CHOOSE(gen_choice,'Generation Calculations'!$O103,'Generation Calculations'!$P103)</f>
        <v>0.055810534229175</v>
      </c>
      <c r="BV100" s="249" t="n">
        <f aca="false">EPS</f>
        <v>0.01</v>
      </c>
      <c r="BW100" s="226" t="n">
        <f aca="false">BZ100/$D100</f>
        <v>0.0140113000519505</v>
      </c>
      <c r="BX100" s="226" t="n">
        <f aca="false">CC100/$D100*-1</f>
        <v>-0.00626248878317573</v>
      </c>
      <c r="BY100" s="226" t="n">
        <f aca="false">CD100/$D100</f>
        <v>0.0735593454979498</v>
      </c>
      <c r="BZ100" s="77" t="n">
        <f aca="false">SUM(BZ98:BZ99)</f>
        <v>87723995.4200193</v>
      </c>
      <c r="CA100" s="77" t="n">
        <f aca="false">SUM(CA98:CA99)</f>
        <v>349426750.619577</v>
      </c>
      <c r="CB100" s="77" t="n">
        <f aca="false">SUM(CB98:CB99)</f>
        <v>62609461.716443</v>
      </c>
      <c r="CC100" s="77" t="n">
        <f aca="false">SUM(CC98:CC99)</f>
        <v>39209105.1719895</v>
      </c>
      <c r="CD100" s="77" t="n">
        <f aca="false">SUM(CD98:CD99)</f>
        <v>460551102.58405</v>
      </c>
    </row>
    <row r="101" customFormat="false" ht="12.75" hidden="false" customHeight="false" outlineLevel="0" collapsed="false">
      <c r="A101" s="94"/>
      <c r="B101" s="82"/>
      <c r="C101" s="82"/>
      <c r="D101" s="159"/>
      <c r="E101" s="77"/>
      <c r="F101" s="215"/>
      <c r="G101" s="242"/>
      <c r="H101" s="13"/>
      <c r="I101" s="88"/>
      <c r="J101" s="77"/>
      <c r="K101" s="215"/>
      <c r="L101" s="129"/>
      <c r="M101" s="88"/>
      <c r="N101" s="77"/>
      <c r="O101" s="215"/>
      <c r="P101" s="244"/>
      <c r="Q101" s="13"/>
      <c r="R101" s="215"/>
      <c r="T101" s="245"/>
      <c r="V101" s="88"/>
      <c r="W101" s="245"/>
      <c r="X101" s="212"/>
      <c r="Y101" s="88"/>
      <c r="Z101" s="88"/>
      <c r="AA101" s="129"/>
      <c r="AB101" s="217"/>
      <c r="AC101" s="74"/>
      <c r="AD101" s="19"/>
      <c r="AE101" s="226"/>
      <c r="AH101" s="77"/>
      <c r="AJ101" s="77"/>
      <c r="AK101" s="77"/>
      <c r="AL101" s="77"/>
      <c r="AM101" s="215"/>
      <c r="AN101" s="74"/>
      <c r="AO101" s="19"/>
      <c r="AP101" s="226"/>
      <c r="AQ101" s="0"/>
      <c r="AR101" s="0"/>
      <c r="AS101" s="77"/>
      <c r="AT101" s="77"/>
      <c r="AU101" s="77"/>
      <c r="AV101" s="77"/>
      <c r="AW101" s="77"/>
      <c r="AX101" s="215"/>
      <c r="AY101" s="74"/>
      <c r="AZ101" s="19"/>
      <c r="BA101" s="226"/>
      <c r="BB101" s="0"/>
      <c r="BC101" s="0"/>
      <c r="BD101" s="77"/>
      <c r="BE101" s="77"/>
      <c r="BF101" s="77"/>
      <c r="BG101" s="77"/>
      <c r="BH101" s="77"/>
      <c r="BI101" s="215"/>
      <c r="BJ101" s="74"/>
      <c r="BK101" s="19"/>
      <c r="BL101" s="226"/>
      <c r="BM101" s="0"/>
      <c r="BN101" s="0"/>
      <c r="BO101" s="77"/>
      <c r="BP101" s="77"/>
      <c r="BQ101" s="77"/>
      <c r="BR101" s="77"/>
      <c r="BS101" s="77"/>
      <c r="BT101" s="215"/>
      <c r="BU101" s="74"/>
      <c r="BV101" s="19"/>
      <c r="BW101" s="226"/>
      <c r="BX101" s="0"/>
      <c r="BY101" s="0"/>
      <c r="BZ101" s="77"/>
      <c r="CA101" s="77"/>
      <c r="CB101" s="77"/>
      <c r="CC101" s="77"/>
      <c r="CD101" s="77"/>
    </row>
    <row r="102" customFormat="false" ht="12.75" hidden="false" customHeight="false" outlineLevel="0" collapsed="false">
      <c r="A102" s="94" t="s">
        <v>342</v>
      </c>
      <c r="B102" s="82" t="s">
        <v>231</v>
      </c>
      <c r="C102" s="82" t="n">
        <v>1</v>
      </c>
      <c r="D102" s="170" t="n">
        <v>3025336778.26551</v>
      </c>
      <c r="E102" s="77" t="n">
        <f aca="false">surcharge_1*D102</f>
        <v>115776080.60355</v>
      </c>
      <c r="F102" s="215"/>
      <c r="G102" s="242" t="n">
        <f aca="false">0.04002</f>
        <v>0.04002</v>
      </c>
      <c r="H102" s="13" t="n">
        <f aca="false">G102*D102</f>
        <v>121073977.866186</v>
      </c>
      <c r="I102" s="88" t="n">
        <f aca="false">H102/$H$127</f>
        <v>0.0385160310026282</v>
      </c>
      <c r="J102" s="77" t="n">
        <f aca="false">I102*$E$129</f>
        <v>94739003.3447976</v>
      </c>
      <c r="K102" s="215"/>
      <c r="L102" s="243" t="n">
        <v>263627846.858056</v>
      </c>
      <c r="M102" s="88" t="n">
        <f aca="false">L102/$L$127</f>
        <v>0.0377590342657622</v>
      </c>
      <c r="N102" s="77" t="n">
        <f aca="false">M102*$E$129</f>
        <v>92876996.4214712</v>
      </c>
      <c r="O102" s="215"/>
      <c r="P102" s="244" t="n">
        <f aca="false">S_Equal</f>
        <v>0.0385694346851059</v>
      </c>
      <c r="Q102" s="13" t="n">
        <f aca="false">P102*D102</f>
        <v>116685529.26976</v>
      </c>
      <c r="R102" s="215"/>
      <c r="S102" s="211" t="n">
        <f aca="false">$D102/$D$124</f>
        <v>0.847660835206023</v>
      </c>
      <c r="T102" s="245" t="n">
        <v>58668307.5352295</v>
      </c>
      <c r="U102" s="212" t="n">
        <f aca="false">$S102*T102</f>
        <v>49730826.5654364</v>
      </c>
      <c r="V102" s="88" t="n">
        <f aca="false">U102/$U$127</f>
        <v>0.0307947533303917</v>
      </c>
      <c r="W102" s="245" t="n">
        <v>55560458.175985</v>
      </c>
      <c r="X102" s="212" t="n">
        <f aca="false">$S102*W102</f>
        <v>47096424.3818847</v>
      </c>
      <c r="Y102" s="88" t="n">
        <f aca="false">X102/$X$127</f>
        <v>0.0310695053928918</v>
      </c>
      <c r="Z102" s="88" t="n">
        <f aca="false">AVERAGE(V102,Y102)</f>
        <v>0.0309321293616418</v>
      </c>
      <c r="AA102" s="129" t="n">
        <f aca="false">$Z102*'Inputs and Assumptions'!$C$6</f>
        <v>76084659.5760172</v>
      </c>
      <c r="AB102" s="217"/>
      <c r="AC102" s="255" t="n">
        <f aca="false">CHOOSE(gen_choice,'Generation Calculations'!$O105,'Generation Calculations'!$P105)</f>
        <v>0.0597908630565825</v>
      </c>
      <c r="AD102" s="256" t="n">
        <f aca="false">EPS</f>
        <v>0.01</v>
      </c>
      <c r="AE102" s="247" t="n">
        <f aca="false">AG102-SUM(AC102:AD102,AF102)</f>
        <v>0.040895964846273</v>
      </c>
      <c r="AF102" s="247" t="n">
        <f aca="false">AK102/$D102*-1</f>
        <v>-0.00430354342096529</v>
      </c>
      <c r="AG102" s="226" t="n">
        <f aca="false">AL102/$D102</f>
        <v>0.10638328448189</v>
      </c>
      <c r="AH102" s="77" t="n">
        <f aca="false">$D102*AE102</f>
        <v>123724066.532083</v>
      </c>
      <c r="AI102" s="258" t="n">
        <f aca="false">CHOOSE(gen_choice,'Generation Calculations'!$M105,'Generation Calculations'!$N105)</f>
        <v>180887497.009315</v>
      </c>
      <c r="AJ102" s="77" t="n">
        <f aca="false">$D102*AD102</f>
        <v>30253367.7826551</v>
      </c>
      <c r="AK102" s="248" t="n">
        <f aca="false">CHOOSE(gen_choice,'Generation Calculations'!K105,'Generation Calculations'!L105)</f>
        <v>13019668.1883088</v>
      </c>
      <c r="AL102" s="77" t="n">
        <f aca="false">$D102*gen_equal</f>
        <v>321845263.135744</v>
      </c>
      <c r="AM102" s="215"/>
      <c r="AN102" s="255" t="n">
        <f aca="false">CHOOSE(gen_choice,'Generation Calculations'!$O105,'Generation Calculations'!$P105)</f>
        <v>0.0597908630565825</v>
      </c>
      <c r="AO102" s="256" t="n">
        <f aca="false">EPS</f>
        <v>0.01</v>
      </c>
      <c r="AP102" s="247" t="n">
        <f aca="false">AR102-SUM(AN102:AO102,AQ102)</f>
        <v>0.0351609663851783</v>
      </c>
      <c r="AQ102" s="247" t="n">
        <f aca="false">AV102/$D102*-1</f>
        <v>-0.00430354342096529</v>
      </c>
      <c r="AR102" s="226" t="n">
        <f aca="false">AW102/$D102</f>
        <v>0.100648286020795</v>
      </c>
      <c r="AS102" s="77" t="n">
        <f aca="false">$D102*AP102</f>
        <v>106373764.764437</v>
      </c>
      <c r="AT102" s="77" t="n">
        <f aca="false">$AI102</f>
        <v>180887497.009315</v>
      </c>
      <c r="AU102" s="77" t="n">
        <f aca="false">$D102*AO102</f>
        <v>30253367.7826551</v>
      </c>
      <c r="AV102" s="77" t="n">
        <f aca="false">$AK102</f>
        <v>13019668.1883088</v>
      </c>
      <c r="AW102" s="77" t="n">
        <f aca="false">$I102*'Inputs and Assumptions'!$C$15</f>
        <v>304494961.368099</v>
      </c>
      <c r="AX102" s="215"/>
      <c r="AY102" s="255" t="n">
        <f aca="false">CHOOSE(gen_choice,'Generation Calculations'!$O105,'Generation Calculations'!$P105)</f>
        <v>0.0597908630565825</v>
      </c>
      <c r="AZ102" s="256" t="n">
        <f aca="false">EPS</f>
        <v>0.01</v>
      </c>
      <c r="BA102" s="247" t="n">
        <f aca="false">BC102-SUM(AY102:AZ102,BB102)</f>
        <v>0.0331828180114868</v>
      </c>
      <c r="BB102" s="247" t="n">
        <f aca="false">BG102/$D102*-1</f>
        <v>-0.00430354342096529</v>
      </c>
      <c r="BC102" s="226" t="n">
        <f aca="false">BH102/$D102</f>
        <v>0.0986701376471039</v>
      </c>
      <c r="BD102" s="77" t="n">
        <f aca="false">$D102*BA102</f>
        <v>100389199.736642</v>
      </c>
      <c r="BE102" s="77" t="n">
        <f aca="false">$AI102</f>
        <v>180887497.009315</v>
      </c>
      <c r="BF102" s="77" t="n">
        <f aca="false">$D102*AZ102</f>
        <v>30253367.7826551</v>
      </c>
      <c r="BG102" s="77" t="n">
        <f aca="false">$AK102</f>
        <v>13019668.1883088</v>
      </c>
      <c r="BH102" s="77" t="n">
        <f aca="false">$M102*'Inputs and Assumptions'!$C$15</f>
        <v>298510396.340304</v>
      </c>
      <c r="BI102" s="215"/>
      <c r="BJ102" s="255" t="n">
        <f aca="false">CHOOSE(gen_choice,'Generation Calculations'!$O105,'Generation Calculations'!$P105)</f>
        <v>0.0597908630565825</v>
      </c>
      <c r="BK102" s="256" t="n">
        <f aca="false">EPS</f>
        <v>0.01</v>
      </c>
      <c r="BL102" s="247" t="n">
        <f aca="false">BN102-SUM(BJ102:BK102,BM102)</f>
        <v>0.034168641809983</v>
      </c>
      <c r="BM102" s="247" t="n">
        <f aca="false">BR102/$D102*-1</f>
        <v>-0.00430354342096529</v>
      </c>
      <c r="BN102" s="226" t="n">
        <f aca="false">BS102/$D102</f>
        <v>0.0996559614456001</v>
      </c>
      <c r="BO102" s="77" t="n">
        <f aca="false">$D102*BL102</f>
        <v>103371648.731122</v>
      </c>
      <c r="BP102" s="77" t="n">
        <f aca="false">$AI102</f>
        <v>180887497.009315</v>
      </c>
      <c r="BQ102" s="77" t="n">
        <f aca="false">$D102*BK102</f>
        <v>30253367.7826551</v>
      </c>
      <c r="BR102" s="77" t="n">
        <f aca="false">$AK102</f>
        <v>13019668.1883088</v>
      </c>
      <c r="BS102" s="77" t="n">
        <f aca="false">D102*s_equal_gen</f>
        <v>301492845.334783</v>
      </c>
      <c r="BT102" s="215"/>
      <c r="BU102" s="255" t="n">
        <f aca="false">CHOOSE(gen_choice,'Generation Calculations'!$O105,'Generation Calculations'!$P105)</f>
        <v>0.0597908630565825</v>
      </c>
      <c r="BV102" s="256" t="n">
        <f aca="false">EPS</f>
        <v>0.01</v>
      </c>
      <c r="BW102" s="247" t="n">
        <f aca="false">BY102-SUM(BU102:BV102,BX102)</f>
        <v>0.015343070261263</v>
      </c>
      <c r="BX102" s="247" t="n">
        <f aca="false">CC102/$D102*-1</f>
        <v>-0.00430354342096529</v>
      </c>
      <c r="BY102" s="226" t="n">
        <f aca="false">CD102/$D102</f>
        <v>0.0808303898968802</v>
      </c>
      <c r="BZ102" s="77" t="n">
        <f aca="false">$D102*BW102</f>
        <v>46417954.7529108</v>
      </c>
      <c r="CA102" s="77" t="n">
        <f aca="false">$AI102</f>
        <v>180887497.009315</v>
      </c>
      <c r="CB102" s="77" t="n">
        <f aca="false">$D102*BV102</f>
        <v>30253367.7826551</v>
      </c>
      <c r="CC102" s="77" t="n">
        <f aca="false">$AK102</f>
        <v>13019668.1883088</v>
      </c>
      <c r="CD102" s="77" t="n">
        <f aca="false">$Z102*'Inputs and Assumptions'!$C$15</f>
        <v>244539151.356572</v>
      </c>
    </row>
    <row r="103" customFormat="false" ht="12.75" hidden="false" customHeight="false" outlineLevel="0" collapsed="false">
      <c r="A103" s="94" t="s">
        <v>343</v>
      </c>
      <c r="B103" s="82" t="s">
        <v>231</v>
      </c>
      <c r="C103" s="82" t="n">
        <v>1</v>
      </c>
      <c r="D103" s="177" t="n">
        <v>162256345.510856</v>
      </c>
      <c r="E103" s="231" t="n">
        <f aca="false">surcharge_1*D103</f>
        <v>6209359.52362711</v>
      </c>
      <c r="F103" s="228"/>
      <c r="G103" s="250" t="n">
        <f aca="false">G102</f>
        <v>0.04002</v>
      </c>
      <c r="H103" s="13" t="n">
        <f aca="false">G103*D103</f>
        <v>6493498.94734447</v>
      </c>
      <c r="I103" s="91" t="n">
        <f aca="false">H103/$H$127</f>
        <v>0.00206571066036894</v>
      </c>
      <c r="J103" s="231" t="n">
        <f aca="false">I103*$E$129</f>
        <v>5081088.68093712</v>
      </c>
      <c r="K103" s="228"/>
      <c r="L103" s="251" t="n">
        <v>14139017.947816</v>
      </c>
      <c r="M103" s="91" t="n">
        <f aca="false">L103/$L$127</f>
        <v>0.00202511104019775</v>
      </c>
      <c r="N103" s="231" t="n">
        <f aca="false">M103*$E$129</f>
        <v>4981224.61262401</v>
      </c>
      <c r="O103" s="228"/>
      <c r="P103" s="244" t="n">
        <f aca="false">S_Equal</f>
        <v>0.0385694346851059</v>
      </c>
      <c r="Q103" s="13" t="n">
        <f aca="false">P103*D103</f>
        <v>6258135.52042494</v>
      </c>
      <c r="R103" s="228"/>
      <c r="S103" s="211" t="n">
        <f aca="false">$D103/$D$124</f>
        <v>0.0454621615488584</v>
      </c>
      <c r="T103" s="245" t="n">
        <v>58668307.5352295</v>
      </c>
      <c r="U103" s="70" t="n">
        <f aca="false">$S103*T103</f>
        <v>2667188.07496471</v>
      </c>
      <c r="V103" s="91" t="n">
        <f aca="false">U103/$U$127</f>
        <v>0.00165159931026334</v>
      </c>
      <c r="W103" s="245" t="n">
        <v>55560458.175985</v>
      </c>
      <c r="X103" s="70" t="n">
        <f aca="false">$S103*W103</f>
        <v>2525898.52532522</v>
      </c>
      <c r="Y103" s="91" t="n">
        <f aca="false">X103/$X$127</f>
        <v>0.00166633494759903</v>
      </c>
      <c r="Z103" s="91" t="n">
        <f aca="false">AVERAGE(V103,Y103)</f>
        <v>0.00165896712893118</v>
      </c>
      <c r="AA103" s="232" t="n">
        <f aca="false">$Z103*'Inputs and Assumptions'!$C$6</f>
        <v>4080609.76911136</v>
      </c>
      <c r="AB103" s="237"/>
      <c r="AC103" s="262" t="n">
        <f aca="false">CHOOSE(gen_choice,'Generation Calculations'!$O106,'Generation Calculations'!$P106)</f>
        <v>0.0609899375177568</v>
      </c>
      <c r="AD103" s="263" t="n">
        <f aca="false">EPS</f>
        <v>0.01</v>
      </c>
      <c r="AE103" s="264" t="n">
        <f aca="false">AG103-SUM(AC103:AD103,AF103)</f>
        <v>0.0520656972507402</v>
      </c>
      <c r="AF103" s="247" t="n">
        <f aca="false">AK103/$D103*-1</f>
        <v>-0.0166723502866069</v>
      </c>
      <c r="AG103" s="253" t="n">
        <f aca="false">AL103/$D103</f>
        <v>0.10638328448189</v>
      </c>
      <c r="AH103" s="231" t="n">
        <f aca="false">$D103*AE103</f>
        <v>8447989.76237973</v>
      </c>
      <c r="AI103" s="260" t="n">
        <f aca="false">CHOOSE(gen_choice,'Generation Calculations'!$M106,'Generation Calculations'!$N106)</f>
        <v>9896004.37456668</v>
      </c>
      <c r="AJ103" s="231" t="n">
        <f aca="false">$D103*AD103</f>
        <v>1622563.45510856</v>
      </c>
      <c r="AK103" s="254" t="n">
        <f aca="false">CHOOSE(gen_choice,'Generation Calculations'!K106,'Generation Calculations'!L106)</f>
        <v>2705194.62858171</v>
      </c>
      <c r="AL103" s="231" t="n">
        <f aca="false">$D103*gen_equal</f>
        <v>17261362.9634733</v>
      </c>
      <c r="AM103" s="228"/>
      <c r="AN103" s="262" t="n">
        <f aca="false">CHOOSE(gen_choice,'Generation Calculations'!$O106,'Generation Calculations'!$P106)</f>
        <v>0.0609899375177568</v>
      </c>
      <c r="AO103" s="263" t="n">
        <f aca="false">EPS</f>
        <v>0.01</v>
      </c>
      <c r="AP103" s="264" t="n">
        <f aca="false">AR103-SUM(AN103:AO103,AQ103)</f>
        <v>0.0463306987896455</v>
      </c>
      <c r="AQ103" s="247" t="n">
        <f aca="false">AV103/$D103*-1</f>
        <v>-0.0166723502866069</v>
      </c>
      <c r="AR103" s="253" t="n">
        <f aca="false">AW103/$D103</f>
        <v>0.100648286020795</v>
      </c>
      <c r="AS103" s="231" t="n">
        <f aca="false">$D103*AP103</f>
        <v>7517449.87057213</v>
      </c>
      <c r="AT103" s="231" t="n">
        <f aca="false">$AI103</f>
        <v>9896004.37456668</v>
      </c>
      <c r="AU103" s="231" t="n">
        <f aca="false">$D103*AO103</f>
        <v>1622563.45510856</v>
      </c>
      <c r="AV103" s="231" t="n">
        <f aca="false">$AK103</f>
        <v>2705194.62858171</v>
      </c>
      <c r="AW103" s="231" t="n">
        <f aca="false">$I103*'Inputs and Assumptions'!$C$15</f>
        <v>16330823.0716657</v>
      </c>
      <c r="AX103" s="228"/>
      <c r="AY103" s="262" t="n">
        <f aca="false">CHOOSE(gen_choice,'Generation Calculations'!$O106,'Generation Calculations'!$P106)</f>
        <v>0.0609899375177568</v>
      </c>
      <c r="AZ103" s="263" t="n">
        <f aca="false">EPS</f>
        <v>0.01</v>
      </c>
      <c r="BA103" s="264" t="n">
        <f aca="false">BC103-SUM(AY103:AZ103,BB103)</f>
        <v>0.044352550415954</v>
      </c>
      <c r="BB103" s="247" t="n">
        <f aca="false">BG103/$D103*-1</f>
        <v>-0.0166723502866069</v>
      </c>
      <c r="BC103" s="253" t="n">
        <f aca="false">BH103/$D103</f>
        <v>0.098670137647104</v>
      </c>
      <c r="BD103" s="231" t="n">
        <f aca="false">$D103*BA103</f>
        <v>7196482.7445787</v>
      </c>
      <c r="BE103" s="231" t="n">
        <f aca="false">$AI103</f>
        <v>9896004.37456668</v>
      </c>
      <c r="BF103" s="231" t="n">
        <f aca="false">$D103*AZ103</f>
        <v>1622563.45510856</v>
      </c>
      <c r="BG103" s="231" t="n">
        <f aca="false">$AK103</f>
        <v>2705194.62858171</v>
      </c>
      <c r="BH103" s="231" t="n">
        <f aca="false">$M103*'Inputs and Assumptions'!$C$15</f>
        <v>16009855.9456722</v>
      </c>
      <c r="BI103" s="228"/>
      <c r="BJ103" s="262" t="n">
        <f aca="false">CHOOSE(gen_choice,'Generation Calculations'!$O106,'Generation Calculations'!$P106)</f>
        <v>0.0609899375177568</v>
      </c>
      <c r="BK103" s="263" t="n">
        <f aca="false">EPS</f>
        <v>0.01</v>
      </c>
      <c r="BL103" s="264" t="n">
        <f aca="false">BN103-SUM(BJ103:BK103,BM103)</f>
        <v>0.0453383742144502</v>
      </c>
      <c r="BM103" s="247" t="n">
        <f aca="false">BR103/$D103*-1</f>
        <v>-0.0166723502866069</v>
      </c>
      <c r="BN103" s="253" t="n">
        <f aca="false">BS103/$D103</f>
        <v>0.0996559614456001</v>
      </c>
      <c r="BO103" s="231" t="n">
        <f aca="false">$D103*BL103</f>
        <v>7356438.91144032</v>
      </c>
      <c r="BP103" s="231" t="n">
        <f aca="false">$AI103</f>
        <v>9896004.37456668</v>
      </c>
      <c r="BQ103" s="231" t="n">
        <f aca="false">$D103*BK103</f>
        <v>1622563.45510856</v>
      </c>
      <c r="BR103" s="231" t="n">
        <f aca="false">$AK103</f>
        <v>2705194.62858171</v>
      </c>
      <c r="BS103" s="231" t="n">
        <f aca="false">D103*s_equal_gen</f>
        <v>16169812.1125339</v>
      </c>
      <c r="BT103" s="228"/>
      <c r="BU103" s="262" t="n">
        <f aca="false">CHOOSE(gen_choice,'Generation Calculations'!$O106,'Generation Calculations'!$P106)</f>
        <v>0.0609899375177568</v>
      </c>
      <c r="BV103" s="263" t="n">
        <f aca="false">EPS</f>
        <v>0.01</v>
      </c>
      <c r="BW103" s="264" t="n">
        <f aca="false">BY103-SUM(BU103:BV103,BX103)</f>
        <v>0.0265128026657303</v>
      </c>
      <c r="BX103" s="247" t="n">
        <f aca="false">CC103/$D103*-1</f>
        <v>-0.0166723502866069</v>
      </c>
      <c r="BY103" s="253" t="n">
        <f aca="false">CD103/$D103</f>
        <v>0.0808303898968802</v>
      </c>
      <c r="BZ103" s="231" t="n">
        <f aca="false">$D103*BW103</f>
        <v>4301870.46979188</v>
      </c>
      <c r="CA103" s="231" t="n">
        <f aca="false">$AI103</f>
        <v>9896004.37456668</v>
      </c>
      <c r="CB103" s="231" t="n">
        <f aca="false">$D103*BV103</f>
        <v>1622563.45510856</v>
      </c>
      <c r="CC103" s="231" t="n">
        <f aca="false">$AK103</f>
        <v>2705194.62858171</v>
      </c>
      <c r="CD103" s="231" t="n">
        <f aca="false">$Z103*'Inputs and Assumptions'!$C$15</f>
        <v>13115243.6708854</v>
      </c>
    </row>
    <row r="104" customFormat="false" ht="11.25" hidden="false" customHeight="true" outlineLevel="0" collapsed="false">
      <c r="A104" s="97" t="s">
        <v>344</v>
      </c>
      <c r="B104" s="98" t="s">
        <v>231</v>
      </c>
      <c r="C104" s="98" t="n">
        <v>1</v>
      </c>
      <c r="D104" s="159" t="n">
        <v>3187593123.77636</v>
      </c>
      <c r="E104" s="77" t="n">
        <f aca="false">SUM(E102:E103)</f>
        <v>121985440.127177</v>
      </c>
      <c r="F104" s="215"/>
      <c r="G104" s="242"/>
      <c r="H104" s="13" t="n">
        <f aca="false">SUM(H102:H103)</f>
        <v>127567476.81353</v>
      </c>
      <c r="I104" s="88" t="n">
        <f aca="false">H104/$H$127</f>
        <v>0.0405817416629972</v>
      </c>
      <c r="J104" s="77" t="n">
        <f aca="false">SUM(J102:J103)</f>
        <v>99820092.0257348</v>
      </c>
      <c r="K104" s="215"/>
      <c r="L104" s="129" t="n">
        <f aca="false">SUM(L102:L103)</f>
        <v>277766864.805872</v>
      </c>
      <c r="M104" s="88" t="n">
        <f aca="false">L104/$L$127</f>
        <v>0.03978414530596</v>
      </c>
      <c r="N104" s="77" t="n">
        <f aca="false">SUM(N102:N103)</f>
        <v>97858221.0340952</v>
      </c>
      <c r="O104" s="215"/>
      <c r="P104" s="244"/>
      <c r="Q104" s="13" t="n">
        <f aca="false">SUM(Q102:Q103)</f>
        <v>122943664.790185</v>
      </c>
      <c r="R104" s="215"/>
      <c r="T104" s="245"/>
      <c r="U104" s="212" t="n">
        <f aca="false">SUM(U102:U103)</f>
        <v>52398014.6404011</v>
      </c>
      <c r="V104" s="88" t="n">
        <f aca="false">U104/$U$127</f>
        <v>0.032446352640655</v>
      </c>
      <c r="W104" s="245"/>
      <c r="X104" s="212" t="n">
        <f aca="false">SUM(X102:X103)</f>
        <v>49622322.9072099</v>
      </c>
      <c r="Y104" s="88" t="n">
        <f aca="false">X104/$X$127</f>
        <v>0.0327358403404909</v>
      </c>
      <c r="Z104" s="88" t="n">
        <f aca="false">AVERAGE(V104,Y104)</f>
        <v>0.0325910964905729</v>
      </c>
      <c r="AA104" s="129" t="n">
        <f aca="false">SUM(AA102:AA103)</f>
        <v>80165269.3451286</v>
      </c>
      <c r="AB104" s="217"/>
      <c r="AC104" s="19" t="n">
        <f aca="false">CHOOSE(gen_choice,'Generation Calculations'!$O107,'Generation Calculations'!$P107)</f>
        <v>0.0598518989016576</v>
      </c>
      <c r="AD104" s="249" t="n">
        <f aca="false">EPS</f>
        <v>0.01</v>
      </c>
      <c r="AE104" s="226" t="n">
        <f aca="false">AH104/$D104</f>
        <v>0.0414645317523704</v>
      </c>
      <c r="AF104" s="226" t="n">
        <f aca="false">AK104/$D104*-1</f>
        <v>-0.00493314617213793</v>
      </c>
      <c r="AG104" s="226" t="n">
        <f aca="false">AL104/$D104</f>
        <v>0.10638328448189</v>
      </c>
      <c r="AH104" s="77" t="n">
        <f aca="false">AL104+AK104-SUM(AI104:AJ104)</f>
        <v>132172056.294463</v>
      </c>
      <c r="AI104" s="77" t="n">
        <f aca="false">SUM(AI102:AI103)</f>
        <v>190783501.383882</v>
      </c>
      <c r="AJ104" s="77" t="n">
        <f aca="false">SUM(AJ102:AJ103)</f>
        <v>31875931.2377636</v>
      </c>
      <c r="AK104" s="77" t="n">
        <f aca="false">SUM(AK102:AK103)</f>
        <v>15724862.8168906</v>
      </c>
      <c r="AL104" s="77" t="n">
        <f aca="false">SUM(AL102:AL103)</f>
        <v>339106626.099218</v>
      </c>
      <c r="AM104" s="215"/>
      <c r="AN104" s="19" t="n">
        <f aca="false">CHOOSE(gen_choice,'Generation Calculations'!$O107,'Generation Calculations'!$P107)</f>
        <v>0.0598518989016576</v>
      </c>
      <c r="AO104" s="249" t="n">
        <f aca="false">EPS</f>
        <v>0.01</v>
      </c>
      <c r="AP104" s="226" t="n">
        <f aca="false">AS104/$D104</f>
        <v>0.0357295332912757</v>
      </c>
      <c r="AQ104" s="226" t="n">
        <f aca="false">AV104/$D104*-1</f>
        <v>-0.00493314617213793</v>
      </c>
      <c r="AR104" s="226" t="n">
        <f aca="false">AW104/$D104</f>
        <v>0.100648286020795</v>
      </c>
      <c r="AS104" s="77" t="n">
        <f aca="false">SUM(AS102:AS103)</f>
        <v>113891214.635009</v>
      </c>
      <c r="AT104" s="77" t="n">
        <f aca="false">SUM(AT102:AT103)</f>
        <v>190783501.383882</v>
      </c>
      <c r="AU104" s="77" t="n">
        <f aca="false">SUM(AU102:AU103)</f>
        <v>31875931.2377636</v>
      </c>
      <c r="AV104" s="77" t="n">
        <f aca="false">SUM(AV102:AV103)</f>
        <v>15724862.8168906</v>
      </c>
      <c r="AW104" s="77" t="n">
        <f aca="false">SUM(AW102:AW103)</f>
        <v>320825784.439764</v>
      </c>
      <c r="AX104" s="215"/>
      <c r="AY104" s="19" t="n">
        <f aca="false">CHOOSE(gen_choice,'Generation Calculations'!$O107,'Generation Calculations'!$P107)</f>
        <v>0.0598518989016576</v>
      </c>
      <c r="AZ104" s="249" t="n">
        <f aca="false">EPS</f>
        <v>0.01</v>
      </c>
      <c r="BA104" s="226" t="n">
        <f aca="false">BD104/$D104</f>
        <v>0.0337513849175842</v>
      </c>
      <c r="BB104" s="226" t="n">
        <f aca="false">BG104/$D104*-1</f>
        <v>-0.00493314617213793</v>
      </c>
      <c r="BC104" s="226" t="n">
        <f aca="false">BH104/$D104</f>
        <v>0.0986701376471039</v>
      </c>
      <c r="BD104" s="77" t="n">
        <f aca="false">SUM(BD102:BD103)</f>
        <v>107585682.481221</v>
      </c>
      <c r="BE104" s="77" t="n">
        <f aca="false">SUM(BE102:BE103)</f>
        <v>190783501.383882</v>
      </c>
      <c r="BF104" s="77" t="n">
        <f aca="false">SUM(BF102:BF103)</f>
        <v>31875931.2377636</v>
      </c>
      <c r="BG104" s="77" t="n">
        <f aca="false">SUM(BG102:BG103)</f>
        <v>15724862.8168906</v>
      </c>
      <c r="BH104" s="77" t="n">
        <f aca="false">SUM(BH102:BH103)</f>
        <v>314520252.285976</v>
      </c>
      <c r="BI104" s="215"/>
      <c r="BJ104" s="19" t="n">
        <f aca="false">CHOOSE(gen_choice,'Generation Calculations'!$O107,'Generation Calculations'!$P107)</f>
        <v>0.0598518989016576</v>
      </c>
      <c r="BK104" s="249" t="n">
        <f aca="false">EPS</f>
        <v>0.01</v>
      </c>
      <c r="BL104" s="226" t="n">
        <f aca="false">BO104/$D104</f>
        <v>0.0347372087160804</v>
      </c>
      <c r="BM104" s="226" t="n">
        <f aca="false">BR104/$D104*-1</f>
        <v>-0.00493314617213793</v>
      </c>
      <c r="BN104" s="226" t="n">
        <f aca="false">BS104/$D104</f>
        <v>0.0996559614456001</v>
      </c>
      <c r="BO104" s="77" t="n">
        <f aca="false">SUM(BO102:BO103)</f>
        <v>110728087.642562</v>
      </c>
      <c r="BP104" s="77" t="n">
        <f aca="false">SUM(BP102:BP103)</f>
        <v>190783501.383882</v>
      </c>
      <c r="BQ104" s="77" t="n">
        <f aca="false">SUM(BQ102:BQ103)</f>
        <v>31875931.2377636</v>
      </c>
      <c r="BR104" s="77" t="n">
        <f aca="false">SUM(BR102:BR103)</f>
        <v>15724862.8168906</v>
      </c>
      <c r="BS104" s="77" t="n">
        <f aca="false">SUM(BS102:BS103)</f>
        <v>317662657.447317</v>
      </c>
      <c r="BT104" s="215"/>
      <c r="BU104" s="19" t="n">
        <f aca="false">CHOOSE(gen_choice,'Generation Calculations'!$O107,'Generation Calculations'!$P107)</f>
        <v>0.0598518989016576</v>
      </c>
      <c r="BV104" s="249" t="n">
        <f aca="false">EPS</f>
        <v>0.01</v>
      </c>
      <c r="BW104" s="226" t="n">
        <f aca="false">BZ104/$D104</f>
        <v>0.0159116371673605</v>
      </c>
      <c r="BX104" s="226" t="n">
        <f aca="false">CC104/$D104*-1</f>
        <v>-0.00493314617213793</v>
      </c>
      <c r="BY104" s="226" t="n">
        <f aca="false">CD104/$D104</f>
        <v>0.0808303898968802</v>
      </c>
      <c r="BZ104" s="77" t="n">
        <f aca="false">SUM(BZ102:BZ103)</f>
        <v>50719825.2227027</v>
      </c>
      <c r="CA104" s="77" t="n">
        <f aca="false">SUM(CA102:CA103)</f>
        <v>190783501.383882</v>
      </c>
      <c r="CB104" s="77" t="n">
        <f aca="false">SUM(CB102:CB103)</f>
        <v>31875931.2377636</v>
      </c>
      <c r="CC104" s="77" t="n">
        <f aca="false">SUM(CC102:CC103)</f>
        <v>15724862.8168906</v>
      </c>
      <c r="CD104" s="77" t="n">
        <f aca="false">SUM(CD102:CD103)</f>
        <v>257654395.027458</v>
      </c>
    </row>
    <row r="105" customFormat="false" ht="12.75" hidden="false" customHeight="false" outlineLevel="0" collapsed="false">
      <c r="A105" s="94"/>
      <c r="B105" s="79"/>
      <c r="C105" s="79"/>
      <c r="D105" s="159"/>
      <c r="E105" s="77"/>
      <c r="F105" s="215"/>
      <c r="G105" s="242"/>
      <c r="H105" s="13"/>
      <c r="I105" s="88"/>
      <c r="J105" s="77"/>
      <c r="K105" s="215"/>
      <c r="L105" s="129"/>
      <c r="M105" s="88"/>
      <c r="N105" s="77"/>
      <c r="O105" s="215"/>
      <c r="P105" s="244"/>
      <c r="Q105" s="13"/>
      <c r="R105" s="215"/>
      <c r="T105" s="245"/>
      <c r="V105" s="88"/>
      <c r="W105" s="245"/>
      <c r="X105" s="212"/>
      <c r="Y105" s="88"/>
      <c r="Z105" s="88"/>
      <c r="AA105" s="129"/>
      <c r="AB105" s="217"/>
      <c r="AC105" s="74"/>
      <c r="AD105" s="19"/>
      <c r="AE105" s="226"/>
      <c r="AH105" s="77"/>
      <c r="AJ105" s="77"/>
      <c r="AK105" s="77"/>
      <c r="AL105" s="77"/>
      <c r="AM105" s="215"/>
      <c r="AN105" s="74"/>
      <c r="AO105" s="19"/>
      <c r="AP105" s="226"/>
      <c r="AQ105" s="0"/>
      <c r="AR105" s="0"/>
      <c r="AS105" s="77"/>
      <c r="AT105" s="77"/>
      <c r="AU105" s="77"/>
      <c r="AV105" s="77"/>
      <c r="AW105" s="77"/>
      <c r="AX105" s="215"/>
      <c r="AY105" s="74"/>
      <c r="AZ105" s="19"/>
      <c r="BA105" s="226"/>
      <c r="BB105" s="0"/>
      <c r="BC105" s="0"/>
      <c r="BD105" s="77"/>
      <c r="BE105" s="77"/>
      <c r="BF105" s="77"/>
      <c r="BG105" s="77"/>
      <c r="BH105" s="77"/>
      <c r="BI105" s="215"/>
      <c r="BJ105" s="74"/>
      <c r="BK105" s="19"/>
      <c r="BL105" s="226"/>
      <c r="BM105" s="0"/>
      <c r="BN105" s="0"/>
      <c r="BO105" s="77"/>
      <c r="BP105" s="77"/>
      <c r="BQ105" s="77"/>
      <c r="BR105" s="77"/>
      <c r="BS105" s="77"/>
      <c r="BT105" s="215"/>
      <c r="BU105" s="74"/>
      <c r="BV105" s="19"/>
      <c r="BW105" s="226"/>
      <c r="BX105" s="0"/>
      <c r="BY105" s="0"/>
      <c r="BZ105" s="77"/>
      <c r="CA105" s="77"/>
      <c r="CB105" s="77"/>
      <c r="CC105" s="77"/>
      <c r="CD105" s="77"/>
    </row>
    <row r="106" customFormat="false" ht="12.75" hidden="false" customHeight="false" outlineLevel="0" collapsed="false">
      <c r="A106" s="100" t="s">
        <v>345</v>
      </c>
      <c r="B106" s="84"/>
      <c r="C106" s="84"/>
      <c r="D106" s="159" t="n">
        <v>16490670031.4362</v>
      </c>
      <c r="E106" s="77" t="n">
        <f aca="false">E104+E96+E100</f>
        <v>631078548.504836</v>
      </c>
      <c r="F106" s="215"/>
      <c r="G106" s="242"/>
      <c r="H106" s="50" t="n">
        <f aca="false">H104+H96+H100</f>
        <v>613686145.432317</v>
      </c>
      <c r="I106" s="88" t="n">
        <f aca="false">H106/$H$127</f>
        <v>0.195225720835559</v>
      </c>
      <c r="J106" s="77" t="n">
        <f aca="false">J104+J96+J100</f>
        <v>480202392.036927</v>
      </c>
      <c r="K106" s="215"/>
      <c r="L106" s="129" t="n">
        <f aca="false">L104+L96+L100</f>
        <v>1329979473.88511</v>
      </c>
      <c r="M106" s="88" t="n">
        <f aca="false">L106/$L$127</f>
        <v>0.190491031678559</v>
      </c>
      <c r="N106" s="77" t="n">
        <f aca="false">N104+N96+N100</f>
        <v>468556339.20633</v>
      </c>
      <c r="O106" s="215"/>
      <c r="P106" s="244"/>
      <c r="Q106" s="50" t="n">
        <f aca="false">Q104+Q96+Q100</f>
        <v>614200111.975725</v>
      </c>
      <c r="R106" s="215"/>
      <c r="T106" s="245"/>
      <c r="V106" s="88" t="n">
        <f aca="false">U106/$U$127</f>
        <v>0</v>
      </c>
      <c r="W106" s="245"/>
      <c r="X106" s="212"/>
      <c r="Y106" s="88" t="n">
        <f aca="false">X106/$X$127</f>
        <v>0</v>
      </c>
      <c r="Z106" s="88" t="n">
        <f aca="false">AVERAGE(V106,Y106)</f>
        <v>0</v>
      </c>
      <c r="AA106" s="77" t="n">
        <f aca="false">AA104+AA96+AA100</f>
        <v>361196618.668239</v>
      </c>
      <c r="AB106" s="217"/>
      <c r="AC106" s="19" t="n">
        <f aca="false">(AC96*$D$96+AC100*$D$100+AC$104*$D$104)/SUM($D$96,$D$100,$D$104)</f>
        <v>0.0528273248567733</v>
      </c>
      <c r="AD106" s="249" t="n">
        <f aca="false">EPS</f>
        <v>0.01</v>
      </c>
      <c r="AE106" s="19" t="n">
        <f aca="false">AH106/$D106</f>
        <v>0.0506654546879626</v>
      </c>
      <c r="AF106" s="226" t="n">
        <f aca="false">AK106/$D106*-1</f>
        <v>-0.00710949541649586</v>
      </c>
      <c r="AG106" s="226" t="n">
        <f aca="false">AL106/$D106</f>
        <v>0.10638328448189</v>
      </c>
      <c r="AH106" s="77" t="n">
        <f aca="false">AH96+AH100+AH104</f>
        <v>835507295.251871</v>
      </c>
      <c r="AI106" s="77" t="n">
        <f aca="false">AI96+AI100+AI104</f>
        <v>871157988.688461</v>
      </c>
      <c r="AJ106" s="77" t="n">
        <f aca="false">AJ96+AJ100+AJ104</f>
        <v>164906700.314362</v>
      </c>
      <c r="AK106" s="77" t="n">
        <f aca="false">AK96+AK100+AK104</f>
        <v>117240343.003441</v>
      </c>
      <c r="AL106" s="77" t="n">
        <f aca="false">AL96+AL100+AL104</f>
        <v>1754331641.25125</v>
      </c>
      <c r="AM106" s="215"/>
      <c r="AN106" s="19" t="n">
        <f aca="false">(AN96*$D$96+AN100*$D$100+AN$104*$D$104)/SUM($D$96,$D$100,$D$104)</f>
        <v>0.0528273248567733</v>
      </c>
      <c r="AO106" s="249" t="n">
        <f aca="false">EPS</f>
        <v>0.01</v>
      </c>
      <c r="AP106" s="19" t="n">
        <f aca="false">AS106/$D106</f>
        <v>0.0378738659639408</v>
      </c>
      <c r="AQ106" s="226" t="n">
        <f aca="false">AV106/$D106*-1</f>
        <v>-0.00710949541649586</v>
      </c>
      <c r="AR106" s="226" t="n">
        <f aca="false">AW106/$D106</f>
        <v>0.0935916957578684</v>
      </c>
      <c r="AS106" s="77" t="n">
        <f aca="false">AS96+AS100+AS104</f>
        <v>624565426.426189</v>
      </c>
      <c r="AT106" s="77" t="n">
        <f aca="false">AT96+AT100+AT104</f>
        <v>871157988.688461</v>
      </c>
      <c r="AU106" s="77" t="n">
        <f aca="false">AU96+AU100+AU104</f>
        <v>164906700.314362</v>
      </c>
      <c r="AV106" s="77" t="n">
        <f aca="false">AV96+AV100+AV104</f>
        <v>117240343.003441</v>
      </c>
      <c r="AW106" s="77" t="n">
        <f aca="false">AW96+AW100+AW104</f>
        <v>1543389772.42557</v>
      </c>
      <c r="AX106" s="215"/>
      <c r="AY106" s="19" t="n">
        <f aca="false">(AY96*$D$96+AY100*$D$100+AY$104*$D$104)/SUM($D$96,$D$100,$D$104)</f>
        <v>0.0528273248567733</v>
      </c>
      <c r="AZ106" s="249" t="n">
        <f aca="false">EPS</f>
        <v>0.01</v>
      </c>
      <c r="BA106" s="19" t="n">
        <f aca="false">BD106/$D106</f>
        <v>0.0356040442150781</v>
      </c>
      <c r="BB106" s="226" t="n">
        <f aca="false">BG106/$D106*-1</f>
        <v>-0.00710949541649586</v>
      </c>
      <c r="BC106" s="226" t="n">
        <f aca="false">BH106/$D106</f>
        <v>0.0913218740090057</v>
      </c>
      <c r="BD106" s="77" t="n">
        <f aca="false">BD96+BD100+BD104</f>
        <v>587134544.935517</v>
      </c>
      <c r="BE106" s="77" t="n">
        <f aca="false">BE96+BE100+BE104</f>
        <v>871157988.688461</v>
      </c>
      <c r="BF106" s="77" t="n">
        <f aca="false">BF96+BF100+BF104</f>
        <v>164906700.314362</v>
      </c>
      <c r="BG106" s="77" t="n">
        <f aca="false">BG96+BG100+BG104</f>
        <v>117240343.003441</v>
      </c>
      <c r="BH106" s="77" t="n">
        <f aca="false">BH96+BH100+BH104</f>
        <v>1505958890.9349</v>
      </c>
      <c r="BI106" s="215"/>
      <c r="BJ106" s="19" t="n">
        <f aca="false">(BJ96*$D$96+BJ100*$D$100+BJ$104*$D$104)/SUM($D$96,$D$100,$D$104)</f>
        <v>0.0528273248567733</v>
      </c>
      <c r="BK106" s="249" t="n">
        <f aca="false">EPS</f>
        <v>0.01</v>
      </c>
      <c r="BL106" s="19" t="n">
        <f aca="false">BO106/$D106</f>
        <v>0.0405168486435659</v>
      </c>
      <c r="BM106" s="226" t="n">
        <f aca="false">BR106/$D106*-1</f>
        <v>-0.00710949541649586</v>
      </c>
      <c r="BN106" s="226" t="n">
        <f aca="false">BS106/$D106</f>
        <v>0.0962346784374934</v>
      </c>
      <c r="BO106" s="77" t="n">
        <f aca="false">BO96+BO100+BO104</f>
        <v>668149981.694686</v>
      </c>
      <c r="BP106" s="77" t="n">
        <f aca="false">BP96+BP100+BP104</f>
        <v>871157988.688461</v>
      </c>
      <c r="BQ106" s="77" t="n">
        <f aca="false">BQ96+BQ100+BQ104</f>
        <v>164906700.314362</v>
      </c>
      <c r="BR106" s="77" t="n">
        <f aca="false">BR96+BR100+BR104</f>
        <v>117240343.003441</v>
      </c>
      <c r="BS106" s="77" t="n">
        <f aca="false">BS96+BS100+BS104</f>
        <v>1586974327.69407</v>
      </c>
      <c r="BT106" s="215"/>
      <c r="BU106" s="19" t="n">
        <f aca="false">(BU96*$D$96+BU100*$D$100+BU$104*$D$104)/SUM($D$96,$D$100,$D$104)</f>
        <v>0.0528273248567733</v>
      </c>
      <c r="BV106" s="249" t="n">
        <f aca="false">EPS</f>
        <v>0.01</v>
      </c>
      <c r="BW106" s="19" t="n">
        <f aca="false">BZ106/$D106</f>
        <v>0.0146795788898864</v>
      </c>
      <c r="BX106" s="226" t="n">
        <f aca="false">CC106/$D106*-1</f>
        <v>-0.00710949541649586</v>
      </c>
      <c r="BY106" s="226" t="n">
        <f aca="false">CD106/$D106</f>
        <v>0.0703974086838139</v>
      </c>
      <c r="BZ106" s="77" t="n">
        <f aca="false">BZ96+BZ100+BZ104</f>
        <v>242076091.673552</v>
      </c>
      <c r="CA106" s="77" t="n">
        <f aca="false">CA96+CA100+CA104</f>
        <v>871157988.688461</v>
      </c>
      <c r="CB106" s="77" t="n">
        <f aca="false">CB96+CB100+CB104</f>
        <v>164906700.314362</v>
      </c>
      <c r="CC106" s="77" t="n">
        <f aca="false">CC96+CC100+CC104</f>
        <v>117240343.003441</v>
      </c>
      <c r="CD106" s="77" t="n">
        <f aca="false">CD96+CD100+CD104</f>
        <v>1160900437.67293</v>
      </c>
    </row>
    <row r="107" customFormat="false" ht="12.75" hidden="false" customHeight="false" outlineLevel="0" collapsed="false">
      <c r="A107" s="92"/>
      <c r="B107" s="79"/>
      <c r="C107" s="79"/>
      <c r="D107" s="159"/>
      <c r="E107" s="77"/>
      <c r="F107" s="215"/>
      <c r="G107" s="242"/>
      <c r="H107" s="13"/>
      <c r="I107" s="88"/>
      <c r="J107" s="77"/>
      <c r="K107" s="215"/>
      <c r="L107" s="129"/>
      <c r="M107" s="88"/>
      <c r="N107" s="77"/>
      <c r="O107" s="215"/>
      <c r="P107" s="244"/>
      <c r="Q107" s="13"/>
      <c r="R107" s="215"/>
      <c r="T107" s="245"/>
      <c r="V107" s="88"/>
      <c r="W107" s="245"/>
      <c r="X107" s="212"/>
      <c r="Y107" s="88"/>
      <c r="Z107" s="88"/>
      <c r="AA107" s="129"/>
      <c r="AB107" s="217"/>
      <c r="AC107" s="74"/>
      <c r="AD107" s="19"/>
      <c r="AH107" s="77"/>
      <c r="AJ107" s="77"/>
      <c r="AK107" s="77"/>
      <c r="AL107" s="77"/>
      <c r="AM107" s="215"/>
      <c r="AN107" s="74"/>
      <c r="AO107" s="19"/>
      <c r="AP107" s="0"/>
      <c r="AQ107" s="0"/>
      <c r="AR107" s="0"/>
      <c r="AS107" s="77"/>
      <c r="AT107" s="77"/>
      <c r="AU107" s="77"/>
      <c r="AV107" s="77"/>
      <c r="AW107" s="77"/>
      <c r="AX107" s="215"/>
      <c r="AY107" s="74"/>
      <c r="AZ107" s="19"/>
      <c r="BA107" s="0"/>
      <c r="BB107" s="0"/>
      <c r="BC107" s="0"/>
      <c r="BD107" s="77"/>
      <c r="BE107" s="77"/>
      <c r="BF107" s="77"/>
      <c r="BG107" s="77"/>
      <c r="BH107" s="77"/>
      <c r="BI107" s="215"/>
      <c r="BJ107" s="74"/>
      <c r="BK107" s="19"/>
      <c r="BL107" s="0"/>
      <c r="BM107" s="0"/>
      <c r="BN107" s="0"/>
      <c r="BO107" s="77"/>
      <c r="BP107" s="77"/>
      <c r="BQ107" s="77"/>
      <c r="BR107" s="77"/>
      <c r="BS107" s="77"/>
      <c r="BT107" s="215"/>
      <c r="BU107" s="74"/>
      <c r="BV107" s="19"/>
      <c r="BW107" s="0"/>
      <c r="BX107" s="0"/>
      <c r="BY107" s="0"/>
      <c r="BZ107" s="77"/>
      <c r="CA107" s="77"/>
      <c r="CB107" s="77"/>
      <c r="CC107" s="77"/>
      <c r="CD107" s="77"/>
    </row>
    <row r="108" customFormat="false" ht="12.75" hidden="false" customHeight="false" outlineLevel="0" collapsed="false">
      <c r="A108" s="94" t="s">
        <v>346</v>
      </c>
      <c r="B108" s="82" t="s">
        <v>236</v>
      </c>
      <c r="C108" s="82" t="n">
        <v>3</v>
      </c>
      <c r="D108" s="170" t="n">
        <v>3480000</v>
      </c>
      <c r="E108" s="77" t="n">
        <f aca="false">surcharge_1*D108</f>
        <v>133175.507399657</v>
      </c>
      <c r="F108" s="215"/>
      <c r="G108" s="242" t="n">
        <f aca="false">G95</f>
        <v>0.03601</v>
      </c>
      <c r="H108" s="13" t="n">
        <f aca="false">G108*D108</f>
        <v>125314.8</v>
      </c>
      <c r="I108" s="88" t="n">
        <f aca="false">H108/$H$127</f>
        <v>3.98651205399618E-005</v>
      </c>
      <c r="J108" s="77" t="n">
        <f aca="false">I108*$E$129</f>
        <v>98057.3981758008</v>
      </c>
      <c r="K108" s="215"/>
      <c r="L108" s="243" t="n">
        <v>270813.6</v>
      </c>
      <c r="M108" s="88" t="n">
        <f aca="false">L108/$L$127</f>
        <v>3.87882392695039E-005</v>
      </c>
      <c r="N108" s="77" t="n">
        <f aca="false">M108*$E$129</f>
        <v>95408.5619476624</v>
      </c>
      <c r="O108" s="215"/>
      <c r="P108" s="244" t="n">
        <f aca="false">T_Equal</f>
        <v>0.0362588233906064</v>
      </c>
      <c r="Q108" s="13" t="n">
        <f aca="false">P108*D108</f>
        <v>126180.70539931</v>
      </c>
      <c r="R108" s="215"/>
      <c r="S108" s="211" t="n">
        <f aca="false">$D108/$D$122</f>
        <v>0.000469987088059953</v>
      </c>
      <c r="T108" s="245" t="n">
        <v>90447566.613451</v>
      </c>
      <c r="U108" s="212" t="n">
        <f aca="false">$S108*T108</f>
        <v>42509.1884547645</v>
      </c>
      <c r="V108" s="88" t="n">
        <f aca="false">U108/$U$127</f>
        <v>2.63229080059051E-005</v>
      </c>
      <c r="W108" s="245" t="n">
        <v>93601441.81077</v>
      </c>
      <c r="X108" s="212" t="n">
        <f aca="false">$S108*W108</f>
        <v>43991.4690748569</v>
      </c>
      <c r="Y108" s="88" t="n">
        <f aca="false">X108/$X$127</f>
        <v>2.90211667573691E-005</v>
      </c>
      <c r="Z108" s="88" t="n">
        <f aca="false">AVERAGE(V108,Y108)</f>
        <v>2.76720373816371E-005</v>
      </c>
      <c r="AA108" s="129" t="n">
        <f aca="false">$Z108*'Inputs and Assumptions'!$C$6</f>
        <v>68065.71637346</v>
      </c>
      <c r="AB108" s="217"/>
      <c r="AC108" s="255" t="n">
        <f aca="false">CHOOSE(gen_choice,'Generation Calculations'!$O109,'Generation Calculations'!$P109)</f>
        <v>0.0557255574162158</v>
      </c>
      <c r="AD108" s="256" t="n">
        <f aca="false">EPS</f>
        <v>0.01</v>
      </c>
      <c r="AE108" s="247" t="n">
        <f aca="false">AG108-SUM(AC108:AD108,AF108)</f>
        <v>0.0449777270656744</v>
      </c>
      <c r="AF108" s="247" t="n">
        <f aca="false">AK108/$D108*-1</f>
        <v>-0.00432</v>
      </c>
      <c r="AG108" s="226" t="n">
        <f aca="false">AL108/$D108</f>
        <v>0.10638328448189</v>
      </c>
      <c r="AH108" s="77" t="n">
        <f aca="false">$D108*AE108</f>
        <v>156522.490188547</v>
      </c>
      <c r="AI108" s="258" t="n">
        <f aca="false">CHOOSE(gen_choice,'Generation Calculations'!$M109,'Generation Calculations'!$N109)</f>
        <v>193924.939808431</v>
      </c>
      <c r="AJ108" s="77" t="n">
        <f aca="false">$D108*AD108</f>
        <v>34800</v>
      </c>
      <c r="AK108" s="248" t="n">
        <f aca="false">CHOOSE(gen_choice,'Generation Calculations'!K109,'Generation Calculations'!L109)</f>
        <v>15033.6</v>
      </c>
      <c r="AL108" s="77" t="n">
        <f aca="false">$D108*gen_equal</f>
        <v>370213.829996978</v>
      </c>
      <c r="AM108" s="215"/>
      <c r="AN108" s="255" t="n">
        <f aca="false">CHOOSE(gen_choice,'Generation Calculations'!$O109,'Generation Calculations'!$P109)</f>
        <v>0.0557255574162158</v>
      </c>
      <c r="AO108" s="256" t="n">
        <f aca="false">EPS</f>
        <v>0.01</v>
      </c>
      <c r="AP108" s="247" t="n">
        <f aca="false">AR108-SUM(AN108:AO108,AQ108)</f>
        <v>0.0291577804050947</v>
      </c>
      <c r="AQ108" s="247" t="n">
        <f aca="false">AV108/$D108*-1</f>
        <v>-0.00432</v>
      </c>
      <c r="AR108" s="226" t="n">
        <f aca="false">AW108/$D108</f>
        <v>0.0905633378213104</v>
      </c>
      <c r="AS108" s="77" t="n">
        <f aca="false">$D108*AP108</f>
        <v>101469.07580973</v>
      </c>
      <c r="AT108" s="77" t="n">
        <f aca="false">$AI108</f>
        <v>193924.939808431</v>
      </c>
      <c r="AU108" s="77" t="n">
        <f aca="false">$D108*AO108</f>
        <v>34800</v>
      </c>
      <c r="AV108" s="77" t="n">
        <f aca="false">$AK108</f>
        <v>15033.6</v>
      </c>
      <c r="AW108" s="77" t="n">
        <f aca="false">$I108*'Inputs and Assumptions'!$C$15</f>
        <v>315160.41561816</v>
      </c>
      <c r="AX108" s="215"/>
      <c r="AY108" s="255" t="n">
        <f aca="false">CHOOSE(gen_choice,'Generation Calculations'!$O109,'Generation Calculations'!$P109)</f>
        <v>0.0557255574162158</v>
      </c>
      <c r="AZ108" s="256" t="n">
        <f aca="false">EPS</f>
        <v>0.01</v>
      </c>
      <c r="BA108" s="247" t="n">
        <f aca="false">BC108-SUM(AY108:AZ108,BB108)</f>
        <v>0.0267113821258732</v>
      </c>
      <c r="BB108" s="247" t="n">
        <f aca="false">BG108/$D108*-1</f>
        <v>-0.00432</v>
      </c>
      <c r="BC108" s="226" t="n">
        <f aca="false">BH108/$D108</f>
        <v>0.0881169395420889</v>
      </c>
      <c r="BD108" s="77" t="n">
        <f aca="false">$D108*BA108</f>
        <v>92955.6097980387</v>
      </c>
      <c r="BE108" s="77" t="n">
        <f aca="false">$AI108</f>
        <v>193924.939808431</v>
      </c>
      <c r="BF108" s="77" t="n">
        <f aca="false">$D108*AZ108</f>
        <v>34800</v>
      </c>
      <c r="BG108" s="77" t="n">
        <f aca="false">$AK108</f>
        <v>15033.6</v>
      </c>
      <c r="BH108" s="77" t="n">
        <f aca="false">$M108*'Inputs and Assumptions'!$C$15</f>
        <v>306646.94960647</v>
      </c>
      <c r="BI108" s="215"/>
      <c r="BJ108" s="255" t="n">
        <f aca="false">CHOOSE(gen_choice,'Generation Calculations'!$O109,'Generation Calculations'!$P109)</f>
        <v>0.0557255574162158</v>
      </c>
      <c r="BK108" s="256" t="n">
        <f aca="false">EPS</f>
        <v>0.01</v>
      </c>
      <c r="BL108" s="247" t="n">
        <f aca="false">BN108-SUM(BJ108:BK108,BM108)</f>
        <v>0.0322802312238876</v>
      </c>
      <c r="BM108" s="247" t="n">
        <f aca="false">BR108/$D108*-1</f>
        <v>-0.00432</v>
      </c>
      <c r="BN108" s="226" t="n">
        <f aca="false">BS108/$D108</f>
        <v>0.0936857886401033</v>
      </c>
      <c r="BO108" s="77" t="n">
        <f aca="false">$D108*BL108</f>
        <v>112335.204659129</v>
      </c>
      <c r="BP108" s="77" t="n">
        <f aca="false">$AI108</f>
        <v>193924.939808431</v>
      </c>
      <c r="BQ108" s="77" t="n">
        <f aca="false">$D108*BK108</f>
        <v>34800</v>
      </c>
      <c r="BR108" s="77" t="n">
        <f aca="false">$AK108</f>
        <v>15033.6</v>
      </c>
      <c r="BS108" s="77" t="n">
        <f aca="false">D108*T_equal_gen</f>
        <v>326026.54446756</v>
      </c>
      <c r="BT108" s="215"/>
      <c r="BU108" s="255" t="n">
        <f aca="false">CHOOSE(gen_choice,'Generation Calculations'!$O109,'Generation Calculations'!$P109)</f>
        <v>0.0557255574162158</v>
      </c>
      <c r="BV108" s="256" t="n">
        <f aca="false">EPS</f>
        <v>0.01</v>
      </c>
      <c r="BW108" s="247" t="n">
        <f aca="false">BY108-SUM(BU108:BV108,BX108)</f>
        <v>0.00145822013300764</v>
      </c>
      <c r="BX108" s="247" t="n">
        <f aca="false">CC108/$D108*-1</f>
        <v>-0.00432</v>
      </c>
      <c r="BY108" s="226" t="n">
        <f aca="false">CD108/$D108</f>
        <v>0.0628637775492234</v>
      </c>
      <c r="BZ108" s="77" t="n">
        <f aca="false">$D108*BW108</f>
        <v>5074.6060628666</v>
      </c>
      <c r="CA108" s="77" t="n">
        <f aca="false">$AI108</f>
        <v>193924.939808431</v>
      </c>
      <c r="CB108" s="77" t="n">
        <f aca="false">$D108*BV108</f>
        <v>34800</v>
      </c>
      <c r="CC108" s="77" t="n">
        <f aca="false">$AK108</f>
        <v>15033.6</v>
      </c>
      <c r="CD108" s="77" t="n">
        <f aca="false">$Z108*'Inputs and Assumptions'!$C$15</f>
        <v>218765.945871297</v>
      </c>
    </row>
    <row r="109" customFormat="false" ht="12.75" hidden="false" customHeight="false" outlineLevel="0" collapsed="false">
      <c r="A109" s="92"/>
      <c r="B109" s="82" t="s">
        <v>231</v>
      </c>
      <c r="C109" s="82" t="n">
        <v>1</v>
      </c>
      <c r="D109" s="177" t="n">
        <v>352913796</v>
      </c>
      <c r="E109" s="231" t="n">
        <f aca="false">surcharge_1*D109</f>
        <v>13505595.9340917</v>
      </c>
      <c r="F109" s="228"/>
      <c r="G109" s="250" t="n">
        <f aca="false">G103</f>
        <v>0.04002</v>
      </c>
      <c r="H109" s="13" t="n">
        <f aca="false">G109*D109</f>
        <v>14123610.11592</v>
      </c>
      <c r="I109" s="91" t="n">
        <f aca="false">H109/$H$127</f>
        <v>0.00449300018617573</v>
      </c>
      <c r="J109" s="231" t="n">
        <f aca="false">I109*$E$129</f>
        <v>11051563.4291922</v>
      </c>
      <c r="K109" s="228"/>
      <c r="L109" s="251" t="n">
        <v>30752908.18344</v>
      </c>
      <c r="M109" s="91" t="n">
        <f aca="false">L109/$L$127</f>
        <v>0.00440469444980738</v>
      </c>
      <c r="N109" s="231" t="n">
        <f aca="false">M109*$E$129</f>
        <v>10834355.2372943</v>
      </c>
      <c r="O109" s="228"/>
      <c r="P109" s="244" t="n">
        <f aca="false">S_Equal</f>
        <v>0.0385694346851059</v>
      </c>
      <c r="Q109" s="13" t="n">
        <f aca="false">P109*D109</f>
        <v>13611685.6042948</v>
      </c>
      <c r="R109" s="228"/>
      <c r="S109" s="211" t="n">
        <f aca="false">$D109/$D$124</f>
        <v>0.0988819510020296</v>
      </c>
      <c r="T109" s="245" t="n">
        <v>58668307.5352295</v>
      </c>
      <c r="U109" s="70" t="n">
        <f aca="false">$S109*T109</f>
        <v>5801236.71107056</v>
      </c>
      <c r="V109" s="91" t="n">
        <f aca="false">U109/$U$127</f>
        <v>0.00359229206242056</v>
      </c>
      <c r="W109" s="245" t="n">
        <v>55560458.175985</v>
      </c>
      <c r="X109" s="70" t="n">
        <f aca="false">$S109*W109</f>
        <v>5493926.50300806</v>
      </c>
      <c r="Y109" s="91" t="n">
        <f aca="false">X109/$X$127</f>
        <v>0.00362434264073381</v>
      </c>
      <c r="Z109" s="91" t="n">
        <f aca="false">AVERAGE(V109,Y109)</f>
        <v>0.00360831735157719</v>
      </c>
      <c r="AA109" s="232" t="n">
        <f aca="false">$Z109*'Inputs and Assumptions'!$C$6</f>
        <v>8875483.29205664</v>
      </c>
      <c r="AB109" s="237"/>
      <c r="AC109" s="262" t="n">
        <f aca="false">CHOOSE(gen_choice,'Generation Calculations'!$O110,'Generation Calculations'!$P110)</f>
        <v>0.0531094143031368</v>
      </c>
      <c r="AD109" s="263" t="n">
        <f aca="false">EPS</f>
        <v>0.01</v>
      </c>
      <c r="AE109" s="247" t="n">
        <f aca="false">AG109-SUM(AC109:AD109,AF109)</f>
        <v>0.0475938701787534</v>
      </c>
      <c r="AF109" s="264" t="n">
        <f aca="false">AK109/$D109*-1</f>
        <v>-0.00432</v>
      </c>
      <c r="AG109" s="253" t="n">
        <f aca="false">AL109/$D109</f>
        <v>0.10638328448189</v>
      </c>
      <c r="AH109" s="231" t="n">
        <f aca="false">$D109*AE109</f>
        <v>16796533.391115</v>
      </c>
      <c r="AI109" s="260" t="n">
        <f aca="false">CHOOSE(gen_choice,'Generation Calculations'!$M110,'Generation Calculations'!$N110)</f>
        <v>18743045.0050567</v>
      </c>
      <c r="AJ109" s="231" t="n">
        <f aca="false">$D109*AD109</f>
        <v>3529137.96</v>
      </c>
      <c r="AK109" s="254" t="n">
        <f aca="false">CHOOSE(gen_choice,'Generation Calculations'!K110,'Generation Calculations'!L110)</f>
        <v>1524587.59872</v>
      </c>
      <c r="AL109" s="231" t="n">
        <f aca="false">$D109*gen_equal</f>
        <v>37544128.7574517</v>
      </c>
      <c r="AM109" s="228"/>
      <c r="AN109" s="262" t="n">
        <f aca="false">CHOOSE(gen_choice,'Generation Calculations'!$O110,'Generation Calculations'!$P110)</f>
        <v>0.0531094143031368</v>
      </c>
      <c r="AO109" s="263" t="n">
        <f aca="false">EPS</f>
        <v>0.01</v>
      </c>
      <c r="AP109" s="247" t="n">
        <f aca="false">AR109-SUM(AN109:AO109,AQ109)</f>
        <v>0.0418588717176587</v>
      </c>
      <c r="AQ109" s="264" t="n">
        <f aca="false">AV109/$D109*-1</f>
        <v>-0.00432</v>
      </c>
      <c r="AR109" s="253" t="n">
        <f aca="false">AW109/$D109</f>
        <v>0.100648286020795</v>
      </c>
      <c r="AS109" s="231" t="n">
        <f aca="false">$D109*AP109</f>
        <v>14772573.314156</v>
      </c>
      <c r="AT109" s="231" t="n">
        <f aca="false">$AI109</f>
        <v>18743045.0050567</v>
      </c>
      <c r="AU109" s="231" t="n">
        <f aca="false">$D109*AO109</f>
        <v>3529137.96</v>
      </c>
      <c r="AV109" s="231" t="n">
        <f aca="false">$AK109</f>
        <v>1524587.59872</v>
      </c>
      <c r="AW109" s="231" t="n">
        <f aca="false">$I109*'Inputs and Assumptions'!$C$15</f>
        <v>35520168.6804927</v>
      </c>
      <c r="AX109" s="228"/>
      <c r="AY109" s="262" t="n">
        <f aca="false">CHOOSE(gen_choice,'Generation Calculations'!$O110,'Generation Calculations'!$P110)</f>
        <v>0.0531094143031368</v>
      </c>
      <c r="AZ109" s="263" t="n">
        <f aca="false">EPS</f>
        <v>0.01</v>
      </c>
      <c r="BA109" s="247" t="n">
        <f aca="false">BC109-SUM(AY109:AZ109,BB109)</f>
        <v>0.0398807233439672</v>
      </c>
      <c r="BB109" s="264" t="n">
        <f aca="false">BG109/$D109*-1</f>
        <v>-0.00432</v>
      </c>
      <c r="BC109" s="253" t="n">
        <f aca="false">BH109/$D109</f>
        <v>0.098670137647104</v>
      </c>
      <c r="BD109" s="231" t="n">
        <f aca="false">$D109*BA109</f>
        <v>14074457.4625453</v>
      </c>
      <c r="BE109" s="231" t="n">
        <f aca="false">$AI109</f>
        <v>18743045.0050567</v>
      </c>
      <c r="BF109" s="231" t="n">
        <f aca="false">$D109*AZ109</f>
        <v>3529137.96</v>
      </c>
      <c r="BG109" s="231" t="n">
        <f aca="false">$AK109</f>
        <v>1524587.59872</v>
      </c>
      <c r="BH109" s="231" t="n">
        <f aca="false">$M109*'Inputs and Assumptions'!$C$15</f>
        <v>34822052.828882</v>
      </c>
      <c r="BI109" s="228"/>
      <c r="BJ109" s="262" t="n">
        <f aca="false">CHOOSE(gen_choice,'Generation Calculations'!$O110,'Generation Calculations'!$P110)</f>
        <v>0.0531094143031368</v>
      </c>
      <c r="BK109" s="263" t="n">
        <f aca="false">EPS</f>
        <v>0.01</v>
      </c>
      <c r="BL109" s="247" t="n">
        <f aca="false">BN109-SUM(BJ109:BK109,BM109)</f>
        <v>0.0408665471424634</v>
      </c>
      <c r="BM109" s="264" t="n">
        <f aca="false">BR109/$D109*-1</f>
        <v>-0.00432</v>
      </c>
      <c r="BN109" s="253" t="n">
        <f aca="false">BS109/$D109</f>
        <v>0.0996559614456001</v>
      </c>
      <c r="BO109" s="231" t="n">
        <f aca="false">$D109*BL109</f>
        <v>14422368.2814597</v>
      </c>
      <c r="BP109" s="231" t="n">
        <f aca="false">$AI109</f>
        <v>18743045.0050567</v>
      </c>
      <c r="BQ109" s="231" t="n">
        <f aca="false">$D109*BK109</f>
        <v>3529137.96</v>
      </c>
      <c r="BR109" s="231" t="n">
        <f aca="false">$AK109</f>
        <v>1524587.59872</v>
      </c>
      <c r="BS109" s="231" t="n">
        <f aca="false">D109*s_equal_gen</f>
        <v>35169963.6477964</v>
      </c>
      <c r="BT109" s="228"/>
      <c r="BU109" s="262" t="n">
        <f aca="false">CHOOSE(gen_choice,'Generation Calculations'!$O110,'Generation Calculations'!$P110)</f>
        <v>0.0531094143031368</v>
      </c>
      <c r="BV109" s="263" t="n">
        <f aca="false">EPS</f>
        <v>0.01</v>
      </c>
      <c r="BW109" s="247" t="n">
        <f aca="false">BY109-SUM(BU109:BV109,BX109)</f>
        <v>0.0220409755937434</v>
      </c>
      <c r="BX109" s="264" t="n">
        <f aca="false">CC109/$D109*-1</f>
        <v>-0.00432</v>
      </c>
      <c r="BY109" s="253" t="n">
        <f aca="false">CD109/$D109</f>
        <v>0.0808303898968802</v>
      </c>
      <c r="BZ109" s="231" t="n">
        <f aca="false">$D109*BW109</f>
        <v>7778564.36433135</v>
      </c>
      <c r="CA109" s="231" t="n">
        <f aca="false">$AI109</f>
        <v>18743045.0050567</v>
      </c>
      <c r="CB109" s="231" t="n">
        <f aca="false">$D109*BV109</f>
        <v>3529137.96</v>
      </c>
      <c r="CC109" s="231" t="n">
        <f aca="false">$AK109</f>
        <v>1524587.59872</v>
      </c>
      <c r="CD109" s="231" t="n">
        <f aca="false">$Z109*'Inputs and Assumptions'!$C$15</f>
        <v>28526159.730668</v>
      </c>
    </row>
    <row r="110" customFormat="false" ht="12.75" hidden="false" customHeight="false" outlineLevel="0" collapsed="false">
      <c r="A110" s="97" t="s">
        <v>347</v>
      </c>
      <c r="B110" s="84"/>
      <c r="C110" s="84"/>
      <c r="D110" s="159" t="n">
        <f aca="false">SUM(D108:D109)</f>
        <v>356393796</v>
      </c>
      <c r="E110" s="77" t="n">
        <f aca="false">SUM(E108:E109)</f>
        <v>13638771.4414914</v>
      </c>
      <c r="F110" s="215"/>
      <c r="G110" s="242"/>
      <c r="H110" s="13" t="n">
        <f aca="false">SUM(H108:H109)</f>
        <v>14248924.91592</v>
      </c>
      <c r="I110" s="88" t="n">
        <f aca="false">H110/$H$127</f>
        <v>0.00453286530671569</v>
      </c>
      <c r="J110" s="77" t="n">
        <f aca="false">SUM(J108:J109)</f>
        <v>11149620.827368</v>
      </c>
      <c r="K110" s="215"/>
      <c r="L110" s="129" t="n">
        <f aca="false">SUM(L108:L109)</f>
        <v>31023721.78344</v>
      </c>
      <c r="M110" s="88" t="n">
        <f aca="false">L110/$L$127</f>
        <v>0.00444348268907688</v>
      </c>
      <c r="N110" s="77" t="n">
        <f aca="false">SUM(N108:N109)</f>
        <v>10929763.7992419</v>
      </c>
      <c r="O110" s="215"/>
      <c r="P110" s="244"/>
      <c r="Q110" s="13" t="n">
        <f aca="false">SUM(Q108:Q109)</f>
        <v>13737866.3096941</v>
      </c>
      <c r="R110" s="215"/>
      <c r="T110" s="272"/>
      <c r="U110" s="212" t="n">
        <f aca="false">SUM(U108:U109)</f>
        <v>5843745.89952533</v>
      </c>
      <c r="V110" s="88" t="n">
        <f aca="false">U110/$U$127</f>
        <v>0.00361861497042646</v>
      </c>
      <c r="W110" s="272"/>
      <c r="X110" s="212" t="n">
        <f aca="false">SUM(X108:X109)</f>
        <v>5537917.97208292</v>
      </c>
      <c r="Y110" s="88" t="n">
        <f aca="false">X110/$X$127</f>
        <v>0.00365336380749118</v>
      </c>
      <c r="Z110" s="88" t="n">
        <f aca="false">AVERAGE(V110,Y110)</f>
        <v>0.00363598938895882</v>
      </c>
      <c r="AA110" s="129" t="n">
        <f aca="false">SUM(AA108:AA109)</f>
        <v>8943549.0084301</v>
      </c>
      <c r="AB110" s="217"/>
      <c r="AC110" s="19" t="n">
        <f aca="false">CHOOSE(gen_choice,'Generation Calculations'!$O111,'Generation Calculations'!$P111)</f>
        <v>0.0531349595795577</v>
      </c>
      <c r="AD110" s="249" t="n">
        <f aca="false">EPS</f>
        <v>0.01</v>
      </c>
      <c r="AE110" s="226" t="n">
        <f aca="false">AH110/$D110</f>
        <v>0.0475683249023325</v>
      </c>
      <c r="AF110" s="226" t="n">
        <f aca="false">AK110/$D110*-1</f>
        <v>-0.00432</v>
      </c>
      <c r="AG110" s="226" t="n">
        <f aca="false">AL110/$D110</f>
        <v>0.10638328448189</v>
      </c>
      <c r="AH110" s="77" t="n">
        <f aca="false">AL110+AK110-SUM(AI110:AJ110)</f>
        <v>16953055.8813036</v>
      </c>
      <c r="AI110" s="77" t="n">
        <f aca="false">SUM(AI108:AI109)</f>
        <v>18936969.9448651</v>
      </c>
      <c r="AJ110" s="77" t="n">
        <f aca="false">SUM(AJ108:AJ109)</f>
        <v>3563937.96</v>
      </c>
      <c r="AK110" s="77" t="n">
        <f aca="false">SUM(AK108:AK109)</f>
        <v>1539621.19872</v>
      </c>
      <c r="AL110" s="77" t="n">
        <f aca="false">SUM(AL108:AL109)</f>
        <v>37914342.5874487</v>
      </c>
      <c r="AM110" s="215"/>
      <c r="AN110" s="19" t="n">
        <f aca="false">CHOOSE(gen_choice,'Generation Calculations'!$O111,'Generation Calculations'!$P111)</f>
        <v>0.0531349595795577</v>
      </c>
      <c r="AO110" s="249" t="n">
        <f aca="false">EPS</f>
        <v>0.01</v>
      </c>
      <c r="AP110" s="226" t="n">
        <f aca="false">AS110/$D110</f>
        <v>0.0417348521688792</v>
      </c>
      <c r="AQ110" s="226" t="n">
        <f aca="false">AV110/$D110*-1</f>
        <v>-0.00432</v>
      </c>
      <c r="AR110" s="226" t="n">
        <f aca="false">AW110/$D110</f>
        <v>0.100549811748437</v>
      </c>
      <c r="AS110" s="77" t="n">
        <f aca="false">SUM(AS108:AS109)</f>
        <v>14874042.3899657</v>
      </c>
      <c r="AT110" s="77" t="n">
        <f aca="false">SUM(AT108:AT109)</f>
        <v>18936969.9448651</v>
      </c>
      <c r="AU110" s="77" t="n">
        <f aca="false">SUM(AU108:AU109)</f>
        <v>3563937.96</v>
      </c>
      <c r="AV110" s="77" t="n">
        <f aca="false">SUM(AV108:AV109)</f>
        <v>1539621.19872</v>
      </c>
      <c r="AW110" s="77" t="n">
        <f aca="false">SUM(AW108:AW109)</f>
        <v>35835329.0961108</v>
      </c>
      <c r="AX110" s="215"/>
      <c r="AY110" s="19" t="n">
        <f aca="false">CHOOSE(gen_choice,'Generation Calculations'!$O111,'Generation Calculations'!$P111)</f>
        <v>0.0531349595795577</v>
      </c>
      <c r="AZ110" s="249" t="n">
        <f aca="false">EPS</f>
        <v>0.01</v>
      </c>
      <c r="BA110" s="226" t="n">
        <f aca="false">BD110/$D110</f>
        <v>0.0397521315784726</v>
      </c>
      <c r="BB110" s="226" t="n">
        <f aca="false">BG110/$D110*-1</f>
        <v>-0.00432</v>
      </c>
      <c r="BC110" s="226" t="n">
        <f aca="false">BH110/$D110</f>
        <v>0.0985670911580303</v>
      </c>
      <c r="BD110" s="77" t="n">
        <f aca="false">SUM(BD108:BD109)</f>
        <v>14167413.0723433</v>
      </c>
      <c r="BE110" s="77" t="n">
        <f aca="false">SUM(BE108:BE109)</f>
        <v>18936969.9448651</v>
      </c>
      <c r="BF110" s="77" t="n">
        <f aca="false">SUM(BF108:BF109)</f>
        <v>3563937.96</v>
      </c>
      <c r="BG110" s="77" t="n">
        <f aca="false">SUM(BG108:BG109)</f>
        <v>1539621.19872</v>
      </c>
      <c r="BH110" s="77" t="n">
        <f aca="false">SUM(BH108:BH109)</f>
        <v>35128699.7784884</v>
      </c>
      <c r="BI110" s="215"/>
      <c r="BJ110" s="19" t="n">
        <f aca="false">CHOOSE(gen_choice,'Generation Calculations'!$O111,'Generation Calculations'!$P111)</f>
        <v>0.0531349595795577</v>
      </c>
      <c r="BK110" s="249" t="n">
        <f aca="false">EPS</f>
        <v>0.01</v>
      </c>
      <c r="BL110" s="226" t="n">
        <f aca="false">BO110/$D110</f>
        <v>0.0407827062346473</v>
      </c>
      <c r="BM110" s="226" t="n">
        <f aca="false">BR110/$D110*-1</f>
        <v>-0.00432</v>
      </c>
      <c r="BN110" s="226" t="n">
        <f aca="false">BS110/$D110</f>
        <v>0.099597665814205</v>
      </c>
      <c r="BO110" s="77" t="n">
        <f aca="false">SUM(BO108:BO109)</f>
        <v>14534703.4861188</v>
      </c>
      <c r="BP110" s="77" t="n">
        <f aca="false">SUM(BP108:BP109)</f>
        <v>18936969.9448651</v>
      </c>
      <c r="BQ110" s="77" t="n">
        <f aca="false">SUM(BQ108:BQ109)</f>
        <v>3563937.96</v>
      </c>
      <c r="BR110" s="77" t="n">
        <f aca="false">SUM(BR108:BR109)</f>
        <v>1539621.19872</v>
      </c>
      <c r="BS110" s="77" t="n">
        <f aca="false">SUM(BS108:BS109)</f>
        <v>35495990.1922639</v>
      </c>
      <c r="BT110" s="215"/>
      <c r="BU110" s="19" t="n">
        <f aca="false">CHOOSE(gen_choice,'Generation Calculations'!$O111,'Generation Calculations'!$P111)</f>
        <v>0.0531349595795577</v>
      </c>
      <c r="BV110" s="249" t="n">
        <f aca="false">EPS</f>
        <v>0.01</v>
      </c>
      <c r="BW110" s="226" t="n">
        <f aca="false">BZ110/$D110</f>
        <v>0.0218399956950828</v>
      </c>
      <c r="BX110" s="226" t="n">
        <f aca="false">CC110/$D110*-1</f>
        <v>-0.00432</v>
      </c>
      <c r="BY110" s="226" t="n">
        <f aca="false">CD110/$D110</f>
        <v>0.0806549552746405</v>
      </c>
      <c r="BZ110" s="77" t="n">
        <f aca="false">SUM(BZ108:BZ109)</f>
        <v>7783638.97039422</v>
      </c>
      <c r="CA110" s="77" t="n">
        <f aca="false">SUM(CA108:CA109)</f>
        <v>18936969.9448651</v>
      </c>
      <c r="CB110" s="77" t="n">
        <f aca="false">SUM(CB108:CB109)</f>
        <v>3563937.96</v>
      </c>
      <c r="CC110" s="77" t="n">
        <f aca="false">SUM(CC108:CC109)</f>
        <v>1539621.19872</v>
      </c>
      <c r="CD110" s="77" t="n">
        <f aca="false">SUM(CD108:CD109)</f>
        <v>28744925.6765393</v>
      </c>
    </row>
    <row r="111" customFormat="false" ht="12.75" hidden="false" customHeight="false" outlineLevel="0" collapsed="false">
      <c r="A111" s="94"/>
      <c r="B111" s="79"/>
      <c r="C111" s="79"/>
      <c r="D111" s="159"/>
      <c r="E111" s="77"/>
      <c r="F111" s="215"/>
      <c r="G111" s="242"/>
      <c r="H111" s="13"/>
      <c r="I111" s="88"/>
      <c r="J111" s="77"/>
      <c r="K111" s="215"/>
      <c r="L111" s="129"/>
      <c r="M111" s="88"/>
      <c r="N111" s="77"/>
      <c r="O111" s="215"/>
      <c r="P111" s="244"/>
      <c r="Q111" s="13"/>
      <c r="R111" s="215"/>
      <c r="T111" s="272"/>
      <c r="V111" s="88"/>
      <c r="W111" s="272"/>
      <c r="X111" s="212"/>
      <c r="Y111" s="88"/>
      <c r="Z111" s="88"/>
      <c r="AA111" s="129"/>
      <c r="AB111" s="217"/>
      <c r="AC111" s="74"/>
      <c r="AD111" s="19"/>
      <c r="AH111" s="77"/>
      <c r="AJ111" s="77"/>
      <c r="AK111" s="77"/>
      <c r="AL111" s="77"/>
      <c r="AM111" s="215"/>
      <c r="AN111" s="74"/>
      <c r="AO111" s="19"/>
      <c r="AP111" s="0"/>
      <c r="AQ111" s="0"/>
      <c r="AR111" s="0"/>
      <c r="AS111" s="77"/>
      <c r="AT111" s="77"/>
      <c r="AU111" s="77"/>
      <c r="AV111" s="77"/>
      <c r="AW111" s="77"/>
      <c r="AX111" s="215"/>
      <c r="AY111" s="74"/>
      <c r="AZ111" s="19"/>
      <c r="BA111" s="0"/>
      <c r="BB111" s="0"/>
      <c r="BC111" s="0"/>
      <c r="BD111" s="77"/>
      <c r="BE111" s="77"/>
      <c r="BF111" s="77"/>
      <c r="BG111" s="77"/>
      <c r="BH111" s="77"/>
      <c r="BI111" s="215"/>
      <c r="BJ111" s="74"/>
      <c r="BK111" s="19"/>
      <c r="BL111" s="0"/>
      <c r="BM111" s="0"/>
      <c r="BN111" s="0"/>
      <c r="BO111" s="77"/>
      <c r="BP111" s="77"/>
      <c r="BQ111" s="77"/>
      <c r="BR111" s="77"/>
      <c r="BS111" s="77"/>
      <c r="BT111" s="215"/>
      <c r="BU111" s="74"/>
      <c r="BV111" s="19"/>
      <c r="BW111" s="0"/>
      <c r="BX111" s="0"/>
      <c r="BY111" s="0"/>
      <c r="BZ111" s="77"/>
      <c r="CA111" s="77"/>
      <c r="CB111" s="77"/>
      <c r="CC111" s="77"/>
      <c r="CD111" s="77"/>
    </row>
    <row r="112" customFormat="false" ht="12.75" hidden="false" customHeight="false" outlineLevel="0" collapsed="false">
      <c r="A112" s="100" t="s">
        <v>348</v>
      </c>
      <c r="B112" s="84" t="s">
        <v>236</v>
      </c>
      <c r="C112" s="84"/>
      <c r="D112" s="159" t="n">
        <v>7045610736.01549</v>
      </c>
      <c r="E112" s="77" t="n">
        <f aca="false">E96+E108</f>
        <v>269627236.985441</v>
      </c>
      <c r="F112" s="215"/>
      <c r="G112" s="242"/>
      <c r="H112" s="50" t="n">
        <f aca="false">H96+H108</f>
        <v>253712442.603918</v>
      </c>
      <c r="I112" s="88" t="n">
        <f aca="false">H112/$H$127</f>
        <v>0.0807109543876168</v>
      </c>
      <c r="J112" s="77" t="n">
        <f aca="false">J96+J108</f>
        <v>198527085.440565</v>
      </c>
      <c r="K112" s="215"/>
      <c r="L112" s="129" t="n">
        <f aca="false">L96+L108</f>
        <v>548289427.476726</v>
      </c>
      <c r="M112" s="88" t="n">
        <f aca="false">L112/$L$127</f>
        <v>0.0785306997207915</v>
      </c>
      <c r="N112" s="77" t="n">
        <f aca="false">N96+N108</f>
        <v>193164249.530531</v>
      </c>
      <c r="O112" s="215"/>
      <c r="P112" s="244"/>
      <c r="Q112" s="50" t="n">
        <f aca="false">Q96+Q108</f>
        <v>255465555.356146</v>
      </c>
      <c r="R112" s="215"/>
      <c r="T112" s="272"/>
      <c r="U112" s="212" t="n">
        <f aca="false">U96+U108</f>
        <v>86064136.3667225</v>
      </c>
      <c r="V112" s="88" t="n">
        <f aca="false">U112/$U$127</f>
        <v>0.0532933802441245</v>
      </c>
      <c r="W112" s="272"/>
      <c r="X112" s="212" t="n">
        <f aca="false">X96+X108</f>
        <v>89065162.8755475</v>
      </c>
      <c r="Y112" s="88" t="n">
        <f aca="false">X112/$X$127</f>
        <v>0.0587562770337402</v>
      </c>
      <c r="Z112" s="88" t="n">
        <f aca="false">AVERAGE(V112,Y112)</f>
        <v>0.0560248286389323</v>
      </c>
      <c r="AA112" s="77" t="n">
        <f aca="false">AA96+AA108</f>
        <v>137805902.883746</v>
      </c>
      <c r="AB112" s="217"/>
      <c r="AC112" s="19" t="n">
        <f aca="false">CHOOSE(gen_choice,'Generation Calculations'!$O113,'Generation Calculations'!$P113)</f>
        <v>0.0469997100367883</v>
      </c>
      <c r="AD112" s="249" t="n">
        <f aca="false">EPS</f>
        <v>0.01</v>
      </c>
      <c r="AE112" s="226" t="n">
        <f aca="false">AH112/$D112</f>
        <v>0.0582289976382948</v>
      </c>
      <c r="AF112" s="226" t="n">
        <f aca="false">AK112/$D112*-1</f>
        <v>-0.00884542319319299</v>
      </c>
      <c r="AG112" s="226" t="n">
        <f aca="false">AL112/$D112</f>
        <v>0.10638328448189</v>
      </c>
      <c r="AH112" s="77" t="n">
        <f aca="false">AH96+AH108</f>
        <v>410258850.907791</v>
      </c>
      <c r="AI112" s="77" t="n">
        <f aca="false">AI96+AI108</f>
        <v>331141661.624811</v>
      </c>
      <c r="AJ112" s="77" t="n">
        <f aca="false">AJ96+AJ108</f>
        <v>70456107.3601549</v>
      </c>
      <c r="AK112" s="77" t="n">
        <f aca="false">AK96+AK108</f>
        <v>62321408.6145609</v>
      </c>
      <c r="AL112" s="77" t="n">
        <f aca="false">AL96+AL108</f>
        <v>749535211.278195</v>
      </c>
      <c r="AM112" s="215"/>
      <c r="AN112" s="19" t="n">
        <f aca="false">CHOOSE(gen_choice,'Generation Calculations'!$O113,'Generation Calculations'!$P113)</f>
        <v>0.0469997100367883</v>
      </c>
      <c r="AO112" s="249" t="n">
        <f aca="false">EPS</f>
        <v>0.01</v>
      </c>
      <c r="AP112" s="226" t="n">
        <f aca="false">AS112/$D112</f>
        <v>0.0424090509777151</v>
      </c>
      <c r="AQ112" s="226" t="n">
        <f aca="false">AV112/$D112*-1</f>
        <v>-0.00884542319319299</v>
      </c>
      <c r="AR112" s="226" t="n">
        <f aca="false">AW112/$D112</f>
        <v>0.0905633378213104</v>
      </c>
      <c r="AS112" s="77" t="n">
        <f aca="false">AS96+AS108</f>
        <v>298797664.872818</v>
      </c>
      <c r="AT112" s="77" t="n">
        <f aca="false">AT96+AT108</f>
        <v>331141661.624811</v>
      </c>
      <c r="AU112" s="77" t="n">
        <f aca="false">AU96+AU108</f>
        <v>70456107.3601549</v>
      </c>
      <c r="AV112" s="77" t="n">
        <f aca="false">AV96+AV108</f>
        <v>62321408.6145609</v>
      </c>
      <c r="AW112" s="77" t="n">
        <f aca="false">AW96+AW108</f>
        <v>638074025.243223</v>
      </c>
      <c r="AX112" s="215"/>
      <c r="AY112" s="19" t="n">
        <f aca="false">CHOOSE(gen_choice,'Generation Calculations'!$O113,'Generation Calculations'!$P113)</f>
        <v>0.0469997100367883</v>
      </c>
      <c r="AZ112" s="249" t="n">
        <f aca="false">EPS</f>
        <v>0.01</v>
      </c>
      <c r="BA112" s="226" t="n">
        <f aca="false">BD112/$D112</f>
        <v>0.0399626526984936</v>
      </c>
      <c r="BB112" s="226" t="n">
        <f aca="false">BG112/$D112*-1</f>
        <v>-0.00884542319319299</v>
      </c>
      <c r="BC112" s="226" t="n">
        <f aca="false">BH112/$D112</f>
        <v>0.0881169395420889</v>
      </c>
      <c r="BD112" s="77" t="n">
        <f aca="false">BD96+BD108</f>
        <v>281561294.892165</v>
      </c>
      <c r="BE112" s="77" t="n">
        <f aca="false">BE96+BE108</f>
        <v>331141661.624811</v>
      </c>
      <c r="BF112" s="77" t="n">
        <f aca="false">BF96+BF108</f>
        <v>70456107.3601549</v>
      </c>
      <c r="BG112" s="77" t="n">
        <f aca="false">BG96+BG108</f>
        <v>62321408.6145609</v>
      </c>
      <c r="BH112" s="77" t="n">
        <f aca="false">BH96+BH108</f>
        <v>620837655.26257</v>
      </c>
      <c r="BI112" s="215"/>
      <c r="BJ112" s="19" t="n">
        <f aca="false">CHOOSE(gen_choice,'Generation Calculations'!$O113,'Generation Calculations'!$P113)</f>
        <v>0.0469997100367883</v>
      </c>
      <c r="BK112" s="249" t="n">
        <f aca="false">EPS</f>
        <v>0.01</v>
      </c>
      <c r="BL112" s="226" t="n">
        <f aca="false">BO112/$D112</f>
        <v>0.045531501796508</v>
      </c>
      <c r="BM112" s="226" t="n">
        <f aca="false">BR112/$D112*-1</f>
        <v>-0.00884542319319299</v>
      </c>
      <c r="BN112" s="226" t="n">
        <f aca="false">BS112/$D112</f>
        <v>0.0936857886401033</v>
      </c>
      <c r="BO112" s="77" t="n">
        <f aca="false">BO96+BO108</f>
        <v>320797237.884385</v>
      </c>
      <c r="BP112" s="77" t="n">
        <f aca="false">BP96+BP108</f>
        <v>331141661.624811</v>
      </c>
      <c r="BQ112" s="77" t="n">
        <f aca="false">BQ96+BQ108</f>
        <v>70456107.3601549</v>
      </c>
      <c r="BR112" s="77" t="n">
        <f aca="false">BR96+BR108</f>
        <v>62321408.6145609</v>
      </c>
      <c r="BS112" s="77" t="n">
        <f aca="false">BS96+BS108</f>
        <v>660073598.25479</v>
      </c>
      <c r="BT112" s="215"/>
      <c r="BU112" s="19" t="n">
        <f aca="false">CHOOSE(gen_choice,'Generation Calculations'!$O113,'Generation Calculations'!$P113)</f>
        <v>0.0469997100367883</v>
      </c>
      <c r="BV112" s="249" t="n">
        <f aca="false">EPS</f>
        <v>0.01</v>
      </c>
      <c r="BW112" s="226" t="n">
        <f aca="false">BZ112/$D112</f>
        <v>0.0147094907056281</v>
      </c>
      <c r="BX112" s="226" t="n">
        <f aca="false">CC112/$D112*-1</f>
        <v>-0.00884542319319299</v>
      </c>
      <c r="BY112" s="226" t="n">
        <f aca="false">CD112/$D112</f>
        <v>0.0628637775492234</v>
      </c>
      <c r="BZ112" s="77" t="n">
        <f aca="false">BZ96+BZ108</f>
        <v>103637345.636893</v>
      </c>
      <c r="CA112" s="77" t="n">
        <f aca="false">CA96+CA108</f>
        <v>331141661.624811</v>
      </c>
      <c r="CB112" s="77" t="n">
        <f aca="false">CB96+CB108</f>
        <v>70456107.3601549</v>
      </c>
      <c r="CC112" s="77" t="n">
        <f aca="false">CC96+CC108</f>
        <v>62321408.6145609</v>
      </c>
      <c r="CD112" s="77" t="n">
        <f aca="false">CD96+CD108</f>
        <v>442913706.007298</v>
      </c>
    </row>
    <row r="113" customFormat="false" ht="12.75" hidden="false" customHeight="false" outlineLevel="0" collapsed="false">
      <c r="A113" s="100"/>
      <c r="B113" s="84" t="s">
        <v>234</v>
      </c>
      <c r="C113" s="84"/>
      <c r="D113" s="159" t="n">
        <v>6260946171.6443</v>
      </c>
      <c r="E113" s="77" t="n">
        <f aca="false">E100</f>
        <v>239599046.899618</v>
      </c>
      <c r="F113" s="215"/>
      <c r="G113" s="242"/>
      <c r="H113" s="50" t="n">
        <f aca="false">H100</f>
        <v>232531540.814869</v>
      </c>
      <c r="I113" s="88" t="n">
        <f aca="false">H113/$H$127</f>
        <v>0.0739728899054846</v>
      </c>
      <c r="J113" s="77" t="n">
        <f aca="false">J100</f>
        <v>181953271.968803</v>
      </c>
      <c r="K113" s="215"/>
      <c r="L113" s="129" t="n">
        <f aca="false">L100</f>
        <v>504193995.202516</v>
      </c>
      <c r="M113" s="88" t="n">
        <f aca="false">L113/$L$127</f>
        <v>0.0722149748910774</v>
      </c>
      <c r="N113" s="77" t="n">
        <f aca="false">N100</f>
        <v>177629277.203651</v>
      </c>
      <c r="O113" s="215"/>
      <c r="P113" s="244"/>
      <c r="Q113" s="50" t="n">
        <f aca="false">Q100</f>
        <v>235917072.534793</v>
      </c>
      <c r="R113" s="215"/>
      <c r="T113" s="272"/>
      <c r="U113" s="212" t="n">
        <f aca="false">U100</f>
        <v>91500296.9871798</v>
      </c>
      <c r="V113" s="88" t="n">
        <f aca="false">U113/$U$127</f>
        <v>0.0566596067264271</v>
      </c>
      <c r="W113" s="272"/>
      <c r="X113" s="212" t="n">
        <f aca="false">X100</f>
        <v>90726123.8936494</v>
      </c>
      <c r="Y113" s="88" t="n">
        <f aca="false">X113/$X$127</f>
        <v>0.0598520128138252</v>
      </c>
      <c r="Z113" s="88" t="n">
        <f aca="false">AVERAGE(V113,Y113)</f>
        <v>0.0582558097701262</v>
      </c>
      <c r="AA113" s="77" t="n">
        <f aca="false">AA100</f>
        <v>143293512.155738</v>
      </c>
      <c r="AB113" s="217"/>
      <c r="AC113" s="19" t="n">
        <f aca="false">CHOOSE(gen_choice,'Generation Calculations'!$O114,'Generation Calculations'!$P114)</f>
        <v>0.055810534229175</v>
      </c>
      <c r="AD113" s="249" t="n">
        <f aca="false">EPS</f>
        <v>0.01</v>
      </c>
      <c r="AE113" s="226" t="n">
        <f aca="false">AH113/$D113</f>
        <v>0.0468352390358908</v>
      </c>
      <c r="AF113" s="226" t="n">
        <f aca="false">AK113/$D113*-1</f>
        <v>-0.00626248878317573</v>
      </c>
      <c r="AG113" s="226" t="n">
        <f aca="false">AL113/$D113</f>
        <v>0.10638328448189</v>
      </c>
      <c r="AH113" s="261" t="n">
        <f aca="false">AH100</f>
        <v>293232910.539806</v>
      </c>
      <c r="AI113" s="261" t="n">
        <f aca="false">AI100</f>
        <v>349426750.619577</v>
      </c>
      <c r="AJ113" s="261" t="n">
        <f aca="false">AJ100</f>
        <v>62609461.716443</v>
      </c>
      <c r="AK113" s="261" t="n">
        <f aca="false">AK100</f>
        <v>39209105.1719895</v>
      </c>
      <c r="AL113" s="261" t="n">
        <f aca="false">AL100</f>
        <v>666060017.703837</v>
      </c>
      <c r="AM113" s="215"/>
      <c r="AN113" s="19" t="n">
        <f aca="false">CHOOSE(gen_choice,'Generation Calculations'!$O114,'Generation Calculations'!$P114)</f>
        <v>0.055810534229175</v>
      </c>
      <c r="AO113" s="249" t="n">
        <f aca="false">EPS</f>
        <v>0.01</v>
      </c>
      <c r="AP113" s="226" t="n">
        <f aca="false">AS113/$D113</f>
        <v>0.0338571855088318</v>
      </c>
      <c r="AQ113" s="226" t="n">
        <f aca="false">AV113/$D113*-1</f>
        <v>-0.00626248878317573</v>
      </c>
      <c r="AR113" s="226" t="n">
        <f aca="false">AW113/$D113</f>
        <v>0.0934052309548312</v>
      </c>
      <c r="AS113" s="261" t="n">
        <f aca="false">AS100</f>
        <v>211978015.994172</v>
      </c>
      <c r="AT113" s="261" t="n">
        <f aca="false">AT100</f>
        <v>349426750.619577</v>
      </c>
      <c r="AU113" s="261" t="n">
        <f aca="false">AU100</f>
        <v>62609461.716443</v>
      </c>
      <c r="AV113" s="261" t="n">
        <f aca="false">AV100</f>
        <v>39209105.1719895</v>
      </c>
      <c r="AW113" s="261" t="n">
        <f aca="false">AW100</f>
        <v>584805123.158202</v>
      </c>
      <c r="AX113" s="215"/>
      <c r="AY113" s="19" t="n">
        <f aca="false">CHOOSE(gen_choice,'Generation Calculations'!$O114,'Generation Calculations'!$P114)</f>
        <v>0.055810534229175</v>
      </c>
      <c r="AZ113" s="249" t="n">
        <f aca="false">EPS</f>
        <v>0.01</v>
      </c>
      <c r="BA113" s="226" t="n">
        <f aca="false">BD113/$D113</f>
        <v>0.0316374742317753</v>
      </c>
      <c r="BB113" s="226" t="n">
        <f aca="false">BG113/$D113*-1</f>
        <v>-0.00626248878317573</v>
      </c>
      <c r="BC113" s="226" t="n">
        <f aca="false">BH113/$D113</f>
        <v>0.0911855196777747</v>
      </c>
      <c r="BD113" s="261" t="n">
        <f aca="false">BD100</f>
        <v>198080523.171929</v>
      </c>
      <c r="BE113" s="261" t="n">
        <f aca="false">BE100</f>
        <v>349426750.619577</v>
      </c>
      <c r="BF113" s="261" t="n">
        <f aca="false">BF100</f>
        <v>62609461.716443</v>
      </c>
      <c r="BG113" s="261" t="n">
        <f aca="false">BG100</f>
        <v>39209105.1719895</v>
      </c>
      <c r="BH113" s="261" t="n">
        <f aca="false">BH100</f>
        <v>570907630.335959</v>
      </c>
      <c r="BI113" s="215"/>
      <c r="BJ113" s="19" t="n">
        <f aca="false">CHOOSE(gen_choice,'Generation Calculations'!$O114,'Generation Calculations'!$P114)</f>
        <v>0.055810534229175</v>
      </c>
      <c r="BK113" s="249" t="n">
        <f aca="false">EPS</f>
        <v>0.01</v>
      </c>
      <c r="BL113" s="226" t="n">
        <f aca="false">BO113/$D113</f>
        <v>0.0378116956897944</v>
      </c>
      <c r="BM113" s="226" t="n">
        <f aca="false">BR113/$D113*-1</f>
        <v>-0.00626248878317573</v>
      </c>
      <c r="BN113" s="226" t="n">
        <f aca="false">BS113/$D113</f>
        <v>0.0973597411357937</v>
      </c>
      <c r="BO113" s="261" t="n">
        <f aca="false">BO100</f>
        <v>236736991.372397</v>
      </c>
      <c r="BP113" s="261" t="n">
        <f aca="false">BP100</f>
        <v>349426750.619577</v>
      </c>
      <c r="BQ113" s="261" t="n">
        <f aca="false">BQ100</f>
        <v>62609461.716443</v>
      </c>
      <c r="BR113" s="261" t="n">
        <f aca="false">BR100</f>
        <v>39209105.1719895</v>
      </c>
      <c r="BS113" s="261" t="n">
        <f aca="false">BS100</f>
        <v>609564098.536428</v>
      </c>
      <c r="BT113" s="215"/>
      <c r="BU113" s="19" t="n">
        <f aca="false">CHOOSE(gen_choice,'Generation Calculations'!$O114,'Generation Calculations'!$P114)</f>
        <v>0.055810534229175</v>
      </c>
      <c r="BV113" s="249" t="n">
        <f aca="false">EPS</f>
        <v>0.01</v>
      </c>
      <c r="BW113" s="226" t="n">
        <f aca="false">BZ113/$D113</f>
        <v>0.0140113000519505</v>
      </c>
      <c r="BX113" s="226" t="n">
        <f aca="false">CC113/$D113*-1</f>
        <v>-0.00626248878317573</v>
      </c>
      <c r="BY113" s="226" t="n">
        <f aca="false">CD113/$D113</f>
        <v>0.0735593454979498</v>
      </c>
      <c r="BZ113" s="261" t="n">
        <f aca="false">BZ100</f>
        <v>87723995.4200193</v>
      </c>
      <c r="CA113" s="261" t="n">
        <f aca="false">CA100</f>
        <v>349426750.619577</v>
      </c>
      <c r="CB113" s="261" t="n">
        <f aca="false">CB100</f>
        <v>62609461.716443</v>
      </c>
      <c r="CC113" s="261" t="n">
        <f aca="false">CC100</f>
        <v>39209105.1719895</v>
      </c>
      <c r="CD113" s="261" t="n">
        <f aca="false">CD100</f>
        <v>460551102.58405</v>
      </c>
    </row>
    <row r="114" customFormat="false" ht="12.75" hidden="false" customHeight="false" outlineLevel="0" collapsed="false">
      <c r="A114" s="100"/>
      <c r="B114" s="84" t="s">
        <v>231</v>
      </c>
      <c r="C114" s="84"/>
      <c r="D114" s="185" t="n">
        <v>3540506919.77636</v>
      </c>
      <c r="E114" s="231" t="n">
        <f aca="false">E104+E109</f>
        <v>135491036.061269</v>
      </c>
      <c r="F114" s="228"/>
      <c r="G114" s="250"/>
      <c r="H114" s="238" t="n">
        <f aca="false">H104+H109</f>
        <v>141691086.92945</v>
      </c>
      <c r="I114" s="91" t="n">
        <f aca="false">H114/$H$127</f>
        <v>0.0450747418491729</v>
      </c>
      <c r="J114" s="231" t="n">
        <f aca="false">J104+J109</f>
        <v>110871655.454927</v>
      </c>
      <c r="K114" s="228"/>
      <c r="L114" s="232" t="n">
        <f aca="false">L104+L109</f>
        <v>308519772.989312</v>
      </c>
      <c r="M114" s="91" t="n">
        <f aca="false">L114/$L$127</f>
        <v>0.0441888397557673</v>
      </c>
      <c r="N114" s="231" t="n">
        <f aca="false">N104+N109</f>
        <v>108692576.271389</v>
      </c>
      <c r="O114" s="228"/>
      <c r="P114" s="244"/>
      <c r="Q114" s="238" t="n">
        <f aca="false">Q104+Q109</f>
        <v>136555350.39448</v>
      </c>
      <c r="R114" s="228"/>
      <c r="T114" s="272"/>
      <c r="U114" s="70" t="n">
        <f aca="false">U104+U109</f>
        <v>58199251.3514717</v>
      </c>
      <c r="V114" s="91" t="n">
        <f aca="false">U114/$U$127</f>
        <v>0.0360386447030756</v>
      </c>
      <c r="W114" s="272"/>
      <c r="X114" s="70" t="n">
        <f aca="false">X104+X109</f>
        <v>55116249.410218</v>
      </c>
      <c r="Y114" s="91" t="n">
        <f aca="false">X114/$X$127</f>
        <v>0.0363601829812247</v>
      </c>
      <c r="Z114" s="91" t="n">
        <f aca="false">AVERAGE(V114,Y114)</f>
        <v>0.0361994138421501</v>
      </c>
      <c r="AA114" s="231" t="n">
        <f aca="false">AA104+AA109</f>
        <v>89040752.6371852</v>
      </c>
      <c r="AB114" s="237"/>
      <c r="AC114" s="252" t="n">
        <f aca="false">CHOOSE(gen_choice,'Generation Calculations'!$O115,'Generation Calculations'!$P115)</f>
        <v>0.0591798155282728</v>
      </c>
      <c r="AD114" s="259" t="n">
        <f aca="false">EPS</f>
        <v>0.01</v>
      </c>
      <c r="AE114" s="253" t="n">
        <f aca="false">AH114/$D114</f>
        <v>0.0420754973965669</v>
      </c>
      <c r="AF114" s="253" t="n">
        <f aca="false">AK114/$D114*-1</f>
        <v>-0.00487202844294967</v>
      </c>
      <c r="AG114" s="253" t="n">
        <f aca="false">AL114/$D114</f>
        <v>0.10638328448189</v>
      </c>
      <c r="AH114" s="231" t="n">
        <f aca="false">AH104+AH109</f>
        <v>148968589.685578</v>
      </c>
      <c r="AI114" s="231" t="n">
        <f aca="false">AI104+AI109</f>
        <v>209526546.388939</v>
      </c>
      <c r="AJ114" s="231" t="n">
        <f aca="false">AJ104+AJ109</f>
        <v>35405069.1977636</v>
      </c>
      <c r="AK114" s="231" t="n">
        <f aca="false">AK104+AK109</f>
        <v>17249450.4156106</v>
      </c>
      <c r="AL114" s="231" t="n">
        <f aca="false">AL104+AL109</f>
        <v>376650754.856669</v>
      </c>
      <c r="AM114" s="228"/>
      <c r="AN114" s="252" t="n">
        <f aca="false">CHOOSE(gen_choice,'Generation Calculations'!$O115,'Generation Calculations'!$P115)</f>
        <v>0.0591798155282728</v>
      </c>
      <c r="AO114" s="259" t="n">
        <f aca="false">EPS</f>
        <v>0.01</v>
      </c>
      <c r="AP114" s="253" t="n">
        <f aca="false">AS114/$D114</f>
        <v>0.0363404989354723</v>
      </c>
      <c r="AQ114" s="253" t="n">
        <f aca="false">AV114/$D114*-1</f>
        <v>-0.00487202844294967</v>
      </c>
      <c r="AR114" s="253" t="n">
        <f aca="false">AW114/$D114</f>
        <v>0.100648286020795</v>
      </c>
      <c r="AS114" s="231" t="n">
        <f aca="false">AS104+AS109</f>
        <v>128663787.949165</v>
      </c>
      <c r="AT114" s="231" t="n">
        <f aca="false">AT104+AT109</f>
        <v>209526546.388939</v>
      </c>
      <c r="AU114" s="231" t="n">
        <f aca="false">AU104+AU109</f>
        <v>35405069.1977636</v>
      </c>
      <c r="AV114" s="231" t="n">
        <f aca="false">AV104+AV109</f>
        <v>17249450.4156106</v>
      </c>
      <c r="AW114" s="231" t="n">
        <f aca="false">AW104+AW109</f>
        <v>356345953.120257</v>
      </c>
      <c r="AX114" s="228"/>
      <c r="AY114" s="252" t="n">
        <f aca="false">CHOOSE(gen_choice,'Generation Calculations'!$O115,'Generation Calculations'!$P115)</f>
        <v>0.0591798155282728</v>
      </c>
      <c r="AZ114" s="259" t="n">
        <f aca="false">EPS</f>
        <v>0.01</v>
      </c>
      <c r="BA114" s="253" t="n">
        <f aca="false">BD114/$D114</f>
        <v>0.0343623505617808</v>
      </c>
      <c r="BB114" s="253" t="n">
        <f aca="false">BG114/$D114*-1</f>
        <v>-0.00487202844294967</v>
      </c>
      <c r="BC114" s="253" t="n">
        <f aca="false">BH114/$D114</f>
        <v>0.0986701376471039</v>
      </c>
      <c r="BD114" s="231" t="n">
        <f aca="false">BD104+BD109</f>
        <v>121660139.943766</v>
      </c>
      <c r="BE114" s="231" t="n">
        <f aca="false">BE104+BE109</f>
        <v>209526546.388939</v>
      </c>
      <c r="BF114" s="231" t="n">
        <f aca="false">BF104+BF109</f>
        <v>35405069.1977636</v>
      </c>
      <c r="BG114" s="231" t="n">
        <f aca="false">BG104+BG109</f>
        <v>17249450.4156106</v>
      </c>
      <c r="BH114" s="231" t="n">
        <f aca="false">BH104+BH109</f>
        <v>349342305.114858</v>
      </c>
      <c r="BI114" s="228"/>
      <c r="BJ114" s="252" t="n">
        <f aca="false">CHOOSE(gen_choice,'Generation Calculations'!$O115,'Generation Calculations'!$P115)</f>
        <v>0.0591798155282728</v>
      </c>
      <c r="BK114" s="259" t="n">
        <f aca="false">EPS</f>
        <v>0.01</v>
      </c>
      <c r="BL114" s="253" t="n">
        <f aca="false">BO114/$D114</f>
        <v>0.035348174360277</v>
      </c>
      <c r="BM114" s="253" t="n">
        <f aca="false">BR114/$D114*-1</f>
        <v>-0.00487202844294967</v>
      </c>
      <c r="BN114" s="253" t="n">
        <f aca="false">BS114/$D114</f>
        <v>0.0996559614456001</v>
      </c>
      <c r="BO114" s="231" t="n">
        <f aca="false">BO104+BO109</f>
        <v>125150455.924022</v>
      </c>
      <c r="BP114" s="231" t="n">
        <f aca="false">BP104+BP109</f>
        <v>209526546.388939</v>
      </c>
      <c r="BQ114" s="231" t="n">
        <f aca="false">BQ104+BQ109</f>
        <v>35405069.1977636</v>
      </c>
      <c r="BR114" s="231" t="n">
        <f aca="false">BR104+BR109</f>
        <v>17249450.4156106</v>
      </c>
      <c r="BS114" s="231" t="n">
        <f aca="false">BS104+BS109</f>
        <v>352832621.095114</v>
      </c>
      <c r="BT114" s="228"/>
      <c r="BU114" s="252" t="n">
        <f aca="false">CHOOSE(gen_choice,'Generation Calculations'!$O115,'Generation Calculations'!$P115)</f>
        <v>0.0591798155282728</v>
      </c>
      <c r="BV114" s="259" t="n">
        <f aca="false">EPS</f>
        <v>0.01</v>
      </c>
      <c r="BW114" s="253" t="n">
        <f aca="false">BZ114/$D114</f>
        <v>0.016522602811557</v>
      </c>
      <c r="BX114" s="253" t="n">
        <f aca="false">CC114/$D114*-1</f>
        <v>-0.00487202844294967</v>
      </c>
      <c r="BY114" s="253" t="n">
        <f aca="false">CD114/$D114</f>
        <v>0.0808303898968802</v>
      </c>
      <c r="BZ114" s="231" t="n">
        <f aca="false">BZ104+BZ109</f>
        <v>58498389.5870341</v>
      </c>
      <c r="CA114" s="231" t="n">
        <f aca="false">CA104+CA109</f>
        <v>209526546.388939</v>
      </c>
      <c r="CB114" s="231" t="n">
        <f aca="false">CB104+CB109</f>
        <v>35405069.1977636</v>
      </c>
      <c r="CC114" s="231" t="n">
        <f aca="false">CC104+CC109</f>
        <v>17249450.4156106</v>
      </c>
      <c r="CD114" s="231" t="n">
        <f aca="false">CD104+CD109</f>
        <v>286180554.758126</v>
      </c>
    </row>
    <row r="115" customFormat="false" ht="12.75" hidden="false" customHeight="false" outlineLevel="0" collapsed="false">
      <c r="A115" s="100" t="s">
        <v>348</v>
      </c>
      <c r="B115" s="84"/>
      <c r="C115" s="84"/>
      <c r="D115" s="159" t="n">
        <v>16847063827.4362</v>
      </c>
      <c r="E115" s="77" t="n">
        <f aca="false">SUM(E112:E114)</f>
        <v>644717319.946328</v>
      </c>
      <c r="F115" s="215"/>
      <c r="G115" s="242"/>
      <c r="H115" s="50" t="n">
        <f aca="false">SUM(H112:H114)</f>
        <v>627935070.348237</v>
      </c>
      <c r="I115" s="88" t="n">
        <f aca="false">H115/$H$127</f>
        <v>0.199758586142274</v>
      </c>
      <c r="J115" s="77" t="n">
        <f aca="false">SUM(J112:J114)</f>
        <v>491352012.864295</v>
      </c>
      <c r="K115" s="215"/>
      <c r="L115" s="129" t="n">
        <f aca="false">SUM(L112:L114)</f>
        <v>1361003195.66855</v>
      </c>
      <c r="M115" s="88" t="n">
        <f aca="false">L115/$L$127</f>
        <v>0.194934514367636</v>
      </c>
      <c r="N115" s="77" t="n">
        <f aca="false">SUM(N112:N114)</f>
        <v>479486103.005572</v>
      </c>
      <c r="O115" s="215"/>
      <c r="P115" s="244"/>
      <c r="Q115" s="50" t="n">
        <f aca="false">SUM(Q112:Q114)</f>
        <v>627937978.285419</v>
      </c>
      <c r="R115" s="215"/>
      <c r="T115" s="272"/>
      <c r="U115" s="212" t="n">
        <f aca="false">SUM(U112:U114)</f>
        <v>235763684.705374</v>
      </c>
      <c r="V115" s="88" t="n">
        <f aca="false">U115/$U$127</f>
        <v>0.145991631673627</v>
      </c>
      <c r="W115" s="272"/>
      <c r="X115" s="212" t="n">
        <f aca="false">SUM(X112:X114)</f>
        <v>234907536.179415</v>
      </c>
      <c r="Y115" s="88" t="n">
        <f aca="false">X115/$X$127</f>
        <v>0.15496847282879</v>
      </c>
      <c r="Z115" s="88" t="n">
        <f aca="false">AVERAGE(V115,Y115)</f>
        <v>0.150480052251209</v>
      </c>
      <c r="AA115" s="77" t="n">
        <f aca="false">SUM(AA112:AA114)</f>
        <v>370140167.676669</v>
      </c>
      <c r="AB115" s="217"/>
      <c r="AC115" s="19" t="n">
        <f aca="false">CHOOSE(gen_choice,'Generation Calculations'!$O116,'Generation Calculations'!$P116)</f>
        <v>0.052833833108875</v>
      </c>
      <c r="AD115" s="249" t="n">
        <f aca="false">EPS</f>
        <v>0.01</v>
      </c>
      <c r="AE115" s="226" t="n">
        <f aca="false">AH115/$D115</f>
        <v>0.0505999359808269</v>
      </c>
      <c r="AF115" s="226" t="n">
        <f aca="false">AK115/$D115*-1</f>
        <v>-0.00705048460781176</v>
      </c>
      <c r="AG115" s="226" t="n">
        <f aca="false">AL115/$D115</f>
        <v>0.10638328448189</v>
      </c>
      <c r="AH115" s="77" t="n">
        <f aca="false">SUM(AH112:AH114)</f>
        <v>852460351.133175</v>
      </c>
      <c r="AI115" s="77" t="n">
        <f aca="false">SUM(AI112:AI114)</f>
        <v>890094958.633326</v>
      </c>
      <c r="AJ115" s="77" t="n">
        <f aca="false">SUM(AJ112:AJ114)</f>
        <v>168470638.274362</v>
      </c>
      <c r="AK115" s="77" t="n">
        <f aca="false">SUM(AK112:AK114)</f>
        <v>118779964.202161</v>
      </c>
      <c r="AL115" s="77" t="n">
        <f aca="false">SUM(AL112:AL114)</f>
        <v>1792245983.8387</v>
      </c>
      <c r="AM115" s="215"/>
      <c r="AN115" s="19" t="n">
        <f aca="false">CHOOSE(gen_choice,'Generation Calculations'!$O116,'Generation Calculations'!$P116)</f>
        <v>0.052833833108875</v>
      </c>
      <c r="AO115" s="249" t="n">
        <f aca="false">EPS</f>
        <v>0.01</v>
      </c>
      <c r="AP115" s="226" t="n">
        <f aca="false">AS115/$D115</f>
        <v>0.0379555437888708</v>
      </c>
      <c r="AQ115" s="226" t="n">
        <f aca="false">AV115/$D115*-1</f>
        <v>-0.00705048460781176</v>
      </c>
      <c r="AR115" s="226" t="n">
        <f aca="false">AW115/$D115</f>
        <v>0.093738892289934</v>
      </c>
      <c r="AS115" s="77" t="n">
        <f aca="false">SUM(AS112:AS114)</f>
        <v>639439468.816155</v>
      </c>
      <c r="AT115" s="77" t="n">
        <f aca="false">SUM(AT112:AT114)</f>
        <v>890094958.633326</v>
      </c>
      <c r="AU115" s="77" t="n">
        <f aca="false">SUM(AU112:AU114)</f>
        <v>168470638.274362</v>
      </c>
      <c r="AV115" s="77" t="n">
        <f aca="false">SUM(AV112:AV114)</f>
        <v>118779964.202161</v>
      </c>
      <c r="AW115" s="77" t="n">
        <f aca="false">SUM(AW112:AW114)</f>
        <v>1579225101.52168</v>
      </c>
      <c r="AX115" s="215"/>
      <c r="AY115" s="19" t="n">
        <f aca="false">CHOOSE(gen_choice,'Generation Calculations'!$O116,'Generation Calculations'!$P116)</f>
        <v>0.052833833108875</v>
      </c>
      <c r="AZ115" s="249" t="n">
        <f aca="false">EPS</f>
        <v>0.01</v>
      </c>
      <c r="BA115" s="226" t="n">
        <f aca="false">BD115/$D115</f>
        <v>0.0356917955655047</v>
      </c>
      <c r="BB115" s="226" t="n">
        <f aca="false">BG115/$D115*-1</f>
        <v>-0.00705048460781176</v>
      </c>
      <c r="BC115" s="226" t="n">
        <f aca="false">BH115/$D115</f>
        <v>0.0914751440665679</v>
      </c>
      <c r="BD115" s="77" t="n">
        <f aca="false">SUM(BD112:BD114)</f>
        <v>601301958.00786</v>
      </c>
      <c r="BE115" s="77" t="n">
        <f aca="false">SUM(BE112:BE114)</f>
        <v>890094958.633326</v>
      </c>
      <c r="BF115" s="77" t="n">
        <f aca="false">SUM(BF112:BF114)</f>
        <v>168470638.274362</v>
      </c>
      <c r="BG115" s="77" t="n">
        <f aca="false">SUM(BG112:BG114)</f>
        <v>118779964.202161</v>
      </c>
      <c r="BH115" s="77" t="n">
        <f aca="false">SUM(BH112:BH114)</f>
        <v>1541087590.71339</v>
      </c>
      <c r="BI115" s="215"/>
      <c r="BJ115" s="19" t="n">
        <f aca="false">CHOOSE(gen_choice,'Generation Calculations'!$O116,'Generation Calculations'!$P116)</f>
        <v>0.052833833108875</v>
      </c>
      <c r="BK115" s="249" t="n">
        <f aca="false">EPS</f>
        <v>0.01</v>
      </c>
      <c r="BL115" s="226" t="n">
        <f aca="false">BO115/$D115</f>
        <v>0.0405224727687577</v>
      </c>
      <c r="BM115" s="226" t="n">
        <f aca="false">BR115/$D115*-1</f>
        <v>-0.00705048460781176</v>
      </c>
      <c r="BN115" s="226" t="n">
        <f aca="false">BS115/$D115</f>
        <v>0.0963058212698209</v>
      </c>
      <c r="BO115" s="77" t="n">
        <f aca="false">SUM(BO112:BO114)</f>
        <v>682684685.180805</v>
      </c>
      <c r="BP115" s="77" t="n">
        <f aca="false">SUM(BP112:BP114)</f>
        <v>890094958.633326</v>
      </c>
      <c r="BQ115" s="77" t="n">
        <f aca="false">SUM(BQ112:BQ114)</f>
        <v>168470638.274362</v>
      </c>
      <c r="BR115" s="77" t="n">
        <f aca="false">SUM(BR112:BR114)</f>
        <v>118779964.202161</v>
      </c>
      <c r="BS115" s="77" t="n">
        <f aca="false">SUM(BS112:BS114)</f>
        <v>1622470317.88633</v>
      </c>
      <c r="BT115" s="215"/>
      <c r="BU115" s="19" t="n">
        <f aca="false">CHOOSE(gen_choice,'Generation Calculations'!$O116,'Generation Calculations'!$P116)</f>
        <v>0.052833833108875</v>
      </c>
      <c r="BV115" s="249" t="n">
        <f aca="false">EPS</f>
        <v>0.01</v>
      </c>
      <c r="BW115" s="226" t="n">
        <f aca="false">BZ115/$D115</f>
        <v>0.0148310550255671</v>
      </c>
      <c r="BX115" s="226" t="n">
        <f aca="false">CC115/$D115*-1</f>
        <v>-0.00705048460781176</v>
      </c>
      <c r="BY115" s="226" t="n">
        <f aca="false">CD115/$D115</f>
        <v>0.0706144035266303</v>
      </c>
      <c r="BZ115" s="77" t="n">
        <f aca="false">SUM(BZ112:BZ114)</f>
        <v>249859730.643946</v>
      </c>
      <c r="CA115" s="77" t="n">
        <f aca="false">SUM(CA112:CA114)</f>
        <v>890094958.633326</v>
      </c>
      <c r="CB115" s="77" t="n">
        <f aca="false">SUM(CB112:CB114)</f>
        <v>168470638.274362</v>
      </c>
      <c r="CC115" s="77" t="n">
        <f aca="false">SUM(CC112:CC114)</f>
        <v>118779964.202161</v>
      </c>
      <c r="CD115" s="77" t="n">
        <f aca="false">SUM(CD112:CD114)</f>
        <v>1189645363.34947</v>
      </c>
    </row>
    <row r="116" customFormat="false" ht="12.75" hidden="false" customHeight="false" outlineLevel="0" collapsed="false">
      <c r="A116" s="92"/>
      <c r="B116" s="79"/>
      <c r="C116" s="79"/>
      <c r="D116" s="159"/>
      <c r="E116" s="77"/>
      <c r="F116" s="215"/>
      <c r="G116" s="242"/>
      <c r="H116" s="13"/>
      <c r="I116" s="88"/>
      <c r="J116" s="77"/>
      <c r="K116" s="215"/>
      <c r="L116" s="129"/>
      <c r="M116" s="88"/>
      <c r="N116" s="77"/>
      <c r="O116" s="215"/>
      <c r="P116" s="244"/>
      <c r="Q116" s="13"/>
      <c r="R116" s="215"/>
      <c r="T116" s="272"/>
      <c r="V116" s="88"/>
      <c r="W116" s="272"/>
      <c r="X116" s="212"/>
      <c r="Y116" s="88"/>
      <c r="Z116" s="88"/>
      <c r="AA116" s="129"/>
      <c r="AB116" s="217"/>
      <c r="AC116" s="74"/>
      <c r="AD116" s="19"/>
      <c r="AH116" s="77"/>
      <c r="AJ116" s="77"/>
      <c r="AK116" s="77"/>
      <c r="AL116" s="77"/>
      <c r="AM116" s="215"/>
      <c r="AN116" s="74"/>
      <c r="AO116" s="19"/>
      <c r="AP116" s="0"/>
      <c r="AQ116" s="0"/>
      <c r="AR116" s="0"/>
      <c r="AS116" s="77"/>
      <c r="AT116" s="77"/>
      <c r="AU116" s="77"/>
      <c r="AV116" s="77"/>
      <c r="AW116" s="77"/>
      <c r="AX116" s="215"/>
      <c r="AY116" s="74"/>
      <c r="AZ116" s="19"/>
      <c r="BA116" s="0"/>
      <c r="BB116" s="0"/>
      <c r="BC116" s="0"/>
      <c r="BD116" s="77"/>
      <c r="BE116" s="77"/>
      <c r="BF116" s="77"/>
      <c r="BG116" s="77"/>
      <c r="BH116" s="77"/>
      <c r="BI116" s="215"/>
      <c r="BJ116" s="74"/>
      <c r="BK116" s="19"/>
      <c r="BL116" s="0"/>
      <c r="BM116" s="0"/>
      <c r="BN116" s="0"/>
      <c r="BO116" s="77"/>
      <c r="BP116" s="77"/>
      <c r="BQ116" s="77"/>
      <c r="BR116" s="77"/>
      <c r="BS116" s="77"/>
      <c r="BT116" s="215"/>
      <c r="BU116" s="74"/>
      <c r="BV116" s="19"/>
      <c r="BW116" s="0"/>
      <c r="BX116" s="0"/>
      <c r="BY116" s="0"/>
      <c r="BZ116" s="77"/>
      <c r="CA116" s="77"/>
      <c r="CB116" s="77"/>
      <c r="CC116" s="77"/>
      <c r="CD116" s="77"/>
    </row>
    <row r="117" customFormat="false" ht="12.75" hidden="false" customHeight="false" outlineLevel="0" collapsed="false">
      <c r="A117" s="94" t="s">
        <v>349</v>
      </c>
      <c r="B117" s="82" t="s">
        <v>236</v>
      </c>
      <c r="C117" s="82" t="n">
        <v>3</v>
      </c>
      <c r="D117" s="170" t="n">
        <v>358848000</v>
      </c>
      <c r="E117" s="77" t="n">
        <f aca="false">surcharge_1*D117</f>
        <v>13732690.9423426</v>
      </c>
      <c r="F117" s="215"/>
      <c r="G117" s="242" t="n">
        <f aca="false">G108</f>
        <v>0.03601</v>
      </c>
      <c r="H117" s="13" t="n">
        <f aca="false">G117*D117</f>
        <v>12922116.48</v>
      </c>
      <c r="I117" s="88" t="n">
        <f aca="false">H117/$H$127</f>
        <v>0.00411078125733454</v>
      </c>
      <c r="J117" s="77" t="n">
        <f aca="false">I117*$E$129</f>
        <v>10111408.3967212</v>
      </c>
      <c r="K117" s="215"/>
      <c r="L117" s="243" t="n">
        <v>27925551.36</v>
      </c>
      <c r="M117" s="88" t="n">
        <f aca="false">L117/$L$127</f>
        <v>0.00399973623143188</v>
      </c>
      <c r="N117" s="77" t="n">
        <f aca="false">M117*$E$129</f>
        <v>9838267.71200999</v>
      </c>
      <c r="O117" s="215"/>
      <c r="P117" s="244" t="n">
        <f aca="false">T_Equal</f>
        <v>0.0362588233906064</v>
      </c>
      <c r="Q117" s="13" t="n">
        <f aca="false">P117*D117</f>
        <v>13011406.2560723</v>
      </c>
      <c r="R117" s="215"/>
      <c r="S117" s="211" t="n">
        <f aca="false">$D117/$D$122</f>
        <v>0.0484637720046374</v>
      </c>
      <c r="T117" s="212" t="n">
        <v>90447566.613451</v>
      </c>
      <c r="U117" s="212" t="n">
        <f aca="false">$S117*T117</f>
        <v>4383430.24672854</v>
      </c>
      <c r="V117" s="88" t="n">
        <f aca="false">U117/$U$127</f>
        <v>0.0027143456586503</v>
      </c>
      <c r="W117" s="212" t="n">
        <f aca="false">$W$94</f>
        <v>93601441.81077</v>
      </c>
      <c r="X117" s="212" t="n">
        <f aca="false">$S117*W117</f>
        <v>4536278.93522249</v>
      </c>
      <c r="Y117" s="88" t="n">
        <f aca="false">X117/$X$127</f>
        <v>0.00299258265762885</v>
      </c>
      <c r="Z117" s="88" t="n">
        <f aca="false">AVERAGE(V117,Y117)</f>
        <v>0.00285346415813958</v>
      </c>
      <c r="AA117" s="129" t="n">
        <f aca="false">$Z117*'Inputs and Assumptions'!$C$6</f>
        <v>7018748.90493775</v>
      </c>
      <c r="AB117" s="217"/>
      <c r="AC117" s="19" t="n">
        <f aca="false">CHOOSE(gen_choice,'Generation Calculations'!$O118,'Generation Calculations'!$P118)</f>
        <v>0.0403367055446132</v>
      </c>
      <c r="AD117" s="249" t="n">
        <f aca="false">EPS</f>
        <v>0.01</v>
      </c>
      <c r="AE117" s="226" t="n">
        <f aca="false">AG117-SUM(AC117:AD117,AF117)</f>
        <v>0.0560465789372769</v>
      </c>
      <c r="AF117" s="226" t="n">
        <f aca="false">AK117/$D117*-1</f>
        <v>-0</v>
      </c>
      <c r="AG117" s="226" t="n">
        <f aca="false">AL117/$D117</f>
        <v>0.10638328448189</v>
      </c>
      <c r="AH117" s="77" t="n">
        <f aca="false">$D117*AE117</f>
        <v>20112202.758484</v>
      </c>
      <c r="AI117" s="258" t="n">
        <f aca="false">CHOOSE(gen_choice,'Generation Calculations'!$M118,'Generation Calculations'!$N118)</f>
        <v>14474746.1112733</v>
      </c>
      <c r="AJ117" s="77" t="n">
        <f aca="false">$D117*AD117</f>
        <v>3588480</v>
      </c>
      <c r="AK117" s="248" t="n">
        <f aca="false">CHOOSE(gen_choice,'Generation Calculations'!K118,'Generation Calculations'!L118)</f>
        <v>0</v>
      </c>
      <c r="AL117" s="77" t="n">
        <f aca="false">$D117*gen_equal</f>
        <v>38175428.8697573</v>
      </c>
      <c r="AM117" s="215"/>
      <c r="AN117" s="19" t="n">
        <f aca="false">CHOOSE(gen_choice,'Generation Calculations'!$O118,'Generation Calculations'!$P118)</f>
        <v>0.0403367055446132</v>
      </c>
      <c r="AO117" s="249" t="n">
        <f aca="false">EPS</f>
        <v>0.01</v>
      </c>
      <c r="AP117" s="226" t="n">
        <f aca="false">AR117-SUM(AN117:AO117,AQ117)</f>
        <v>0.0402266322766973</v>
      </c>
      <c r="AQ117" s="226" t="n">
        <f aca="false">AV117/$D117*-1</f>
        <v>-0</v>
      </c>
      <c r="AR117" s="226" t="n">
        <f aca="false">AW117/$D117</f>
        <v>0.0905633378213104</v>
      </c>
      <c r="AS117" s="77" t="n">
        <f aca="false">$D117*AP117</f>
        <v>14435246.5392283</v>
      </c>
      <c r="AT117" s="77" t="n">
        <f aca="false">$AI117</f>
        <v>14474746.1112733</v>
      </c>
      <c r="AU117" s="77" t="n">
        <f aca="false">$D117*AO117</f>
        <v>3588480</v>
      </c>
      <c r="AV117" s="77" t="n">
        <f aca="false">$AK117</f>
        <v>0</v>
      </c>
      <c r="AW117" s="77" t="n">
        <f aca="false">$I117*'Inputs and Assumptions'!$C$15</f>
        <v>32498472.6505016</v>
      </c>
      <c r="AX117" s="215"/>
      <c r="AY117" s="19" t="n">
        <f aca="false">CHOOSE(gen_choice,'Generation Calculations'!$O118,'Generation Calculations'!$P118)</f>
        <v>0.0403367055446132</v>
      </c>
      <c r="AZ117" s="249" t="n">
        <f aca="false">EPS</f>
        <v>0.01</v>
      </c>
      <c r="BA117" s="226" t="n">
        <f aca="false">BC117-SUM(AY117:AZ117,BB117)</f>
        <v>0.0377802339974758</v>
      </c>
      <c r="BB117" s="226" t="n">
        <f aca="false">BG117/$D117*-1</f>
        <v>-0</v>
      </c>
      <c r="BC117" s="226" t="n">
        <f aca="false">BH117/$D117</f>
        <v>0.088116939542089</v>
      </c>
      <c r="BD117" s="77" t="n">
        <f aca="false">$D117*BA117</f>
        <v>13557361.4095262</v>
      </c>
      <c r="BE117" s="77" t="n">
        <f aca="false">$AI117</f>
        <v>14474746.1112733</v>
      </c>
      <c r="BF117" s="77" t="n">
        <f aca="false">$D117*AZ117</f>
        <v>3588480</v>
      </c>
      <c r="BG117" s="77" t="n">
        <f aca="false">$AK117</f>
        <v>0</v>
      </c>
      <c r="BH117" s="77" t="n">
        <f aca="false">$M117*'Inputs and Assumptions'!$C$15</f>
        <v>31620587.5207995</v>
      </c>
      <c r="BI117" s="215"/>
      <c r="BJ117" s="19" t="n">
        <f aca="false">CHOOSE(gen_choice,'Generation Calculations'!$O118,'Generation Calculations'!$P118)</f>
        <v>0.0403367055446132</v>
      </c>
      <c r="BK117" s="249" t="n">
        <f aca="false">EPS</f>
        <v>0.01</v>
      </c>
      <c r="BL117" s="226" t="n">
        <f aca="false">BN117-SUM(BJ117:BK117,BM117)</f>
        <v>0.0433490830954902</v>
      </c>
      <c r="BM117" s="226" t="n">
        <f aca="false">BR117/$D117*-1</f>
        <v>-0</v>
      </c>
      <c r="BN117" s="226" t="n">
        <f aca="false">BS117/$D117</f>
        <v>0.0936857886401033</v>
      </c>
      <c r="BO117" s="77" t="n">
        <f aca="false">$D117*BL117</f>
        <v>15555731.7706505</v>
      </c>
      <c r="BP117" s="77" t="n">
        <f aca="false">$AI117</f>
        <v>14474746.1112733</v>
      </c>
      <c r="BQ117" s="77" t="n">
        <f aca="false">$D117*BK117</f>
        <v>3588480</v>
      </c>
      <c r="BR117" s="77" t="n">
        <f aca="false">$AK117</f>
        <v>0</v>
      </c>
      <c r="BS117" s="77" t="n">
        <f aca="false">D117*T_equal_gen</f>
        <v>33618957.8819238</v>
      </c>
      <c r="BT117" s="215"/>
      <c r="BU117" s="19" t="n">
        <f aca="false">CHOOSE(gen_choice,'Generation Calculations'!$O118,'Generation Calculations'!$P118)</f>
        <v>0.0403367055446132</v>
      </c>
      <c r="BV117" s="249" t="n">
        <f aca="false">EPS</f>
        <v>0.01</v>
      </c>
      <c r="BW117" s="226" t="n">
        <f aca="false">BY117-SUM(BU117:BV117,BX117)</f>
        <v>0.0125270720046102</v>
      </c>
      <c r="BX117" s="226" t="n">
        <f aca="false">CC117/$D117*-1</f>
        <v>-0</v>
      </c>
      <c r="BY117" s="226" t="n">
        <f aca="false">CD117/$D117</f>
        <v>0.0628637775492234</v>
      </c>
      <c r="BZ117" s="77" t="n">
        <f aca="false">$D117*BW117</f>
        <v>4495314.73471036</v>
      </c>
      <c r="CA117" s="77" t="n">
        <f aca="false">$AI117</f>
        <v>14474746.1112733</v>
      </c>
      <c r="CB117" s="77" t="n">
        <f aca="false">$D117*BV117</f>
        <v>3588480</v>
      </c>
      <c r="CC117" s="77" t="n">
        <f aca="false">$AK117</f>
        <v>0</v>
      </c>
      <c r="CD117" s="77" t="n">
        <f aca="false">$Z117*'Inputs and Assumptions'!$C$15</f>
        <v>22558540.8459837</v>
      </c>
    </row>
    <row r="118" customFormat="false" ht="12.75" hidden="false" customHeight="false" outlineLevel="0" collapsed="false">
      <c r="A118" s="92"/>
      <c r="B118" s="82"/>
      <c r="C118" s="82"/>
      <c r="D118" s="170"/>
      <c r="E118" s="77"/>
      <c r="F118" s="215"/>
      <c r="G118" s="242"/>
      <c r="H118" s="13"/>
      <c r="I118" s="88"/>
      <c r="J118" s="77"/>
      <c r="K118" s="215"/>
      <c r="L118" s="243"/>
      <c r="M118" s="88"/>
      <c r="N118" s="77"/>
      <c r="O118" s="215"/>
      <c r="P118" s="244"/>
      <c r="Q118" s="13"/>
      <c r="R118" s="215"/>
      <c r="T118" s="272"/>
      <c r="V118" s="88"/>
      <c r="W118" s="272"/>
      <c r="X118" s="212"/>
      <c r="Y118" s="88"/>
      <c r="Z118" s="88"/>
      <c r="AA118" s="129"/>
      <c r="AB118" s="217"/>
      <c r="AC118" s="19"/>
      <c r="AD118" s="249"/>
      <c r="AE118" s="226"/>
      <c r="AF118" s="226"/>
      <c r="AG118" s="226"/>
      <c r="AH118" s="77"/>
      <c r="AJ118" s="77"/>
      <c r="AK118" s="77"/>
      <c r="AL118" s="77"/>
      <c r="AM118" s="215"/>
      <c r="AN118" s="19"/>
      <c r="AO118" s="249"/>
      <c r="AP118" s="226"/>
      <c r="AQ118" s="226"/>
      <c r="AR118" s="226"/>
      <c r="AS118" s="77"/>
      <c r="AT118" s="77"/>
      <c r="AU118" s="77"/>
      <c r="AV118" s="77"/>
      <c r="AW118" s="77"/>
      <c r="AX118" s="215"/>
      <c r="AY118" s="19"/>
      <c r="AZ118" s="249"/>
      <c r="BA118" s="226"/>
      <c r="BB118" s="226"/>
      <c r="BC118" s="226"/>
      <c r="BD118" s="77"/>
      <c r="BE118" s="77"/>
      <c r="BF118" s="77"/>
      <c r="BG118" s="77"/>
      <c r="BH118" s="77"/>
      <c r="BI118" s="215"/>
      <c r="BJ118" s="19"/>
      <c r="BK118" s="249"/>
      <c r="BL118" s="226"/>
      <c r="BM118" s="226"/>
      <c r="BN118" s="226"/>
      <c r="BO118" s="77"/>
      <c r="BP118" s="77"/>
      <c r="BQ118" s="77"/>
      <c r="BR118" s="77"/>
      <c r="BS118" s="77"/>
      <c r="BT118" s="215"/>
      <c r="BU118" s="19"/>
      <c r="BV118" s="249"/>
      <c r="BW118" s="226"/>
      <c r="BX118" s="226"/>
      <c r="BY118" s="226"/>
      <c r="BZ118" s="77"/>
      <c r="CA118" s="77"/>
      <c r="CB118" s="77"/>
      <c r="CC118" s="77"/>
      <c r="CD118" s="77"/>
    </row>
    <row r="119" customFormat="false" ht="12.75" hidden="false" customHeight="false" outlineLevel="0" collapsed="false">
      <c r="A119" s="92"/>
      <c r="B119" s="82" t="s">
        <v>231</v>
      </c>
      <c r="C119" s="82" t="n">
        <v>1</v>
      </c>
      <c r="D119" s="177" t="n">
        <v>28534674</v>
      </c>
      <c r="E119" s="231" t="n">
        <f aca="false">surcharge_1*D119</f>
        <v>1091988.41621661</v>
      </c>
      <c r="F119" s="228"/>
      <c r="G119" s="250" t="n">
        <f aca="false">G103</f>
        <v>0.04002</v>
      </c>
      <c r="H119" s="13" t="n">
        <f aca="false">G119*D119</f>
        <v>1141957.65348</v>
      </c>
      <c r="I119" s="91" t="n">
        <f aca="false">H119/$H$127</f>
        <v>0.000363279353336654</v>
      </c>
      <c r="J119" s="231" t="n">
        <f aca="false">I119*$E$129</f>
        <v>893568.806934149</v>
      </c>
      <c r="K119" s="228"/>
      <c r="L119" s="251" t="n">
        <v>2486511.49236</v>
      </c>
      <c r="M119" s="91" t="n">
        <f aca="false">L119/$L$127</f>
        <v>0.000356139435803929</v>
      </c>
      <c r="N119" s="231" t="n">
        <f aca="false">M119*$E$129</f>
        <v>876006.543808744</v>
      </c>
      <c r="O119" s="228"/>
      <c r="P119" s="244" t="n">
        <f aca="false">S_Equal</f>
        <v>0.0385694346851059</v>
      </c>
      <c r="Q119" s="229" t="n">
        <f aca="false">P119*D119</f>
        <v>1100566.24510379</v>
      </c>
      <c r="R119" s="228"/>
      <c r="S119" s="211" t="n">
        <f aca="false">$D119/$D$124</f>
        <v>0.0079950522430891</v>
      </c>
      <c r="T119" s="212" t="n">
        <v>58668307.5352295</v>
      </c>
      <c r="U119" s="70" t="n">
        <f aca="false">$S119*T119</f>
        <v>469056.183757777</v>
      </c>
      <c r="V119" s="91" t="n">
        <f aca="false">U119/$U$127</f>
        <v>0.000290453034355048</v>
      </c>
      <c r="W119" s="212" t="n">
        <f aca="false">$W$102</f>
        <v>55560458.175985</v>
      </c>
      <c r="X119" s="70" t="n">
        <f aca="false">$S119*W119</f>
        <v>444208.765766966</v>
      </c>
      <c r="Y119" s="91" t="n">
        <f aca="false">X119/$X$127</f>
        <v>0.000293044468337074</v>
      </c>
      <c r="Z119" s="91" t="n">
        <f aca="false">AVERAGE(V119,Y119)</f>
        <v>0.000291748751346061</v>
      </c>
      <c r="AA119" s="232" t="n">
        <f aca="false">$Z119*'Inputs and Assumptions'!$C$6</f>
        <v>717622.901688102</v>
      </c>
      <c r="AB119" s="237"/>
      <c r="AC119" s="252" t="n">
        <f aca="false">CHOOSE(gen_choice,'Generation Calculations'!$O120,'Generation Calculations'!$P120)</f>
        <v>0.0348851473787911</v>
      </c>
      <c r="AD119" s="259" t="n">
        <f aca="false">EPS</f>
        <v>0.01</v>
      </c>
      <c r="AE119" s="253" t="n">
        <f aca="false">AG119-SUM(AC119:AD119,AF119)</f>
        <v>0.0614981371030991</v>
      </c>
      <c r="AF119" s="253" t="n">
        <f aca="false">AK119/$D119*-1</f>
        <v>-0</v>
      </c>
      <c r="AG119" s="253" t="n">
        <f aca="false">AL119/$D119</f>
        <v>0.10638328448189</v>
      </c>
      <c r="AH119" s="231" t="n">
        <f aca="false">$D119*AE119</f>
        <v>1754829.29384424</v>
      </c>
      <c r="AI119" s="260" t="n">
        <f aca="false">CHOOSE(gen_choice,'Generation Calculations'!$M120,'Generation Calculations'!$N120)</f>
        <v>995436.307895757</v>
      </c>
      <c r="AJ119" s="231" t="n">
        <f aca="false">$D119*AD119</f>
        <v>285346.74</v>
      </c>
      <c r="AK119" s="254" t="n">
        <f aca="false">CHOOSE(gen_choice,'Generation Calculations'!K120,'Generation Calculations'!L120)</f>
        <v>0</v>
      </c>
      <c r="AL119" s="231" t="n">
        <f aca="false">$D119*gen_equal</f>
        <v>3035612.34173999</v>
      </c>
      <c r="AM119" s="228"/>
      <c r="AN119" s="252" t="n">
        <f aca="false">CHOOSE(gen_choice,'Generation Calculations'!$O120,'Generation Calculations'!$P120)</f>
        <v>0.0348851473787911</v>
      </c>
      <c r="AO119" s="259" t="n">
        <f aca="false">EPS</f>
        <v>0.01</v>
      </c>
      <c r="AP119" s="253" t="n">
        <f aca="false">AR119-SUM(AN119:AO119,AQ119)</f>
        <v>0.0557631386420044</v>
      </c>
      <c r="AQ119" s="253" t="n">
        <f aca="false">AV119/$D119*-1</f>
        <v>-0</v>
      </c>
      <c r="AR119" s="253" t="n">
        <f aca="false">AW119/$D119</f>
        <v>0.100648286020795</v>
      </c>
      <c r="AS119" s="231" t="n">
        <f aca="false">$D119*AP119</f>
        <v>1591182.9823664</v>
      </c>
      <c r="AT119" s="231" t="n">
        <f aca="false">$AI119</f>
        <v>995436.307895757</v>
      </c>
      <c r="AU119" s="231" t="n">
        <f aca="false">$D119*AO119</f>
        <v>285346.74</v>
      </c>
      <c r="AV119" s="231" t="n">
        <f aca="false">$AK119</f>
        <v>0</v>
      </c>
      <c r="AW119" s="231" t="n">
        <f aca="false">$I119*'Inputs and Assumptions'!$C$15</f>
        <v>2871966.03026216</v>
      </c>
      <c r="AX119" s="228"/>
      <c r="AY119" s="252" t="n">
        <f aca="false">CHOOSE(gen_choice,'Generation Calculations'!$O120,'Generation Calculations'!$P120)</f>
        <v>0.0348851473787911</v>
      </c>
      <c r="AZ119" s="259" t="n">
        <f aca="false">EPS</f>
        <v>0.01</v>
      </c>
      <c r="BA119" s="253" t="n">
        <f aca="false">BC119-SUM(AY119:AZ119,BB119)</f>
        <v>0.0537849902683129</v>
      </c>
      <c r="BB119" s="253" t="n">
        <f aca="false">BG119/$D119*-1</f>
        <v>-0</v>
      </c>
      <c r="BC119" s="253" t="n">
        <f aca="false">BH119/$D119</f>
        <v>0.098670137647104</v>
      </c>
      <c r="BD119" s="231" t="n">
        <f aca="false">$D119*BA119</f>
        <v>1534737.16339948</v>
      </c>
      <c r="BE119" s="231" t="n">
        <f aca="false">$AI119</f>
        <v>995436.307895757</v>
      </c>
      <c r="BF119" s="231" t="n">
        <f aca="false">$D119*AZ119</f>
        <v>285346.74</v>
      </c>
      <c r="BG119" s="231" t="n">
        <f aca="false">$AK119</f>
        <v>0</v>
      </c>
      <c r="BH119" s="231" t="n">
        <f aca="false">$M119*'Inputs and Assumptions'!$C$15</f>
        <v>2815520.21129524</v>
      </c>
      <c r="BI119" s="228"/>
      <c r="BJ119" s="252" t="n">
        <f aca="false">CHOOSE(gen_choice,'Generation Calculations'!$O120,'Generation Calculations'!$P120)</f>
        <v>0.0348851473787911</v>
      </c>
      <c r="BK119" s="259" t="n">
        <f aca="false">EPS</f>
        <v>0.01</v>
      </c>
      <c r="BL119" s="253" t="n">
        <f aca="false">BN119-SUM(BJ119:BK119,BM119)</f>
        <v>0.0547708140668091</v>
      </c>
      <c r="BM119" s="253" t="n">
        <f aca="false">BR119/$D119*-1</f>
        <v>-0</v>
      </c>
      <c r="BN119" s="253" t="n">
        <f aca="false">BS119/$D119</f>
        <v>0.0996559614456001</v>
      </c>
      <c r="BO119" s="231" t="n">
        <f aca="false">$D119*BL119</f>
        <v>1562867.32411101</v>
      </c>
      <c r="BP119" s="231" t="n">
        <f aca="false">$AI119</f>
        <v>995436.307895757</v>
      </c>
      <c r="BQ119" s="231" t="n">
        <f aca="false">$D119*BK119</f>
        <v>285346.74</v>
      </c>
      <c r="BR119" s="231" t="n">
        <f aca="false">$AK119</f>
        <v>0</v>
      </c>
      <c r="BS119" s="231" t="n">
        <f aca="false">D119*s_equal_gen</f>
        <v>2843650.37200677</v>
      </c>
      <c r="BT119" s="228"/>
      <c r="BU119" s="252" t="n">
        <f aca="false">CHOOSE(gen_choice,'Generation Calculations'!$O120,'Generation Calculations'!$P120)</f>
        <v>0.0348851473787911</v>
      </c>
      <c r="BV119" s="259" t="n">
        <f aca="false">EPS</f>
        <v>0.01</v>
      </c>
      <c r="BW119" s="253" t="n">
        <f aca="false">BY119-SUM(BU119:BV119,BX119)</f>
        <v>0.0359452425180891</v>
      </c>
      <c r="BX119" s="253" t="n">
        <f aca="false">CC119/$D119*-1</f>
        <v>-0</v>
      </c>
      <c r="BY119" s="253" t="n">
        <f aca="false">CD119/$D119</f>
        <v>0.0808303898968802</v>
      </c>
      <c r="BZ119" s="231" t="n">
        <f aca="false">$D119*BW119</f>
        <v>1025685.77710461</v>
      </c>
      <c r="CA119" s="231" t="n">
        <f aca="false">$AI119</f>
        <v>995436.307895757</v>
      </c>
      <c r="CB119" s="231" t="n">
        <f aca="false">$D119*BV119</f>
        <v>285346.74</v>
      </c>
      <c r="CC119" s="231" t="n">
        <f aca="false">$AK119</f>
        <v>0</v>
      </c>
      <c r="CD119" s="231" t="n">
        <f aca="false">$Z119*'Inputs and Assumptions'!$C$15</f>
        <v>2306468.82500037</v>
      </c>
    </row>
    <row r="120" customFormat="false" ht="12.75" hidden="false" customHeight="false" outlineLevel="0" collapsed="false">
      <c r="A120" s="97" t="s">
        <v>350</v>
      </c>
      <c r="B120" s="84"/>
      <c r="C120" s="84"/>
      <c r="D120" s="159" t="n">
        <v>387382674</v>
      </c>
      <c r="E120" s="77" t="n">
        <f aca="false">SUM(E117:E119)</f>
        <v>14824679.3585592</v>
      </c>
      <c r="F120" s="215"/>
      <c r="G120" s="242"/>
      <c r="H120" s="13" t="n">
        <f aca="false">SUM(H117:H119)</f>
        <v>14064074.13348</v>
      </c>
      <c r="I120" s="88" t="n">
        <f aca="false">H120/$H$127</f>
        <v>0.0044740606106712</v>
      </c>
      <c r="J120" s="77" t="n">
        <f aca="false">SUM(J117:J119)</f>
        <v>11004977.2036553</v>
      </c>
      <c r="K120" s="215"/>
      <c r="L120" s="129" t="n">
        <f aca="false">SUM(L117:L119)</f>
        <v>30412062.85236</v>
      </c>
      <c r="M120" s="88" t="n">
        <f aca="false">L120/$L$127</f>
        <v>0.00435587566723581</v>
      </c>
      <c r="N120" s="77" t="n">
        <f aca="false">SUM(N117:N119)</f>
        <v>10714274.2558187</v>
      </c>
      <c r="O120" s="215"/>
      <c r="P120" s="244"/>
      <c r="Q120" s="13" t="n">
        <f aca="false">SUM(Q117:Q119)</f>
        <v>14111972.5011761</v>
      </c>
      <c r="R120" s="215"/>
      <c r="T120" s="272"/>
      <c r="U120" s="212" t="n">
        <f aca="false">SUM(U117:U119)</f>
        <v>4852486.43048632</v>
      </c>
      <c r="V120" s="88" t="n">
        <f aca="false">U120/$U$127</f>
        <v>0.00300479869300535</v>
      </c>
      <c r="W120" s="272"/>
      <c r="X120" s="212" t="n">
        <f aca="false">SUM(X117:X119)</f>
        <v>4980487.70098945</v>
      </c>
      <c r="Y120" s="88" t="n">
        <f aca="false">X120/$X$127</f>
        <v>0.00328562712596592</v>
      </c>
      <c r="Z120" s="88" t="n">
        <f aca="false">AVERAGE(V120,Y120)</f>
        <v>0.00314521290948564</v>
      </c>
      <c r="AA120" s="129" t="n">
        <f aca="false">SUM(AA117:AA119)</f>
        <v>7736371.80662585</v>
      </c>
      <c r="AB120" s="217"/>
      <c r="AC120" s="19" t="n">
        <f aca="false">CHOOSE(gen_choice,'Generation Calculations'!$O121,'Generation Calculations'!$P121)</f>
        <v>0.0399351428380328</v>
      </c>
      <c r="AD120" s="249" t="n">
        <f aca="false">EPS</f>
        <v>0.01</v>
      </c>
      <c r="AE120" s="226" t="n">
        <f aca="false">AH120/$D$120</f>
        <v>0.0564481416438573</v>
      </c>
      <c r="AF120" s="226" t="n">
        <f aca="false">AK120/$D120*-1</f>
        <v>-0</v>
      </c>
      <c r="AG120" s="226" t="n">
        <f aca="false">AL120/$D$120</f>
        <v>0.10638328448189</v>
      </c>
      <c r="AH120" s="77" t="n">
        <f aca="false">AL120+AK120-SUM(AI120:AJ120)</f>
        <v>21867032.0523282</v>
      </c>
      <c r="AI120" s="77" t="n">
        <f aca="false">SUM(AI117:AI119)</f>
        <v>15470182.4191691</v>
      </c>
      <c r="AJ120" s="77" t="n">
        <f aca="false">SUM(AJ117:AJ119)</f>
        <v>3873826.74</v>
      </c>
      <c r="AK120" s="77" t="n">
        <f aca="false">SUM(AK117:AK119)</f>
        <v>0</v>
      </c>
      <c r="AL120" s="77" t="n">
        <f aca="false">SUM(AL117:AL119)</f>
        <v>41211041.2114973</v>
      </c>
      <c r="AM120" s="215"/>
      <c r="AN120" s="19" t="n">
        <f aca="false">CHOOSE(gen_choice,'Generation Calculations'!$O121,'Generation Calculations'!$P121)</f>
        <v>0.0399351428380328</v>
      </c>
      <c r="AO120" s="249" t="n">
        <f aca="false">EPS</f>
        <v>0.01</v>
      </c>
      <c r="AP120" s="226" t="n">
        <f aca="false">AS120/$D$120</f>
        <v>0.0413710539919363</v>
      </c>
      <c r="AQ120" s="226" t="n">
        <f aca="false">AV120/$D120*-1</f>
        <v>-0</v>
      </c>
      <c r="AR120" s="226" t="n">
        <f aca="false">AW120/$D$120</f>
        <v>0.0913061968299691</v>
      </c>
      <c r="AS120" s="77" t="n">
        <f aca="false">SUM(AS117:AS119)</f>
        <v>16026429.5215947</v>
      </c>
      <c r="AT120" s="77" t="n">
        <f aca="false">SUM(AT117:AT119)</f>
        <v>15470182.4191691</v>
      </c>
      <c r="AU120" s="77" t="n">
        <f aca="false">SUM(AU117:AU119)</f>
        <v>3873826.74</v>
      </c>
      <c r="AV120" s="77" t="n">
        <f aca="false">SUM(AV117:AV119)</f>
        <v>0</v>
      </c>
      <c r="AW120" s="77" t="n">
        <f aca="false">SUM(AW117:AW119)</f>
        <v>35370438.6807638</v>
      </c>
      <c r="AX120" s="215"/>
      <c r="AY120" s="19" t="n">
        <f aca="false">CHOOSE(gen_choice,'Generation Calculations'!$O121,'Generation Calculations'!$P121)</f>
        <v>0.0399351428380328</v>
      </c>
      <c r="AZ120" s="249" t="n">
        <f aca="false">EPS</f>
        <v>0.01</v>
      </c>
      <c r="BA120" s="226" t="n">
        <f aca="false">BD120/$D$120</f>
        <v>0.0389591470808157</v>
      </c>
      <c r="BB120" s="226" t="n">
        <f aca="false">BG120/$D120*-1</f>
        <v>-0</v>
      </c>
      <c r="BC120" s="226" t="n">
        <f aca="false">BH120/$D$120</f>
        <v>0.0888942899188485</v>
      </c>
      <c r="BD120" s="77" t="n">
        <f aca="false">SUM(BD117:BD119)</f>
        <v>15092098.5729257</v>
      </c>
      <c r="BE120" s="77" t="n">
        <f aca="false">SUM(BE117:BE119)</f>
        <v>15470182.4191691</v>
      </c>
      <c r="BF120" s="77" t="n">
        <f aca="false">SUM(BF117:BF119)</f>
        <v>3873826.74</v>
      </c>
      <c r="BG120" s="77" t="n">
        <f aca="false">SUM(BG117:BG119)</f>
        <v>0</v>
      </c>
      <c r="BH120" s="77" t="n">
        <f aca="false">SUM(BH117:BH119)</f>
        <v>34436107.7320948</v>
      </c>
      <c r="BI120" s="215"/>
      <c r="BJ120" s="19" t="n">
        <f aca="false">CHOOSE(gen_choice,'Generation Calculations'!$O121,'Generation Calculations'!$P121)</f>
        <v>0.0399351428380328</v>
      </c>
      <c r="BK120" s="249" t="n">
        <f aca="false">EPS</f>
        <v>0.01</v>
      </c>
      <c r="BL120" s="226" t="n">
        <f aca="false">BO120/$D$120</f>
        <v>0.04419040975168</v>
      </c>
      <c r="BM120" s="226" t="n">
        <f aca="false">BR120/$D120*-1</f>
        <v>-0</v>
      </c>
      <c r="BN120" s="226" t="n">
        <f aca="false">BS120/$D$120</f>
        <v>0.0941255525897128</v>
      </c>
      <c r="BO120" s="77" t="n">
        <f aca="false">SUM(BO117:BO119)</f>
        <v>17118599.0947615</v>
      </c>
      <c r="BP120" s="77" t="n">
        <f aca="false">SUM(BP117:BP119)</f>
        <v>15470182.4191691</v>
      </c>
      <c r="BQ120" s="77" t="n">
        <f aca="false">SUM(BQ117:BQ119)</f>
        <v>3873826.74</v>
      </c>
      <c r="BR120" s="77" t="n">
        <f aca="false">SUM(BR117:BR119)</f>
        <v>0</v>
      </c>
      <c r="BS120" s="77" t="n">
        <f aca="false">SUM(BS117:BS119)</f>
        <v>36462608.2539306</v>
      </c>
      <c r="BT120" s="215"/>
      <c r="BU120" s="19" t="n">
        <f aca="false">CHOOSE(gen_choice,'Generation Calculations'!$O121,'Generation Calculations'!$P121)</f>
        <v>0.0399351428380328</v>
      </c>
      <c r="BV120" s="249" t="n">
        <f aca="false">EPS</f>
        <v>0.01</v>
      </c>
      <c r="BW120" s="226" t="n">
        <f aca="false">BZ120/$D$120</f>
        <v>0.0142520584485794</v>
      </c>
      <c r="BX120" s="226" t="n">
        <f aca="false">CC120/$D120*-1</f>
        <v>-0</v>
      </c>
      <c r="BY120" s="226" t="n">
        <f aca="false">CD120/$D$120</f>
        <v>0.0641872012866122</v>
      </c>
      <c r="BZ120" s="77" t="n">
        <f aca="false">SUM(BZ117:BZ119)</f>
        <v>5521000.51181497</v>
      </c>
      <c r="CA120" s="77" t="n">
        <f aca="false">SUM(CA117:CA119)</f>
        <v>15470182.4191691</v>
      </c>
      <c r="CB120" s="77" t="n">
        <f aca="false">SUM(CB117:CB119)</f>
        <v>3873826.74</v>
      </c>
      <c r="CC120" s="77" t="n">
        <f aca="false">SUM(CC117:CC119)</f>
        <v>0</v>
      </c>
      <c r="CD120" s="77" t="n">
        <f aca="false">SUM(CD117:CD119)</f>
        <v>24865009.6709841</v>
      </c>
    </row>
    <row r="121" customFormat="false" ht="12.75" hidden="false" customHeight="false" outlineLevel="0" collapsed="false">
      <c r="A121" s="92"/>
      <c r="B121" s="79"/>
      <c r="C121" s="79"/>
      <c r="D121" s="159"/>
      <c r="E121" s="77"/>
      <c r="F121" s="215"/>
      <c r="G121" s="242"/>
      <c r="H121" s="13"/>
      <c r="I121" s="88"/>
      <c r="J121" s="77"/>
      <c r="K121" s="215"/>
      <c r="L121" s="129"/>
      <c r="M121" s="88"/>
      <c r="N121" s="77"/>
      <c r="O121" s="215"/>
      <c r="P121" s="244"/>
      <c r="Q121" s="13"/>
      <c r="R121" s="215"/>
      <c r="T121" s="272"/>
      <c r="V121" s="88"/>
      <c r="W121" s="272"/>
      <c r="X121" s="212"/>
      <c r="Y121" s="88"/>
      <c r="Z121" s="88"/>
      <c r="AA121" s="129"/>
      <c r="AB121" s="217"/>
      <c r="AC121" s="74"/>
      <c r="AD121" s="19"/>
      <c r="AH121" s="77"/>
      <c r="AJ121" s="77" t="n">
        <f aca="false">$D121*AD121</f>
        <v>0</v>
      </c>
      <c r="AK121" s="77"/>
      <c r="AL121" s="77"/>
      <c r="AM121" s="215"/>
      <c r="AN121" s="74"/>
      <c r="AO121" s="19"/>
      <c r="AP121" s="0"/>
      <c r="AQ121" s="0"/>
      <c r="AR121" s="0"/>
      <c r="AS121" s="77"/>
      <c r="AT121" s="77"/>
      <c r="AU121" s="77" t="n">
        <f aca="false">$D121*AO121</f>
        <v>0</v>
      </c>
      <c r="AV121" s="77"/>
      <c r="AW121" s="77"/>
      <c r="AX121" s="215"/>
      <c r="AY121" s="74"/>
      <c r="AZ121" s="19"/>
      <c r="BA121" s="0"/>
      <c r="BB121" s="0"/>
      <c r="BC121" s="0"/>
      <c r="BD121" s="77"/>
      <c r="BE121" s="77"/>
      <c r="BF121" s="77" t="n">
        <f aca="false">$D121*AZ121</f>
        <v>0</v>
      </c>
      <c r="BG121" s="77"/>
      <c r="BH121" s="77"/>
      <c r="BI121" s="215"/>
      <c r="BJ121" s="74"/>
      <c r="BK121" s="19"/>
      <c r="BL121" s="0"/>
      <c r="BM121" s="0"/>
      <c r="BN121" s="0"/>
      <c r="BO121" s="77"/>
      <c r="BP121" s="77"/>
      <c r="BQ121" s="77" t="n">
        <f aca="false">$D121*BK121</f>
        <v>0</v>
      </c>
      <c r="BR121" s="77"/>
      <c r="BS121" s="77"/>
      <c r="BT121" s="215"/>
      <c r="BU121" s="74"/>
      <c r="BV121" s="19"/>
      <c r="BW121" s="0"/>
      <c r="BX121" s="0"/>
      <c r="BY121" s="0"/>
      <c r="BZ121" s="77"/>
      <c r="CA121" s="77"/>
      <c r="CB121" s="77" t="n">
        <f aca="false">$D121*BV121</f>
        <v>0</v>
      </c>
      <c r="CC121" s="77"/>
      <c r="CD121" s="77"/>
    </row>
    <row r="122" customFormat="false" ht="12.75" hidden="false" customHeight="false" outlineLevel="0" collapsed="false">
      <c r="A122" s="100" t="s">
        <v>351</v>
      </c>
      <c r="B122" s="84" t="s">
        <v>236</v>
      </c>
      <c r="C122" s="84"/>
      <c r="D122" s="159" t="n">
        <v>7404458736.01549</v>
      </c>
      <c r="E122" s="77" t="n">
        <f aca="false">E112+E117</f>
        <v>283359927.927784</v>
      </c>
      <c r="F122" s="215"/>
      <c r="G122" s="242"/>
      <c r="H122" s="50" t="n">
        <f aca="false">H112+H117</f>
        <v>266634559.083918</v>
      </c>
      <c r="I122" s="88" t="n">
        <f aca="false">H122/$H$127</f>
        <v>0.0848217356449514</v>
      </c>
      <c r="J122" s="77" t="n">
        <f aca="false">J112+J117</f>
        <v>208638493.837287</v>
      </c>
      <c r="K122" s="215"/>
      <c r="L122" s="129" t="n">
        <f aca="false">L112+L117</f>
        <v>576214978.836726</v>
      </c>
      <c r="M122" s="88" t="n">
        <f aca="false">L122/$L$127</f>
        <v>0.0825304359522234</v>
      </c>
      <c r="N122" s="77" t="n">
        <f aca="false">N112+N117</f>
        <v>203002517.242541</v>
      </c>
      <c r="O122" s="215"/>
      <c r="P122" s="244"/>
      <c r="Q122" s="50" t="n">
        <f aca="false">Q112+Q117</f>
        <v>268476961.612219</v>
      </c>
      <c r="R122" s="215"/>
      <c r="T122" s="272"/>
      <c r="U122" s="212" t="n">
        <f aca="false">U112+U117</f>
        <v>90447566.613451</v>
      </c>
      <c r="V122" s="88" t="n">
        <f aca="false">U122/$U$127</f>
        <v>0.0560077259027748</v>
      </c>
      <c r="W122" s="272"/>
      <c r="X122" s="212" t="n">
        <f aca="false">X112+X117</f>
        <v>93601441.81077</v>
      </c>
      <c r="Y122" s="88" t="n">
        <f aca="false">X122/$X$127</f>
        <v>0.0617488596913691</v>
      </c>
      <c r="Z122" s="88" t="n">
        <f aca="false">AVERAGE(V122,Y122)</f>
        <v>0.0588782927970719</v>
      </c>
      <c r="AA122" s="77" t="n">
        <f aca="false">AA112+AA117</f>
        <v>144824651.788684</v>
      </c>
      <c r="AB122" s="217"/>
      <c r="AC122" s="19" t="n">
        <f aca="false">CHOOSE(gen_choice,'Generation Calculations'!$O123,'Generation Calculations'!$P123)</f>
        <v>0.0466767957062137</v>
      </c>
      <c r="AD122" s="249" t="n">
        <f aca="false">EPS</f>
        <v>0.01</v>
      </c>
      <c r="AE122" s="226" t="n">
        <f aca="false">AH122/$D122</f>
        <v>0.05812322939595</v>
      </c>
      <c r="AF122" s="226" t="n">
        <f aca="false">AK122/$D122*-1</f>
        <v>-0.00841674062027355</v>
      </c>
      <c r="AG122" s="226" t="n">
        <f aca="false">AL122/$D122</f>
        <v>0.10638328448189</v>
      </c>
      <c r="AH122" s="77" t="n">
        <f aca="false">AH112+AH117</f>
        <v>430371053.666275</v>
      </c>
      <c r="AI122" s="77" t="n">
        <f aca="false">$D122*AC122</f>
        <v>345616407.736084</v>
      </c>
      <c r="AJ122" s="77" t="n">
        <f aca="false">AJ112+AJ117</f>
        <v>74044587.3601549</v>
      </c>
      <c r="AK122" s="77" t="n">
        <f aca="false">AK112+AK117</f>
        <v>62321408.6145609</v>
      </c>
      <c r="AL122" s="77" t="n">
        <f aca="false">AL112+AL117</f>
        <v>787710640.147952</v>
      </c>
      <c r="AM122" s="215"/>
      <c r="AN122" s="19" t="n">
        <f aca="false">CHOOSE(gen_choice,'Generation Calculations'!$O123,'Generation Calculations'!$P123)</f>
        <v>0.0466767957062137</v>
      </c>
      <c r="AO122" s="249" t="n">
        <f aca="false">EPS</f>
        <v>0.01</v>
      </c>
      <c r="AP122" s="226" t="n">
        <f aca="false">AS122/$D122</f>
        <v>0.0423032827353703</v>
      </c>
      <c r="AQ122" s="226" t="n">
        <f aca="false">AV122/$D122*-1</f>
        <v>-0.00841674062027355</v>
      </c>
      <c r="AR122" s="226" t="n">
        <f aca="false">AW122/$D122</f>
        <v>0.0905633378213104</v>
      </c>
      <c r="AS122" s="77" t="n">
        <f aca="false">AS112+AS117</f>
        <v>313232911.412046</v>
      </c>
      <c r="AT122" s="77" t="n">
        <f aca="false">$D122*AN122</f>
        <v>345616407.736084</v>
      </c>
      <c r="AU122" s="77" t="n">
        <f aca="false">AU112+AU117</f>
        <v>74044587.3601549</v>
      </c>
      <c r="AV122" s="77" t="n">
        <f aca="false">AV112+AV117</f>
        <v>62321408.6145609</v>
      </c>
      <c r="AW122" s="77" t="n">
        <f aca="false">AW112+AW117</f>
        <v>670572497.893724</v>
      </c>
      <c r="AX122" s="215"/>
      <c r="AY122" s="19" t="n">
        <f aca="false">CHOOSE(gen_choice,'Generation Calculations'!$O123,'Generation Calculations'!$P123)</f>
        <v>0.0466767957062137</v>
      </c>
      <c r="AZ122" s="249" t="n">
        <f aca="false">EPS</f>
        <v>0.01</v>
      </c>
      <c r="BA122" s="226" t="n">
        <f aca="false">BD122/$D122</f>
        <v>0.0398568844561488</v>
      </c>
      <c r="BB122" s="226" t="n">
        <f aca="false">BG122/$D122*-1</f>
        <v>-0.00841674062027355</v>
      </c>
      <c r="BC122" s="226" t="n">
        <f aca="false">BH122/$D122</f>
        <v>0.0881169395420889</v>
      </c>
      <c r="BD122" s="77" t="n">
        <f aca="false">BD112+BD117</f>
        <v>295118656.301691</v>
      </c>
      <c r="BE122" s="77" t="n">
        <f aca="false">$D122*AY122</f>
        <v>345616407.736084</v>
      </c>
      <c r="BF122" s="77" t="n">
        <f aca="false">BF112+BF117</f>
        <v>74044587.3601549</v>
      </c>
      <c r="BG122" s="77" t="n">
        <f aca="false">BG112+BG117</f>
        <v>62321408.6145609</v>
      </c>
      <c r="BH122" s="77" t="n">
        <f aca="false">BH112+BH117</f>
        <v>652458242.783369</v>
      </c>
      <c r="BI122" s="215"/>
      <c r="BJ122" s="19" t="n">
        <f aca="false">CHOOSE(gen_choice,'Generation Calculations'!$O123,'Generation Calculations'!$P123)</f>
        <v>0.0466767957062137</v>
      </c>
      <c r="BK122" s="249" t="n">
        <f aca="false">EPS</f>
        <v>0.01</v>
      </c>
      <c r="BL122" s="226" t="n">
        <f aca="false">BO122/$D122</f>
        <v>0.0454257335541632</v>
      </c>
      <c r="BM122" s="226" t="n">
        <f aca="false">BR122/$D122*-1</f>
        <v>-0.00841674062027355</v>
      </c>
      <c r="BN122" s="226" t="n">
        <f aca="false">BS122/$D122</f>
        <v>0.0936857886401033</v>
      </c>
      <c r="BO122" s="77" t="n">
        <f aca="false">BO112+BO117</f>
        <v>336352969.655036</v>
      </c>
      <c r="BP122" s="77" t="n">
        <f aca="false">$D122*BJ122</f>
        <v>345616407.736084</v>
      </c>
      <c r="BQ122" s="77" t="n">
        <f aca="false">BQ112+BQ117</f>
        <v>74044587.3601549</v>
      </c>
      <c r="BR122" s="77" t="n">
        <f aca="false">BR112+BR117</f>
        <v>62321408.6145609</v>
      </c>
      <c r="BS122" s="77" t="n">
        <f aca="false">BS112+BS117</f>
        <v>693692556.136714</v>
      </c>
      <c r="BT122" s="215"/>
      <c r="BU122" s="19" t="n">
        <f aca="false">CHOOSE(gen_choice,'Generation Calculations'!$O123,'Generation Calculations'!$P123)</f>
        <v>0.0466767957062137</v>
      </c>
      <c r="BV122" s="249" t="n">
        <f aca="false">EPS</f>
        <v>0.01</v>
      </c>
      <c r="BW122" s="226" t="n">
        <f aca="false">BZ122/$D122</f>
        <v>0.0146037224632833</v>
      </c>
      <c r="BX122" s="226" t="n">
        <f aca="false">CC122/$D122*-1</f>
        <v>-0.00841674062027355</v>
      </c>
      <c r="BY122" s="226" t="n">
        <f aca="false">CD122/$D122</f>
        <v>0.0628637775492234</v>
      </c>
      <c r="BZ122" s="77" t="n">
        <f aca="false">BZ112+BZ117</f>
        <v>108132660.371604</v>
      </c>
      <c r="CA122" s="77" t="n">
        <f aca="false">$D122*BU122</f>
        <v>345616407.736084</v>
      </c>
      <c r="CB122" s="77" t="n">
        <f aca="false">CB112+CB117</f>
        <v>74044587.3601549</v>
      </c>
      <c r="CC122" s="77" t="n">
        <f aca="false">CC112+CC117</f>
        <v>62321408.6145609</v>
      </c>
      <c r="CD122" s="77" t="n">
        <f aca="false">CD112+CD117</f>
        <v>465472246.853282</v>
      </c>
    </row>
    <row r="123" customFormat="false" ht="12.75" hidden="false" customHeight="false" outlineLevel="0" collapsed="false">
      <c r="A123" s="100"/>
      <c r="B123" s="84" t="s">
        <v>234</v>
      </c>
      <c r="C123" s="84"/>
      <c r="D123" s="159" t="n">
        <v>6260946171.6443</v>
      </c>
      <c r="E123" s="77" t="n">
        <f aca="false">E113+E118</f>
        <v>239599046.899618</v>
      </c>
      <c r="F123" s="215"/>
      <c r="G123" s="242"/>
      <c r="H123" s="50" t="n">
        <f aca="false">H113+H118</f>
        <v>232531540.814869</v>
      </c>
      <c r="I123" s="88" t="n">
        <f aca="false">H123/$H$127</f>
        <v>0.0739728899054846</v>
      </c>
      <c r="J123" s="77" t="n">
        <f aca="false">J113+J118</f>
        <v>181953271.968803</v>
      </c>
      <c r="K123" s="215"/>
      <c r="L123" s="129" t="n">
        <f aca="false">L113+L118</f>
        <v>504193995.202516</v>
      </c>
      <c r="M123" s="88" t="n">
        <f aca="false">L123/$L$127</f>
        <v>0.0722149748910774</v>
      </c>
      <c r="N123" s="77" t="n">
        <f aca="false">N113+N118</f>
        <v>177629277.203651</v>
      </c>
      <c r="O123" s="215"/>
      <c r="P123" s="244"/>
      <c r="Q123" s="50" t="n">
        <f aca="false">Q113+Q118</f>
        <v>235917072.534793</v>
      </c>
      <c r="R123" s="215"/>
      <c r="T123" s="272"/>
      <c r="U123" s="212" t="n">
        <f aca="false">U113+U118</f>
        <v>91500296.9871798</v>
      </c>
      <c r="V123" s="88" t="n">
        <f aca="false">U123/$U$127</f>
        <v>0.0566596067264271</v>
      </c>
      <c r="W123" s="272"/>
      <c r="X123" s="212" t="n">
        <f aca="false">X113+X118</f>
        <v>90726123.8936494</v>
      </c>
      <c r="Y123" s="88" t="n">
        <f aca="false">X123/$X$127</f>
        <v>0.0598520128138252</v>
      </c>
      <c r="Z123" s="88" t="n">
        <f aca="false">AVERAGE(V123,Y123)</f>
        <v>0.0582558097701262</v>
      </c>
      <c r="AA123" s="77" t="n">
        <f aca="false">AA113+AA118</f>
        <v>143293512.155738</v>
      </c>
      <c r="AB123" s="217"/>
      <c r="AC123" s="19" t="n">
        <f aca="false">CHOOSE(gen_choice,'Generation Calculations'!$O124,'Generation Calculations'!$P124)</f>
        <v>0.055810534229175</v>
      </c>
      <c r="AD123" s="249" t="n">
        <f aca="false">EPS</f>
        <v>0.01</v>
      </c>
      <c r="AE123" s="226" t="n">
        <f aca="false">AH123/$D123</f>
        <v>0.0468352390358908</v>
      </c>
      <c r="AF123" s="226" t="n">
        <f aca="false">AK123/$D123*-1</f>
        <v>-0.00626248878317573</v>
      </c>
      <c r="AG123" s="226" t="n">
        <f aca="false">AL123/$D123</f>
        <v>0.10638328448189</v>
      </c>
      <c r="AH123" s="77" t="n">
        <f aca="false">AH113+AH118</f>
        <v>293232910.539806</v>
      </c>
      <c r="AI123" s="77" t="n">
        <f aca="false">$D123*AC123</f>
        <v>349426750.619577</v>
      </c>
      <c r="AJ123" s="77" t="n">
        <f aca="false">AJ113+AJ118</f>
        <v>62609461.716443</v>
      </c>
      <c r="AK123" s="77" t="n">
        <f aca="false">AK113+AK118</f>
        <v>39209105.1719895</v>
      </c>
      <c r="AL123" s="77" t="n">
        <f aca="false">AL113+AL118</f>
        <v>666060017.703837</v>
      </c>
      <c r="AM123" s="215"/>
      <c r="AN123" s="19" t="n">
        <f aca="false">CHOOSE(gen_choice,'Generation Calculations'!$O124,'Generation Calculations'!$P124)</f>
        <v>0.055810534229175</v>
      </c>
      <c r="AO123" s="249" t="n">
        <f aca="false">EPS</f>
        <v>0.01</v>
      </c>
      <c r="AP123" s="226" t="n">
        <f aca="false">AS123/$D123</f>
        <v>0.0338571855088318</v>
      </c>
      <c r="AQ123" s="226" t="n">
        <f aca="false">AV123/$D123*-1</f>
        <v>-0.00626248878317573</v>
      </c>
      <c r="AR123" s="226" t="n">
        <f aca="false">AW123/$D123</f>
        <v>0.0934052309548312</v>
      </c>
      <c r="AS123" s="77" t="n">
        <f aca="false">AS113+AS118</f>
        <v>211978015.994172</v>
      </c>
      <c r="AT123" s="77" t="n">
        <f aca="false">$D123*AN123</f>
        <v>349426750.619577</v>
      </c>
      <c r="AU123" s="77" t="n">
        <f aca="false">AU113+AU118</f>
        <v>62609461.716443</v>
      </c>
      <c r="AV123" s="77" t="n">
        <f aca="false">AV113+AV118</f>
        <v>39209105.1719895</v>
      </c>
      <c r="AW123" s="77" t="n">
        <f aca="false">AW113+AW118</f>
        <v>584805123.158202</v>
      </c>
      <c r="AX123" s="215"/>
      <c r="AY123" s="19" t="n">
        <f aca="false">CHOOSE(gen_choice,'Generation Calculations'!$O124,'Generation Calculations'!$P124)</f>
        <v>0.055810534229175</v>
      </c>
      <c r="AZ123" s="249" t="n">
        <f aca="false">EPS</f>
        <v>0.01</v>
      </c>
      <c r="BA123" s="226" t="n">
        <f aca="false">BD123/$D123</f>
        <v>0.0316374742317753</v>
      </c>
      <c r="BB123" s="226" t="n">
        <f aca="false">BG123/$D123*-1</f>
        <v>-0.00626248878317573</v>
      </c>
      <c r="BC123" s="226" t="n">
        <f aca="false">BH123/$D123</f>
        <v>0.0911855196777747</v>
      </c>
      <c r="BD123" s="77" t="n">
        <f aca="false">BD113+BD118</f>
        <v>198080523.171929</v>
      </c>
      <c r="BE123" s="77" t="n">
        <f aca="false">$D123*AY123</f>
        <v>349426750.619577</v>
      </c>
      <c r="BF123" s="77" t="n">
        <f aca="false">BF113+BF118</f>
        <v>62609461.716443</v>
      </c>
      <c r="BG123" s="77" t="n">
        <f aca="false">BG113+BG118</f>
        <v>39209105.1719895</v>
      </c>
      <c r="BH123" s="77" t="n">
        <f aca="false">BH113+BH118</f>
        <v>570907630.335959</v>
      </c>
      <c r="BI123" s="215"/>
      <c r="BJ123" s="19" t="n">
        <f aca="false">CHOOSE(gen_choice,'Generation Calculations'!$O124,'Generation Calculations'!$P124)</f>
        <v>0.055810534229175</v>
      </c>
      <c r="BK123" s="249" t="n">
        <f aca="false">EPS</f>
        <v>0.01</v>
      </c>
      <c r="BL123" s="226" t="n">
        <f aca="false">BO123/$D123</f>
        <v>0.0378116956897944</v>
      </c>
      <c r="BM123" s="226" t="n">
        <f aca="false">BR123/$D123*-1</f>
        <v>-0.00626248878317573</v>
      </c>
      <c r="BN123" s="226" t="n">
        <f aca="false">BS123/$D123</f>
        <v>0.0973597411357937</v>
      </c>
      <c r="BO123" s="77" t="n">
        <f aca="false">BO113+BO118</f>
        <v>236736991.372397</v>
      </c>
      <c r="BP123" s="77" t="n">
        <f aca="false">$D123*BJ123</f>
        <v>349426750.619577</v>
      </c>
      <c r="BQ123" s="77" t="n">
        <f aca="false">BQ113+BQ118</f>
        <v>62609461.716443</v>
      </c>
      <c r="BR123" s="77" t="n">
        <f aca="false">BR113+BR118</f>
        <v>39209105.1719895</v>
      </c>
      <c r="BS123" s="77" t="n">
        <f aca="false">BS113+BS118</f>
        <v>609564098.536428</v>
      </c>
      <c r="BT123" s="215"/>
      <c r="BU123" s="19" t="n">
        <f aca="false">CHOOSE(gen_choice,'Generation Calculations'!$O124,'Generation Calculations'!$P124)</f>
        <v>0.055810534229175</v>
      </c>
      <c r="BV123" s="249" t="n">
        <f aca="false">EPS</f>
        <v>0.01</v>
      </c>
      <c r="BW123" s="226" t="n">
        <f aca="false">BZ123/$D123</f>
        <v>0.0140113000519505</v>
      </c>
      <c r="BX123" s="226" t="n">
        <f aca="false">CC123/$D123*-1</f>
        <v>-0.00626248878317573</v>
      </c>
      <c r="BY123" s="226" t="n">
        <f aca="false">CD123/$D123</f>
        <v>0.0735593454979498</v>
      </c>
      <c r="BZ123" s="77" t="n">
        <f aca="false">BZ113+BZ118</f>
        <v>87723995.4200193</v>
      </c>
      <c r="CA123" s="77" t="n">
        <f aca="false">$D123*BU123</f>
        <v>349426750.619577</v>
      </c>
      <c r="CB123" s="77" t="n">
        <f aca="false">CB113+CB118</f>
        <v>62609461.716443</v>
      </c>
      <c r="CC123" s="77" t="n">
        <f aca="false">CC113+CC118</f>
        <v>39209105.1719895</v>
      </c>
      <c r="CD123" s="77" t="n">
        <f aca="false">CD113+CD118</f>
        <v>460551102.58405</v>
      </c>
    </row>
    <row r="124" customFormat="false" ht="12.75" hidden="false" customHeight="false" outlineLevel="0" collapsed="false">
      <c r="A124" s="100"/>
      <c r="B124" s="84" t="s">
        <v>231</v>
      </c>
      <c r="C124" s="84"/>
      <c r="D124" s="185" t="n">
        <v>3569041593.77636</v>
      </c>
      <c r="E124" s="231" t="n">
        <f aca="false">E114+E119</f>
        <v>136583024.477485</v>
      </c>
      <c r="F124" s="228"/>
      <c r="G124" s="250"/>
      <c r="H124" s="238" t="n">
        <f aca="false">H114+H119</f>
        <v>142833044.58293</v>
      </c>
      <c r="I124" s="91" t="n">
        <f aca="false">H124/$H$127</f>
        <v>0.0454380212025096</v>
      </c>
      <c r="J124" s="231" t="n">
        <f aca="false">J114+J119</f>
        <v>111765224.261861</v>
      </c>
      <c r="K124" s="228"/>
      <c r="L124" s="232" t="n">
        <f aca="false">L114+L119</f>
        <v>311006284.481672</v>
      </c>
      <c r="M124" s="91" t="n">
        <f aca="false">L124/$L$127</f>
        <v>0.0445449791915713</v>
      </c>
      <c r="N124" s="231" t="n">
        <f aca="false">N114+N119</f>
        <v>109568582.815198</v>
      </c>
      <c r="O124" s="228"/>
      <c r="P124" s="244"/>
      <c r="Q124" s="238" t="n">
        <f aca="false">Q114+Q119</f>
        <v>137655916.639584</v>
      </c>
      <c r="R124" s="228"/>
      <c r="T124" s="272"/>
      <c r="U124" s="70" t="n">
        <f aca="false">U114+U119</f>
        <v>58668307.5352294</v>
      </c>
      <c r="V124" s="91" t="n">
        <f aca="false">U124/$U$127</f>
        <v>0.0363290977374306</v>
      </c>
      <c r="W124" s="272"/>
      <c r="X124" s="70" t="n">
        <f aca="false">X114+X119</f>
        <v>55560458.175985</v>
      </c>
      <c r="Y124" s="91" t="n">
        <f aca="false">X124/$X$127</f>
        <v>0.0366532274495618</v>
      </c>
      <c r="Z124" s="91" t="n">
        <f aca="false">AVERAGE(V124,Y124)</f>
        <v>0.0364911625934962</v>
      </c>
      <c r="AA124" s="231" t="n">
        <f aca="false">AA114+AA119</f>
        <v>89758375.5388733</v>
      </c>
      <c r="AB124" s="237"/>
      <c r="AC124" s="252" t="n">
        <f aca="false">CHOOSE(gen_choice,'Generation Calculations'!$O125,'Generation Calculations'!$P125)</f>
        <v>0.0589855783871892</v>
      </c>
      <c r="AD124" s="259" t="n">
        <f aca="false">EPS</f>
        <v>0.01</v>
      </c>
      <c r="AE124" s="253" t="n">
        <f aca="false">AH124/$D124</f>
        <v>0.0422307824157194</v>
      </c>
      <c r="AF124" s="253" t="n">
        <f aca="false">AK124/$D124*-1</f>
        <v>-0.00483307632101847</v>
      </c>
      <c r="AG124" s="253" t="n">
        <f aca="false">AL124/$D124</f>
        <v>0.10638328448189</v>
      </c>
      <c r="AH124" s="231" t="n">
        <f aca="false">AH114+AH119</f>
        <v>150723418.979422</v>
      </c>
      <c r="AI124" s="231" t="n">
        <f aca="false">$D124*AC124</f>
        <v>210521982.696834</v>
      </c>
      <c r="AJ124" s="231" t="n">
        <f aca="false">AJ114+AJ119</f>
        <v>35690415.9377636</v>
      </c>
      <c r="AK124" s="231" t="n">
        <f aca="false">AK114+AK119</f>
        <v>17249450.4156106</v>
      </c>
      <c r="AL124" s="231" t="n">
        <f aca="false">AL114+AL119</f>
        <v>379686367.198409</v>
      </c>
      <c r="AM124" s="228"/>
      <c r="AN124" s="252" t="n">
        <f aca="false">CHOOSE(gen_choice,'Generation Calculations'!$O125,'Generation Calculations'!$P125)</f>
        <v>0.0589855783871892</v>
      </c>
      <c r="AO124" s="259" t="n">
        <f aca="false">EPS</f>
        <v>0.01</v>
      </c>
      <c r="AP124" s="253" t="n">
        <f aca="false">AS124/$D124</f>
        <v>0.0364957839546247</v>
      </c>
      <c r="AQ124" s="253" t="n">
        <f aca="false">AV124/$D124*-1</f>
        <v>-0.00483307632101847</v>
      </c>
      <c r="AR124" s="253" t="n">
        <f aca="false">AW124/$D124</f>
        <v>0.100648286020795</v>
      </c>
      <c r="AS124" s="231" t="n">
        <f aca="false">AS114+AS119</f>
        <v>130254970.931532</v>
      </c>
      <c r="AT124" s="231" t="n">
        <f aca="false">$D124*AN124</f>
        <v>210521982.696834</v>
      </c>
      <c r="AU124" s="231" t="n">
        <f aca="false">AU114+AU119</f>
        <v>35690415.9377636</v>
      </c>
      <c r="AV124" s="231" t="n">
        <f aca="false">AV114+AV119</f>
        <v>17249450.4156106</v>
      </c>
      <c r="AW124" s="231" t="n">
        <f aca="false">AW114+AW119</f>
        <v>359217919.150519</v>
      </c>
      <c r="AX124" s="228"/>
      <c r="AY124" s="252" t="n">
        <f aca="false">CHOOSE(gen_choice,'Generation Calculations'!$O125,'Generation Calculations'!$P125)</f>
        <v>0.0589855783871892</v>
      </c>
      <c r="AZ124" s="259" t="n">
        <f aca="false">EPS</f>
        <v>0.01</v>
      </c>
      <c r="BA124" s="253" t="n">
        <f aca="false">BD124/$D124</f>
        <v>0.0345176355809332</v>
      </c>
      <c r="BB124" s="253" t="n">
        <f aca="false">BG124/$D124*-1</f>
        <v>-0.00483307632101847</v>
      </c>
      <c r="BC124" s="253" t="n">
        <f aca="false">BH124/$D124</f>
        <v>0.0986701376471039</v>
      </c>
      <c r="BD124" s="231" t="n">
        <f aca="false">BD114+BD119</f>
        <v>123194877.107166</v>
      </c>
      <c r="BE124" s="231" t="n">
        <f aca="false">$D124*AY124</f>
        <v>210521982.696834</v>
      </c>
      <c r="BF124" s="231" t="n">
        <f aca="false">BF114+BF119</f>
        <v>35690415.9377636</v>
      </c>
      <c r="BG124" s="231" t="n">
        <f aca="false">BG114+BG119</f>
        <v>17249450.4156106</v>
      </c>
      <c r="BH124" s="231" t="n">
        <f aca="false">BH114+BH119</f>
        <v>352157825.326153</v>
      </c>
      <c r="BI124" s="228"/>
      <c r="BJ124" s="252" t="n">
        <f aca="false">CHOOSE(gen_choice,'Generation Calculations'!$O125,'Generation Calculations'!$P125)</f>
        <v>0.0589855783871892</v>
      </c>
      <c r="BK124" s="259" t="n">
        <f aca="false">EPS</f>
        <v>0.01</v>
      </c>
      <c r="BL124" s="253" t="n">
        <f aca="false">BO124/$D124</f>
        <v>0.0355034593794294</v>
      </c>
      <c r="BM124" s="253" t="n">
        <f aca="false">BR124/$D124*-1</f>
        <v>-0.00483307632101847</v>
      </c>
      <c r="BN124" s="253" t="n">
        <f aca="false">BS124/$D124</f>
        <v>0.0996559614456001</v>
      </c>
      <c r="BO124" s="231" t="n">
        <f aca="false">BO114+BO119</f>
        <v>126713323.248133</v>
      </c>
      <c r="BP124" s="231" t="n">
        <f aca="false">$D124*BJ124</f>
        <v>210521982.696834</v>
      </c>
      <c r="BQ124" s="231" t="n">
        <f aca="false">BQ114+BQ119</f>
        <v>35690415.9377636</v>
      </c>
      <c r="BR124" s="231" t="n">
        <f aca="false">BR114+BR119</f>
        <v>17249450.4156106</v>
      </c>
      <c r="BS124" s="231" t="n">
        <f aca="false">BS114+BS119</f>
        <v>355676271.46712</v>
      </c>
      <c r="BT124" s="228"/>
      <c r="BU124" s="252" t="n">
        <f aca="false">CHOOSE(gen_choice,'Generation Calculations'!$O125,'Generation Calculations'!$P125)</f>
        <v>0.0589855783871892</v>
      </c>
      <c r="BV124" s="259" t="n">
        <f aca="false">EPS</f>
        <v>0.01</v>
      </c>
      <c r="BW124" s="253" t="n">
        <f aca="false">BZ124/$D124</f>
        <v>0.0166778878307095</v>
      </c>
      <c r="BX124" s="253" t="n">
        <f aca="false">CC124/$D124*-1</f>
        <v>-0.00483307632101847</v>
      </c>
      <c r="BY124" s="253" t="n">
        <f aca="false">CD124/$D124</f>
        <v>0.0808303898968802</v>
      </c>
      <c r="BZ124" s="231" t="n">
        <f aca="false">BZ114+BZ119</f>
        <v>59524075.3641387</v>
      </c>
      <c r="CA124" s="231" t="n">
        <f aca="false">$D124*BU124</f>
        <v>210521982.696834</v>
      </c>
      <c r="CB124" s="231" t="n">
        <f aca="false">CB114+CB119</f>
        <v>35690415.9377636</v>
      </c>
      <c r="CC124" s="231" t="n">
        <f aca="false">CC114+CC119</f>
        <v>17249450.4156106</v>
      </c>
      <c r="CD124" s="231" t="n">
        <f aca="false">CD114+CD119</f>
        <v>288487023.583126</v>
      </c>
    </row>
    <row r="125" customFormat="false" ht="12.75" hidden="false" customHeight="false" outlineLevel="0" collapsed="false">
      <c r="A125" s="100" t="s">
        <v>351</v>
      </c>
      <c r="B125" s="84"/>
      <c r="C125" s="84"/>
      <c r="D125" s="159" t="n">
        <v>17234446501.4362</v>
      </c>
      <c r="E125" s="77" t="n">
        <f aca="false">SUM(E122:E124)</f>
        <v>659541999.304887</v>
      </c>
      <c r="F125" s="215"/>
      <c r="G125" s="242"/>
      <c r="H125" s="50" t="n">
        <f aca="false">SUM(H122:H124)</f>
        <v>641999144.481717</v>
      </c>
      <c r="I125" s="88" t="n">
        <f aca="false">H125/$H$127</f>
        <v>0.204232646752945</v>
      </c>
      <c r="J125" s="77" t="n">
        <f aca="false">SUM(J122:J124)</f>
        <v>502356990.06795</v>
      </c>
      <c r="K125" s="215"/>
      <c r="L125" s="129" t="n">
        <f aca="false">SUM(L122:L124)</f>
        <v>1391415258.52091</v>
      </c>
      <c r="M125" s="88" t="n">
        <f aca="false">L125/$L$127</f>
        <v>0.199290390034872</v>
      </c>
      <c r="N125" s="77" t="n">
        <f aca="false">SUM(N122:N124)</f>
        <v>490200377.261391</v>
      </c>
      <c r="O125" s="215"/>
      <c r="P125" s="244"/>
      <c r="Q125" s="50" t="n">
        <f aca="false">SUM(Q122:Q124)</f>
        <v>642049950.786595</v>
      </c>
      <c r="R125" s="215"/>
      <c r="T125" s="272"/>
      <c r="U125" s="212" t="n">
        <f aca="false">SUM(U122:U124)</f>
        <v>240616171.13586</v>
      </c>
      <c r="V125" s="88" t="n">
        <f aca="false">U125/$U$127</f>
        <v>0.148996430366633</v>
      </c>
      <c r="W125" s="272"/>
      <c r="X125" s="212" t="n">
        <f aca="false">SUM(X122:X124)</f>
        <v>239888023.880404</v>
      </c>
      <c r="Y125" s="88" t="n">
        <f aca="false">X125/$X$127</f>
        <v>0.158254099954756</v>
      </c>
      <c r="Z125" s="88" t="n">
        <f aca="false">AVERAGE(V125,Y125)</f>
        <v>0.153625265160694</v>
      </c>
      <c r="AA125" s="77" t="n">
        <f aca="false">SUM(AA122:AA124)</f>
        <v>377876539.483295</v>
      </c>
      <c r="AB125" s="217"/>
      <c r="AC125" s="19" t="n">
        <f aca="false">CHOOSE(gen_choice,'Generation Calculations'!$O126,'Generation Calculations'!$P126)</f>
        <v>0.0525439062389984</v>
      </c>
      <c r="AD125" s="249" t="n">
        <f aca="false">EPS</f>
        <v>0.01</v>
      </c>
      <c r="AE125" s="226" t="n">
        <f aca="false">AH125/$D125</f>
        <v>0.0507313874636267</v>
      </c>
      <c r="AF125" s="226" t="n">
        <f aca="false">AK125/$D125*-1</f>
        <v>-0.00689200922073493</v>
      </c>
      <c r="AG125" s="226" t="n">
        <f aca="false">AL125/$D125</f>
        <v>0.10638328448189</v>
      </c>
      <c r="AH125" s="77" t="n">
        <f aca="false">SUM(AH122:AH124)</f>
        <v>874327383.185503</v>
      </c>
      <c r="AI125" s="77" t="n">
        <f aca="false">SUM(AI122:AI124)</f>
        <v>905565141.052495</v>
      </c>
      <c r="AJ125" s="77" t="n">
        <f aca="false">SUM(AJ122:AJ124)</f>
        <v>172344465.014362</v>
      </c>
      <c r="AK125" s="77" t="n">
        <f aca="false">SUM(AK122:AK124)</f>
        <v>118779964.202161</v>
      </c>
      <c r="AL125" s="77" t="n">
        <f aca="false">SUM(AL122:AL124)</f>
        <v>1833457025.0502</v>
      </c>
      <c r="AM125" s="215"/>
      <c r="AN125" s="19" t="n">
        <f aca="false">CHOOSE(gen_choice,'Generation Calculations'!$O126,'Generation Calculations'!$P126)</f>
        <v>0.0525439062389984</v>
      </c>
      <c r="AO125" s="249" t="n">
        <f aca="false">EPS</f>
        <v>0.01</v>
      </c>
      <c r="AP125" s="226" t="n">
        <f aca="false">AS125/$D125</f>
        <v>0.0380323150083833</v>
      </c>
      <c r="AQ125" s="226" t="n">
        <f aca="false">AV125/$D125*-1</f>
        <v>-0.00689200922073493</v>
      </c>
      <c r="AR125" s="226" t="n">
        <f aca="false">AW125/$D125</f>
        <v>0.0936842120266467</v>
      </c>
      <c r="AS125" s="77" t="n">
        <f aca="false">SUM(AS122:AS124)</f>
        <v>655465898.33775</v>
      </c>
      <c r="AT125" s="77" t="n">
        <f aca="false">SUM(AT122:AT124)</f>
        <v>905565141.052495</v>
      </c>
      <c r="AU125" s="77" t="n">
        <f aca="false">SUM(AU122:AU124)</f>
        <v>172344465.014362</v>
      </c>
      <c r="AV125" s="77" t="n">
        <f aca="false">SUM(AV122:AV124)</f>
        <v>118779964.202161</v>
      </c>
      <c r="AW125" s="77" t="n">
        <f aca="false">SUM(AW122:AW124)</f>
        <v>1614595540.20245</v>
      </c>
      <c r="AX125" s="215"/>
      <c r="AY125" s="19" t="n">
        <f aca="false">CHOOSE(gen_choice,'Generation Calculations'!$O126,'Generation Calculations'!$P126)</f>
        <v>0.0525439062389984</v>
      </c>
      <c r="AZ125" s="249" t="n">
        <f aca="false">EPS</f>
        <v>0.01</v>
      </c>
      <c r="BA125" s="226" t="n">
        <f aca="false">BD125/$D125</f>
        <v>0.035765236587634</v>
      </c>
      <c r="BB125" s="226" t="n">
        <f aca="false">BG125/$D125*-1</f>
        <v>-0.00689200922073493</v>
      </c>
      <c r="BC125" s="226" t="n">
        <f aca="false">BH125/$D125</f>
        <v>0.0914171336058975</v>
      </c>
      <c r="BD125" s="77" t="n">
        <f aca="false">SUM(BD122:BD124)</f>
        <v>616394056.580786</v>
      </c>
      <c r="BE125" s="77" t="n">
        <f aca="false">SUM(BE122:BE124)</f>
        <v>905565141.052495</v>
      </c>
      <c r="BF125" s="77" t="n">
        <f aca="false">SUM(BF122:BF124)</f>
        <v>172344465.014362</v>
      </c>
      <c r="BG125" s="77" t="n">
        <f aca="false">SUM(BG122:BG124)</f>
        <v>118779964.202161</v>
      </c>
      <c r="BH125" s="77" t="n">
        <f aca="false">SUM(BH122:BH124)</f>
        <v>1575523698.44548</v>
      </c>
      <c r="BI125" s="215"/>
      <c r="BJ125" s="19" t="n">
        <f aca="false">CHOOSE(gen_choice,'Generation Calculations'!$O126,'Generation Calculations'!$P126)</f>
        <v>0.0525439062389984</v>
      </c>
      <c r="BK125" s="249" t="n">
        <f aca="false">EPS</f>
        <v>0.01</v>
      </c>
      <c r="BL125" s="226" t="n">
        <f aca="false">BO125/$D125</f>
        <v>0.0406049178438803</v>
      </c>
      <c r="BM125" s="226" t="n">
        <f aca="false">BR125/$D125*-1</f>
        <v>-0.00689200922073493</v>
      </c>
      <c r="BN125" s="226" t="n">
        <f aca="false">BS125/$D125</f>
        <v>0.0962568148621438</v>
      </c>
      <c r="BO125" s="77" t="n">
        <f aca="false">SUM(BO122:BO124)</f>
        <v>699803284.275566</v>
      </c>
      <c r="BP125" s="77" t="n">
        <f aca="false">SUM(BP122:BP124)</f>
        <v>905565141.052495</v>
      </c>
      <c r="BQ125" s="77" t="n">
        <f aca="false">SUM(BQ122:BQ124)</f>
        <v>172344465.014362</v>
      </c>
      <c r="BR125" s="77" t="n">
        <f aca="false">SUM(BR122:BR124)</f>
        <v>118779964.202161</v>
      </c>
      <c r="BS125" s="77" t="n">
        <f aca="false">SUM(BS122:BS124)</f>
        <v>1658932926.14026</v>
      </c>
      <c r="BT125" s="215"/>
      <c r="BU125" s="19" t="n">
        <f aca="false">CHOOSE(gen_choice,'Generation Calculations'!$O126,'Generation Calculations'!$P126)</f>
        <v>0.0525439062389984</v>
      </c>
      <c r="BV125" s="249" t="n">
        <f aca="false">EPS</f>
        <v>0.01</v>
      </c>
      <c r="BW125" s="226" t="n">
        <f aca="false">BZ125/$D125</f>
        <v>0.0148180407844534</v>
      </c>
      <c r="BX125" s="226" t="n">
        <f aca="false">CC125/$D125*-1</f>
        <v>-0.00689200922073493</v>
      </c>
      <c r="BY125" s="226" t="n">
        <f aca="false">CD125/$D125</f>
        <v>0.0704699378027169</v>
      </c>
      <c r="BZ125" s="77" t="n">
        <f aca="false">SUM(BZ122:BZ124)</f>
        <v>255380731.155761</v>
      </c>
      <c r="CA125" s="77" t="n">
        <f aca="false">SUM(CA122:CA124)</f>
        <v>905565141.052495</v>
      </c>
      <c r="CB125" s="77" t="n">
        <f aca="false">SUM(CB122:CB124)</f>
        <v>172344465.014362</v>
      </c>
      <c r="CC125" s="77" t="n">
        <f aca="false">SUM(CC122:CC124)</f>
        <v>118779964.202161</v>
      </c>
      <c r="CD125" s="77" t="n">
        <f aca="false">SUM(CD122:CD124)</f>
        <v>1214510373.02046</v>
      </c>
    </row>
    <row r="126" customFormat="false" ht="12.75" hidden="false" customHeight="false" outlineLevel="0" collapsed="false">
      <c r="A126" s="92"/>
      <c r="B126" s="79"/>
      <c r="C126" s="79"/>
      <c r="D126" s="159"/>
      <c r="E126" s="77"/>
      <c r="F126" s="215"/>
      <c r="G126" s="242"/>
      <c r="H126" s="242"/>
      <c r="I126" s="88"/>
      <c r="J126" s="77"/>
      <c r="K126" s="215"/>
      <c r="L126" s="129"/>
      <c r="M126" s="88"/>
      <c r="N126" s="77"/>
      <c r="O126" s="215"/>
      <c r="P126" s="244"/>
      <c r="Q126" s="13"/>
      <c r="R126" s="215"/>
      <c r="T126" s="272"/>
      <c r="V126" s="88"/>
      <c r="W126" s="272"/>
      <c r="X126" s="212"/>
      <c r="Y126" s="88"/>
      <c r="Z126" s="88"/>
      <c r="AA126" s="129"/>
      <c r="AB126" s="217"/>
      <c r="AC126" s="74"/>
      <c r="AD126" s="19"/>
      <c r="AH126" s="77"/>
      <c r="AJ126" s="77"/>
      <c r="AK126" s="77"/>
      <c r="AL126" s="77"/>
      <c r="AM126" s="215"/>
      <c r="AN126" s="74"/>
      <c r="AO126" s="19"/>
      <c r="AP126" s="0"/>
      <c r="AQ126" s="0"/>
      <c r="AR126" s="0"/>
      <c r="AS126" s="77"/>
      <c r="AT126" s="77"/>
      <c r="AU126" s="77"/>
      <c r="AV126" s="77"/>
      <c r="AW126" s="77"/>
      <c r="AX126" s="215"/>
      <c r="AY126" s="74"/>
      <c r="AZ126" s="19"/>
      <c r="BA126" s="0"/>
      <c r="BB126" s="0"/>
      <c r="BC126" s="0"/>
      <c r="BD126" s="77"/>
      <c r="BE126" s="77"/>
      <c r="BF126" s="77"/>
      <c r="BG126" s="77"/>
      <c r="BH126" s="77"/>
      <c r="BI126" s="215"/>
      <c r="BJ126" s="74"/>
      <c r="BK126" s="19"/>
      <c r="BL126" s="0"/>
      <c r="BM126" s="0"/>
      <c r="BN126" s="0"/>
      <c r="BO126" s="77"/>
      <c r="BP126" s="77"/>
      <c r="BQ126" s="77"/>
      <c r="BR126" s="77"/>
      <c r="BS126" s="77"/>
      <c r="BT126" s="215"/>
      <c r="BU126" s="74"/>
      <c r="BV126" s="19"/>
      <c r="BW126" s="0"/>
      <c r="BX126" s="0"/>
      <c r="BY126" s="0"/>
      <c r="BZ126" s="77"/>
      <c r="CA126" s="77"/>
      <c r="CB126" s="77"/>
      <c r="CC126" s="77"/>
      <c r="CD126" s="77"/>
    </row>
    <row r="127" customFormat="false" ht="12.75" hidden="false" customHeight="false" outlineLevel="0" collapsed="false">
      <c r="A127" s="103" t="s">
        <v>355</v>
      </c>
      <c r="B127" s="104"/>
      <c r="C127" s="104"/>
      <c r="D127" s="197" t="n">
        <f aca="false">D14+D21+D26+D52+D54+D70+D91+D125</f>
        <v>79952759337.6158</v>
      </c>
      <c r="E127" s="156" t="n">
        <f aca="false">E14+E21+E26+E52+E54+E70+E91+E125</f>
        <v>3059698072.6407</v>
      </c>
      <c r="F127" s="215"/>
      <c r="G127" s="242"/>
      <c r="H127" s="156" t="n">
        <f aca="false">H14+H21+H26+H52+H54+H70+H91+H125</f>
        <v>3143469737.52108</v>
      </c>
      <c r="I127" s="163" t="n">
        <f aca="false">I14+I21+I26+I52+I54+I70+I91+I125</f>
        <v>1</v>
      </c>
      <c r="J127" s="156" t="n">
        <f aca="false">J14+J21+J26+J52+J54+J70+J91+J125</f>
        <v>2459729127.81</v>
      </c>
      <c r="K127" s="215"/>
      <c r="L127" s="156" t="n">
        <f aca="false">L14+L21+L26+L52+L54+L70+L91+L125</f>
        <v>6981848238.02815</v>
      </c>
      <c r="M127" s="163" t="n">
        <f aca="false">M14+M21+M26+M52+M54+M70+M91+M125</f>
        <v>1</v>
      </c>
      <c r="N127" s="156" t="n">
        <f aca="false">N14+N21+N26+N52+N54+N70+N91+N125</f>
        <v>2459729127.81</v>
      </c>
      <c r="O127" s="215"/>
      <c r="P127" s="244"/>
      <c r="Q127" s="156" t="n">
        <f aca="false">Q14+Q21+Q26+Q52+Q54+Q70+Q91+Q125</f>
        <v>3059698072.6407</v>
      </c>
      <c r="R127" s="215"/>
      <c r="T127" s="272"/>
      <c r="U127" s="212" t="n">
        <f aca="false">U14+U21+U26+U52+U54+U70+U91+U125</f>
        <v>1614912320.67628</v>
      </c>
      <c r="V127" s="163" t="n">
        <f aca="false">V14+V21+V26+V52+V54+V70+V91+V125</f>
        <v>1</v>
      </c>
      <c r="W127" s="272"/>
      <c r="X127" s="212" t="n">
        <f aca="false">X14+X21+X26+X52+X54+X70+X91+X125</f>
        <v>1515840815.17627</v>
      </c>
      <c r="Y127" s="163" t="n">
        <f aca="false">Y14+Y21+Y26+Y52+Y54+Y70+Y91+Y125</f>
        <v>1</v>
      </c>
      <c r="Z127" s="163" t="n">
        <f aca="false">Z14+Z21+Z26+Z52+Z54+Z70+Z91+Z125</f>
        <v>1</v>
      </c>
      <c r="AA127" s="156" t="n">
        <f aca="false">AA14+AA21+AA26+AA52+AA54+AA70+AA91+AA125</f>
        <v>2459729127.81</v>
      </c>
      <c r="AB127" s="217"/>
      <c r="AC127" s="273"/>
      <c r="AD127" s="273"/>
      <c r="AE127" s="274"/>
      <c r="AF127" s="274"/>
      <c r="AG127" s="274"/>
      <c r="AH127" s="156" t="n">
        <f aca="false">SUM(AH14,AH21,AH26,AH52,AH54,AH70,AH91,AH125)</f>
        <v>3059698073.06841</v>
      </c>
      <c r="AI127" s="156" t="n">
        <f aca="false">SUM(AI14,AI21,AI26,AI52,AI54,AI70,AI91,AI125)</f>
        <v>4763623621.5723</v>
      </c>
      <c r="AJ127" s="156" t="n">
        <f aca="false">SUM(AJ14,AJ21,AJ26,AJ52,AJ54,AJ70,AJ91,AJ125)</f>
        <v>799527593.376158</v>
      </c>
      <c r="AK127" s="156" t="n">
        <f aca="false">SUM(AK14,AK21,AK26,AK52,AK54,AK70,AK91,AK125)</f>
        <v>117212146.291189</v>
      </c>
      <c r="AL127" s="156" t="n">
        <f aca="false">SUM(AL14,AL21,AL26,AL52,AL54,AL70,AL91,AL125)</f>
        <v>8505637141.72567</v>
      </c>
      <c r="AM127" s="215"/>
      <c r="AN127" s="273"/>
      <c r="AO127" s="273"/>
      <c r="AP127" s="274"/>
      <c r="AQ127" s="274"/>
      <c r="AR127" s="274"/>
      <c r="AS127" s="156" t="n">
        <f aca="false">SUM(AS14,AS21,AS26,AS52,AS54,AS70,AS91,AS125)</f>
        <v>2459729128.2377</v>
      </c>
      <c r="AT127" s="156" t="n">
        <f aca="false">SUM(AT14,AT21,AT26,AT52,AT54,AT70,AT91,AT125)</f>
        <v>4763623621.5723</v>
      </c>
      <c r="AU127" s="156" t="n">
        <f aca="false">SUM(AU14,AU21,AU26,AU52,AU54,AU70,AU91,AU125)</f>
        <v>799527593.376158</v>
      </c>
      <c r="AV127" s="156" t="n">
        <f aca="false">SUM(AV14,AV21,AV26,AV52,AV54,AV70,AV91,AV125)</f>
        <v>117212146.291189</v>
      </c>
      <c r="AW127" s="156" t="n">
        <f aca="false">SUM(AW14,AW21,AW26,AW52,AW54,AW70,AW91,AW125)</f>
        <v>7905668196.89497</v>
      </c>
      <c r="AX127" s="215"/>
      <c r="AY127" s="273"/>
      <c r="AZ127" s="273"/>
      <c r="BA127" s="274"/>
      <c r="BB127" s="274"/>
      <c r="BC127" s="274"/>
      <c r="BD127" s="156" t="n">
        <f aca="false">SUM(BD14,BD21,BD26,BD52,BD54,BD70,BD91,BD125)</f>
        <v>2459729128.2377</v>
      </c>
      <c r="BE127" s="156" t="n">
        <f aca="false">SUM(BE14,BE21,BE26,BE52,BE54,BE70,BE91,BE125)</f>
        <v>4763623621.5723</v>
      </c>
      <c r="BF127" s="156" t="n">
        <f aca="false">SUM(BF14,BF21,BF26,BF52,BF54,BF70,BF91,BF125)</f>
        <v>799527593.376158</v>
      </c>
      <c r="BG127" s="156" t="n">
        <f aca="false">SUM(BG14,BG21,BG26,BG52,BG54,BG70,BG91,BG125)</f>
        <v>117212146.291189</v>
      </c>
      <c r="BH127" s="156" t="n">
        <f aca="false">SUM(BH14,BH21,BH26,BH52,BH54,BH70,BH91,BH125)</f>
        <v>7905668196.89497</v>
      </c>
      <c r="BI127" s="215"/>
      <c r="BJ127" s="273"/>
      <c r="BK127" s="273"/>
      <c r="BL127" s="274"/>
      <c r="BM127" s="274"/>
      <c r="BN127" s="274"/>
      <c r="BO127" s="156" t="n">
        <f aca="false">SUM(BO14,BO21,BO26,BO52,BO54,BO70,BO91,BO125)</f>
        <v>2459729128.2377</v>
      </c>
      <c r="BP127" s="156" t="n">
        <f aca="false">SUM(BP14,BP21,BP26,BP52,BP54,BP70,BP91,BP125)</f>
        <v>4763623621.5723</v>
      </c>
      <c r="BQ127" s="156" t="n">
        <f aca="false">SUM(BQ14,BQ21,BQ26,BQ52,BQ54,BQ70,BQ91,BQ125)</f>
        <v>799527593.376158</v>
      </c>
      <c r="BR127" s="156" t="n">
        <f aca="false">SUM(BR14,BR21,BR26,BR52,BR54,BR70,BR91,BR125)</f>
        <v>117212146.291189</v>
      </c>
      <c r="BS127" s="156" t="n">
        <f aca="false">SUM(BS14,BS21,BS26,BS52,BS54,BS70,BS91,BS125)</f>
        <v>7905668196.89497</v>
      </c>
      <c r="BT127" s="215"/>
      <c r="BU127" s="273"/>
      <c r="BV127" s="273"/>
      <c r="BW127" s="274"/>
      <c r="BX127" s="274"/>
      <c r="BY127" s="274"/>
      <c r="BZ127" s="156" t="n">
        <f aca="false">SUM(BZ14,BZ21,BZ26,BZ52,BZ54,BZ70,BZ91,BZ125)</f>
        <v>2459729128.2377</v>
      </c>
      <c r="CA127" s="156" t="n">
        <f aca="false">SUM(CA14,CA21,CA26,CA52,CA54,CA70,CA91,CA125)</f>
        <v>4763623621.5723</v>
      </c>
      <c r="CB127" s="156" t="n">
        <f aca="false">SUM(CB14,CB21,CB26,CB52,CB54,CB70,CB91,CB125)</f>
        <v>799527593.376158</v>
      </c>
      <c r="CC127" s="156" t="n">
        <f aca="false">SUM(CC14,CC21,CC26,CC52,CC54,CC70,CC91,CC125)</f>
        <v>117212146.291189</v>
      </c>
      <c r="CD127" s="156" t="n">
        <f aca="false">SUM(CD14,CD21,CD26,CD52,CD54,CD70,CD91,CD125)</f>
        <v>7905668196.89497</v>
      </c>
    </row>
    <row r="128" customFormat="false" ht="15.75" hidden="false" customHeight="false" outlineLevel="0" collapsed="false">
      <c r="A128" s="105"/>
      <c r="B128" s="106"/>
      <c r="C128" s="106"/>
      <c r="D128" s="200"/>
      <c r="E128" s="77"/>
      <c r="F128" s="215"/>
      <c r="G128" s="242"/>
      <c r="H128" s="242"/>
      <c r="I128" s="88"/>
      <c r="J128" s="77"/>
      <c r="K128" s="215"/>
      <c r="L128" s="129"/>
      <c r="M128" s="88"/>
      <c r="N128" s="77"/>
      <c r="O128" s="215"/>
      <c r="P128" s="275"/>
      <c r="Q128" s="13"/>
      <c r="R128" s="215"/>
      <c r="S128" s="276" t="s">
        <v>459</v>
      </c>
      <c r="T128" s="277"/>
      <c r="U128" s="277"/>
      <c r="V128" s="275"/>
      <c r="W128" s="275"/>
      <c r="X128" s="275"/>
      <c r="Y128" s="275"/>
      <c r="Z128" s="275"/>
      <c r="AA128" s="129"/>
      <c r="AB128" s="217"/>
      <c r="AC128" s="156"/>
      <c r="AD128" s="278"/>
      <c r="AE128" s="226"/>
      <c r="AF128" s="226"/>
      <c r="AG128" s="226"/>
      <c r="AH128" s="248" t="n">
        <f aca="false">'Inputs and Assumptions'!$C$6</f>
        <v>2459729127.81</v>
      </c>
      <c r="AI128" s="279" t="n">
        <f aca="false">CHOOSE(gen_choice,'Generation Calculations'!M130,'Generation Calculations'!N130)</f>
        <v>4763623622</v>
      </c>
      <c r="AJ128" s="279" t="n">
        <f aca="false">'Inputs and Assumptions'!$C$12</f>
        <v>799527593.376158</v>
      </c>
      <c r="AK128" s="279" t="n">
        <f aca="false">CHOOSE(gen_choice,'Generation Calculations'!K130,'Generation Calculations'!L130)</f>
        <v>117212146.291189</v>
      </c>
      <c r="AL128" s="279" t="n">
        <f aca="false">'Inputs and Assumptions'!C15</f>
        <v>7905668196.89497</v>
      </c>
      <c r="AM128" s="215"/>
      <c r="AN128" s="156"/>
      <c r="AO128" s="278"/>
      <c r="AP128" s="226"/>
      <c r="AQ128" s="226"/>
      <c r="AR128" s="226"/>
      <c r="AS128" s="248" t="n">
        <f aca="false">'Inputs and Assumptions'!$C$6</f>
        <v>2459729127.81</v>
      </c>
      <c r="AT128" s="279" t="n">
        <f aca="false">$AI$128</f>
        <v>4763623622</v>
      </c>
      <c r="AU128" s="279" t="n">
        <f aca="false">'Inputs and Assumptions'!$C$12</f>
        <v>799527593.376158</v>
      </c>
      <c r="AV128" s="279" t="n">
        <f aca="false">$AK$128</f>
        <v>117212146.291189</v>
      </c>
      <c r="AW128" s="279" t="n">
        <f aca="false">$AL$128</f>
        <v>7905668196.89497</v>
      </c>
      <c r="AX128" s="215"/>
      <c r="AY128" s="156"/>
      <c r="AZ128" s="278"/>
      <c r="BA128" s="226"/>
      <c r="BB128" s="226"/>
      <c r="BC128" s="226"/>
      <c r="BD128" s="248" t="n">
        <f aca="false">'Inputs and Assumptions'!$C$6</f>
        <v>2459729127.81</v>
      </c>
      <c r="BE128" s="279" t="n">
        <f aca="false">$AI$128</f>
        <v>4763623622</v>
      </c>
      <c r="BF128" s="279" t="n">
        <f aca="false">'Inputs and Assumptions'!$C$12</f>
        <v>799527593.376158</v>
      </c>
      <c r="BG128" s="279" t="n">
        <f aca="false">$AK$128</f>
        <v>117212146.291189</v>
      </c>
      <c r="BH128" s="279" t="n">
        <f aca="false">$AL$128</f>
        <v>7905668196.89497</v>
      </c>
      <c r="BI128" s="215"/>
      <c r="BJ128" s="156"/>
      <c r="BK128" s="278"/>
      <c r="BL128" s="226"/>
      <c r="BM128" s="226"/>
      <c r="BN128" s="226"/>
      <c r="BO128" s="248" t="n">
        <f aca="false">'Inputs and Assumptions'!$C$6</f>
        <v>2459729127.81</v>
      </c>
      <c r="BP128" s="279" t="n">
        <f aca="false">$AI$128</f>
        <v>4763623622</v>
      </c>
      <c r="BQ128" s="279" t="n">
        <f aca="false">'Inputs and Assumptions'!$C$12</f>
        <v>799527593.376158</v>
      </c>
      <c r="BR128" s="279" t="n">
        <f aca="false">$AK$128</f>
        <v>117212146.291189</v>
      </c>
      <c r="BS128" s="279" t="n">
        <f aca="false">$AL$128</f>
        <v>7905668196.89497</v>
      </c>
      <c r="BT128" s="215"/>
      <c r="BU128" s="156"/>
      <c r="BV128" s="278"/>
      <c r="BW128" s="226"/>
      <c r="BX128" s="226"/>
      <c r="BY128" s="226"/>
      <c r="BZ128" s="248" t="n">
        <f aca="false">'Inputs and Assumptions'!$C$6</f>
        <v>2459729127.81</v>
      </c>
      <c r="CA128" s="279" t="n">
        <f aca="false">$AI$128</f>
        <v>4763623622</v>
      </c>
      <c r="CB128" s="279" t="n">
        <f aca="false">'Inputs and Assumptions'!$C$12</f>
        <v>799527593.376158</v>
      </c>
      <c r="CC128" s="279" t="n">
        <f aca="false">$AK$128</f>
        <v>117212146.291189</v>
      </c>
      <c r="CD128" s="279" t="n">
        <f aca="false">$AL$128</f>
        <v>7905668196.89497</v>
      </c>
    </row>
    <row r="129" customFormat="false" ht="12.75" hidden="false" customHeight="false" outlineLevel="0" collapsed="false">
      <c r="A129" s="101"/>
      <c r="B129" s="106"/>
      <c r="C129" s="106"/>
      <c r="D129" s="200"/>
      <c r="E129" s="248" t="n">
        <f aca="false">'Inputs and Assumptions'!$C$6</f>
        <v>2459729127.81</v>
      </c>
      <c r="F129" s="215"/>
      <c r="G129" s="242"/>
      <c r="H129" s="242"/>
      <c r="I129" s="88"/>
      <c r="J129" s="77"/>
      <c r="K129" s="215"/>
      <c r="L129" s="129"/>
      <c r="M129" s="88"/>
      <c r="N129" s="77"/>
      <c r="O129" s="215"/>
      <c r="P129" s="280"/>
      <c r="Q129" s="13"/>
      <c r="R129" s="215"/>
      <c r="V129" s="280"/>
      <c r="W129" s="280"/>
      <c r="X129" s="280"/>
      <c r="Y129" s="280"/>
      <c r="Z129" s="280"/>
      <c r="AA129" s="129"/>
      <c r="AB129" s="217"/>
      <c r="AD129" s="226"/>
      <c r="AE129" s="22"/>
      <c r="AF129" s="22"/>
      <c r="AG129" s="226"/>
      <c r="AH129" s="156" t="n">
        <f aca="false">AH128-AH127</f>
        <v>-599968945.258405</v>
      </c>
      <c r="AI129" s="156" t="n">
        <f aca="false">AI128-AI127</f>
        <v>0.427700996398926</v>
      </c>
      <c r="AJ129" s="156" t="n">
        <f aca="false">AJ128-AJ127</f>
        <v>0</v>
      </c>
      <c r="AK129" s="156" t="n">
        <f aca="false">AK128-AK127</f>
        <v>0</v>
      </c>
      <c r="AL129" s="156" t="n">
        <f aca="false">AL128-AL127</f>
        <v>-599968944.830704</v>
      </c>
      <c r="AM129" s="215"/>
      <c r="AO129" s="281"/>
      <c r="AP129" s="22"/>
      <c r="AQ129" s="22"/>
      <c r="AR129" s="156"/>
      <c r="AS129" s="279" t="n">
        <f aca="false">AS128-AS127</f>
        <v>-0.427700042724609</v>
      </c>
      <c r="AT129" s="279"/>
      <c r="AU129" s="279"/>
      <c r="AV129" s="279"/>
      <c r="AW129" s="279"/>
      <c r="AX129" s="215"/>
      <c r="AZ129" s="281"/>
      <c r="BA129" s="22"/>
      <c r="BB129" s="22"/>
      <c r="BC129" s="156"/>
      <c r="BD129" s="279" t="n">
        <f aca="false">BD128-BD127</f>
        <v>-0.427700519561768</v>
      </c>
      <c r="BE129" s="279" t="n">
        <f aca="false">BE128-BE127</f>
        <v>0.427700996398926</v>
      </c>
      <c r="BF129" s="156"/>
      <c r="BG129" s="156"/>
      <c r="BH129" s="156"/>
      <c r="BI129" s="215"/>
      <c r="BK129" s="281"/>
      <c r="BL129" s="22"/>
      <c r="BM129" s="22"/>
      <c r="BN129" s="156"/>
      <c r="BO129" s="279" t="n">
        <f aca="false">BO128-BO127</f>
        <v>-0.427700996398926</v>
      </c>
      <c r="BP129" s="279" t="n">
        <f aca="false">BP128-BP127</f>
        <v>0.427700996398926</v>
      </c>
      <c r="BQ129" s="156"/>
      <c r="BR129" s="156"/>
      <c r="BS129" s="156"/>
      <c r="BT129" s="215"/>
      <c r="BV129" s="281"/>
      <c r="BW129" s="22"/>
      <c r="BX129" s="22"/>
      <c r="BY129" s="156"/>
      <c r="BZ129" s="279" t="n">
        <f aca="false">BZ128-BZ127</f>
        <v>-0.427699565887451</v>
      </c>
      <c r="CA129" s="279" t="n">
        <f aca="false">CA128-CA127</f>
        <v>0.427700996398926</v>
      </c>
      <c r="CB129" s="156"/>
      <c r="CC129" s="156"/>
      <c r="CD129" s="156"/>
    </row>
    <row r="130" customFormat="false" ht="12.75" hidden="false" customHeight="false" outlineLevel="0" collapsed="false">
      <c r="A130" s="105" t="s">
        <v>460</v>
      </c>
      <c r="B130" s="106"/>
      <c r="C130" s="106"/>
      <c r="D130" s="200"/>
      <c r="E130" s="77"/>
      <c r="F130" s="215"/>
      <c r="G130" s="242"/>
      <c r="H130" s="242"/>
      <c r="I130" s="88"/>
      <c r="J130" s="77"/>
      <c r="K130" s="215"/>
      <c r="L130" s="129"/>
      <c r="M130" s="88"/>
      <c r="N130" s="77" t="str">
        <f aca="false">A130</f>
        <v>System Average </v>
      </c>
      <c r="O130" s="215"/>
      <c r="P130" s="19"/>
      <c r="Q130" s="13"/>
      <c r="R130" s="215"/>
      <c r="T130" s="272"/>
      <c r="V130" s="19"/>
      <c r="W130" s="19"/>
      <c r="X130" s="19"/>
      <c r="Y130" s="19"/>
      <c r="Z130" s="19"/>
      <c r="AA130" s="129"/>
      <c r="AB130" s="217"/>
      <c r="AC130" s="226"/>
      <c r="AD130" s="19"/>
      <c r="AE130" s="274"/>
      <c r="AF130" s="274"/>
      <c r="AH130" s="282"/>
      <c r="AI130" s="156"/>
      <c r="AJ130" s="156"/>
      <c r="AK130" s="156"/>
      <c r="AL130" s="156"/>
      <c r="AM130" s="215"/>
      <c r="AN130" s="247"/>
      <c r="AO130" s="283"/>
      <c r="AP130" s="281"/>
      <c r="AQ130" s="281"/>
      <c r="AR130" s="105"/>
      <c r="AS130" s="156"/>
      <c r="AT130" s="156"/>
      <c r="AU130" s="156"/>
      <c r="AV130" s="156"/>
      <c r="AW130" s="156"/>
      <c r="AX130" s="215"/>
      <c r="AY130" s="247"/>
      <c r="AZ130" s="283"/>
      <c r="BA130" s="281"/>
      <c r="BB130" s="281"/>
      <c r="BC130" s="105"/>
      <c r="BD130" s="156"/>
      <c r="BE130" s="156"/>
      <c r="BF130" s="156"/>
      <c r="BG130" s="156"/>
      <c r="BH130" s="156"/>
      <c r="BI130" s="215"/>
      <c r="BJ130" s="247"/>
      <c r="BK130" s="283"/>
      <c r="BL130" s="281"/>
      <c r="BM130" s="281"/>
      <c r="BN130" s="105"/>
      <c r="BO130" s="156"/>
      <c r="BP130" s="156"/>
      <c r="BQ130" s="156"/>
      <c r="BR130" s="156"/>
      <c r="BS130" s="156"/>
      <c r="BT130" s="215"/>
      <c r="BU130" s="247"/>
      <c r="BV130" s="283"/>
      <c r="BW130" s="281"/>
      <c r="BX130" s="281"/>
      <c r="BY130" s="105"/>
      <c r="BZ130" s="156"/>
      <c r="CA130" s="156"/>
      <c r="CB130" s="156"/>
      <c r="CC130" s="156"/>
      <c r="CD130" s="156"/>
    </row>
    <row r="131" customFormat="false" ht="12.75" hidden="false" customHeight="false" outlineLevel="0" collapsed="false">
      <c r="A131" s="105" t="s">
        <v>461</v>
      </c>
      <c r="B131" s="106"/>
      <c r="C131" s="106"/>
      <c r="D131" s="207"/>
      <c r="E131" s="77"/>
      <c r="F131" s="215"/>
      <c r="G131" s="242"/>
      <c r="H131" s="242"/>
      <c r="I131" s="88"/>
      <c r="J131" s="77"/>
      <c r="K131" s="215"/>
      <c r="L131" s="129"/>
      <c r="M131" s="88"/>
      <c r="N131" s="77" t="n">
        <f aca="false">A132</f>
        <v>0</v>
      </c>
      <c r="O131" s="215"/>
      <c r="P131" s="19"/>
      <c r="Q131" s="13"/>
      <c r="R131" s="215"/>
      <c r="T131" s="272"/>
      <c r="V131" s="19"/>
      <c r="W131" s="19"/>
      <c r="X131" s="19"/>
      <c r="Y131" s="19"/>
      <c r="Z131" s="19"/>
      <c r="AA131" s="129"/>
      <c r="AB131" s="217"/>
      <c r="AC131" s="19"/>
      <c r="AD131" s="17"/>
      <c r="AE131" s="284"/>
      <c r="AF131" s="284"/>
      <c r="AG131" s="226"/>
      <c r="AJ131" s="77"/>
      <c r="AK131" s="77"/>
      <c r="AL131" s="77"/>
      <c r="AM131" s="215"/>
      <c r="AN131" s="255"/>
      <c r="AO131" s="285"/>
      <c r="AP131" s="284"/>
      <c r="AQ131" s="284"/>
      <c r="AR131" s="281"/>
      <c r="AS131" s="286"/>
      <c r="AT131" s="199"/>
      <c r="AU131" s="199"/>
      <c r="AV131" s="199"/>
      <c r="AW131" s="199"/>
      <c r="AX131" s="215"/>
      <c r="AY131" s="255"/>
      <c r="AZ131" s="285"/>
      <c r="BA131" s="284"/>
      <c r="BB131" s="284"/>
      <c r="BC131" s="281"/>
      <c r="BD131" s="286"/>
      <c r="BE131" s="199"/>
      <c r="BF131" s="199"/>
      <c r="BG131" s="199"/>
      <c r="BH131" s="199"/>
      <c r="BI131" s="215"/>
      <c r="BJ131" s="255"/>
      <c r="BK131" s="285"/>
      <c r="BL131" s="284"/>
      <c r="BM131" s="284"/>
      <c r="BN131" s="281"/>
      <c r="BO131" s="286"/>
      <c r="BP131" s="199"/>
      <c r="BQ131" s="199"/>
      <c r="BR131" s="199"/>
      <c r="BS131" s="199"/>
      <c r="BT131" s="215"/>
      <c r="BU131" s="255"/>
      <c r="BV131" s="285"/>
      <c r="BW131" s="284"/>
      <c r="BX131" s="284"/>
      <c r="BY131" s="281"/>
      <c r="BZ131" s="286"/>
      <c r="CA131" s="199"/>
      <c r="CB131" s="199"/>
      <c r="CC131" s="199"/>
      <c r="CD131" s="199"/>
    </row>
    <row r="132" customFormat="false" ht="12.75" hidden="false" customHeight="false" outlineLevel="0" collapsed="false">
      <c r="B132" s="0" t="s">
        <v>236</v>
      </c>
      <c r="D132" s="287" t="n">
        <f aca="false">SUM(D122,D86,D67,D49)</f>
        <v>7614027420.19811</v>
      </c>
      <c r="AD132" s="17"/>
      <c r="AE132" s="284"/>
      <c r="AF132" s="284"/>
      <c r="AG132" s="287"/>
      <c r="AH132" s="287"/>
      <c r="AJ132" s="287"/>
      <c r="AK132" s="287"/>
      <c r="AL132" s="287"/>
      <c r="AO132" s="285"/>
      <c r="AP132" s="284"/>
      <c r="AQ132" s="284"/>
      <c r="AR132" s="207"/>
      <c r="AS132" s="207"/>
      <c r="AT132" s="207"/>
      <c r="AU132" s="207"/>
      <c r="AV132" s="207"/>
      <c r="AW132" s="207"/>
      <c r="AZ132" s="285"/>
      <c r="BA132" s="284"/>
      <c r="BB132" s="284"/>
      <c r="BC132" s="207"/>
      <c r="BD132" s="207"/>
      <c r="BE132" s="207"/>
      <c r="BF132" s="207"/>
      <c r="BG132" s="207"/>
      <c r="BH132" s="207"/>
      <c r="BK132" s="285"/>
      <c r="BL132" s="284"/>
      <c r="BM132" s="284"/>
      <c r="BN132" s="207"/>
      <c r="BO132" s="207"/>
      <c r="BP132" s="207"/>
      <c r="BQ132" s="207"/>
      <c r="BR132" s="207"/>
      <c r="BS132" s="207"/>
      <c r="BV132" s="285"/>
      <c r="BW132" s="284"/>
      <c r="BX132" s="284"/>
      <c r="BY132" s="207"/>
      <c r="BZ132" s="207"/>
      <c r="CA132" s="207"/>
      <c r="CB132" s="207"/>
      <c r="CC132" s="207"/>
      <c r="CD132" s="207"/>
    </row>
    <row r="133" customFormat="false" ht="12.75" hidden="false" customHeight="false" outlineLevel="0" collapsed="false">
      <c r="B133" s="0" t="s">
        <v>234</v>
      </c>
      <c r="D133" s="287" t="n">
        <f aca="false">SUM(D24,D50,D68,D81,D85,D123)</f>
        <v>7248366199.16526</v>
      </c>
      <c r="AD133" s="17"/>
      <c r="AE133" s="284"/>
      <c r="AF133" s="284"/>
      <c r="AG133" s="287"/>
      <c r="AH133" s="287"/>
      <c r="AJ133" s="287"/>
      <c r="AK133" s="287"/>
      <c r="AL133" s="287"/>
      <c r="AO133" s="285"/>
      <c r="AP133" s="284"/>
      <c r="AQ133" s="284"/>
      <c r="AR133" s="207"/>
      <c r="AS133" s="207"/>
      <c r="AT133" s="207"/>
      <c r="AU133" s="207"/>
      <c r="AV133" s="207"/>
      <c r="AW133" s="207"/>
      <c r="AZ133" s="285"/>
      <c r="BA133" s="284"/>
      <c r="BB133" s="284"/>
      <c r="BC133" s="207"/>
      <c r="BD133" s="207"/>
      <c r="BE133" s="207"/>
      <c r="BF133" s="207"/>
      <c r="BG133" s="207"/>
      <c r="BH133" s="207"/>
      <c r="BK133" s="285"/>
      <c r="BL133" s="284"/>
      <c r="BM133" s="284"/>
      <c r="BN133" s="207"/>
      <c r="BO133" s="207"/>
      <c r="BP133" s="207"/>
      <c r="BQ133" s="207"/>
      <c r="BR133" s="207"/>
      <c r="BS133" s="207"/>
      <c r="BV133" s="285"/>
      <c r="BW133" s="284"/>
      <c r="BX133" s="284"/>
      <c r="BY133" s="207"/>
      <c r="BZ133" s="207"/>
      <c r="CA133" s="207"/>
      <c r="CB133" s="207"/>
      <c r="CC133" s="207"/>
      <c r="CD133" s="207"/>
    </row>
    <row r="134" customFormat="false" ht="12.75" hidden="false" customHeight="false" outlineLevel="0" collapsed="false">
      <c r="B134" s="0" t="s">
        <v>231</v>
      </c>
      <c r="D134" s="288" t="n">
        <f aca="false">SUM(D14,D21,D25,D51,D54,D69,D72:D80,D83:D84,D88,D124)</f>
        <v>65090365718.2524</v>
      </c>
      <c r="AG134" s="288"/>
      <c r="AH134" s="288"/>
      <c r="AI134" s="231"/>
      <c r="AJ134" s="288"/>
      <c r="AK134" s="288"/>
      <c r="AL134" s="288"/>
      <c r="AO134" s="105"/>
      <c r="AP134" s="105"/>
      <c r="AQ134" s="105"/>
      <c r="AR134" s="289"/>
      <c r="AS134" s="289"/>
      <c r="AT134" s="289"/>
      <c r="AU134" s="289"/>
      <c r="AV134" s="289"/>
      <c r="AW134" s="289"/>
      <c r="AZ134" s="105"/>
      <c r="BA134" s="105"/>
      <c r="BB134" s="105"/>
      <c r="BC134" s="289"/>
      <c r="BD134" s="289"/>
      <c r="BE134" s="289"/>
      <c r="BF134" s="289"/>
      <c r="BG134" s="289"/>
      <c r="BH134" s="289"/>
      <c r="BK134" s="105"/>
      <c r="BL134" s="105"/>
      <c r="BM134" s="105"/>
      <c r="BN134" s="289"/>
      <c r="BO134" s="289"/>
      <c r="BP134" s="289"/>
      <c r="BQ134" s="289"/>
      <c r="BR134" s="289"/>
      <c r="BS134" s="289"/>
      <c r="BV134" s="105"/>
      <c r="BW134" s="105"/>
      <c r="BX134" s="105"/>
      <c r="BY134" s="289"/>
      <c r="BZ134" s="289"/>
      <c r="CA134" s="289"/>
      <c r="CB134" s="289"/>
      <c r="CC134" s="289"/>
      <c r="CD134" s="289"/>
    </row>
    <row r="135" customFormat="false" ht="12.75" hidden="false" customHeight="false" outlineLevel="0" collapsed="false">
      <c r="D135" s="287" t="n">
        <f aca="false">SUM(D132:D134)</f>
        <v>79952759337.6157</v>
      </c>
      <c r="AG135" s="287"/>
      <c r="AH135" s="287"/>
      <c r="AJ135" s="287"/>
      <c r="AK135" s="287"/>
      <c r="AL135" s="287"/>
      <c r="AO135" s="105"/>
      <c r="AP135" s="105"/>
      <c r="AQ135" s="105"/>
      <c r="AR135" s="207"/>
      <c r="AS135" s="207"/>
      <c r="AT135" s="207"/>
      <c r="AU135" s="207"/>
      <c r="AV135" s="207"/>
      <c r="AW135" s="207"/>
      <c r="AZ135" s="105"/>
      <c r="BA135" s="105"/>
      <c r="BB135" s="105"/>
      <c r="BC135" s="207"/>
      <c r="BD135" s="207"/>
      <c r="BE135" s="207"/>
      <c r="BF135" s="207"/>
      <c r="BG135" s="207"/>
      <c r="BH135" s="207"/>
      <c r="BK135" s="105"/>
      <c r="BL135" s="105"/>
      <c r="BM135" s="105"/>
      <c r="BN135" s="207"/>
      <c r="BO135" s="207"/>
      <c r="BP135" s="207"/>
      <c r="BQ135" s="207"/>
      <c r="BR135" s="207"/>
      <c r="BS135" s="207"/>
      <c r="BV135" s="105"/>
      <c r="BW135" s="105"/>
      <c r="BX135" s="105"/>
      <c r="BY135" s="207"/>
      <c r="BZ135" s="207"/>
      <c r="CA135" s="207"/>
      <c r="CB135" s="207"/>
      <c r="CC135" s="207"/>
      <c r="CD135" s="207"/>
    </row>
    <row r="136" customFormat="false" ht="12.75" hidden="false" customHeight="false" outlineLevel="0" collapsed="false">
      <c r="D136" s="287" t="n">
        <f aca="false">D135-D127</f>
        <v>0</v>
      </c>
      <c r="AO136" s="105"/>
      <c r="AP136" s="105"/>
      <c r="AQ136" s="105"/>
      <c r="AR136" s="105"/>
      <c r="AS136" s="286"/>
      <c r="AT136" s="105"/>
      <c r="AU136" s="105"/>
      <c r="AV136" s="105"/>
      <c r="AW136" s="105"/>
      <c r="AZ136" s="105"/>
      <c r="BA136" s="105"/>
      <c r="BB136" s="105"/>
      <c r="BC136" s="105"/>
      <c r="BD136" s="286"/>
      <c r="BE136" s="105"/>
      <c r="BF136" s="105"/>
      <c r="BG136" s="105"/>
      <c r="BH136" s="105"/>
      <c r="BK136" s="105"/>
      <c r="BL136" s="105"/>
      <c r="BM136" s="105"/>
      <c r="BN136" s="105"/>
      <c r="BO136" s="286"/>
      <c r="BP136" s="105"/>
      <c r="BQ136" s="105"/>
      <c r="BR136" s="105"/>
      <c r="BS136" s="105"/>
      <c r="BV136" s="105"/>
      <c r="BW136" s="105"/>
      <c r="BX136" s="105"/>
      <c r="BY136" s="105"/>
      <c r="BZ136" s="286"/>
      <c r="CA136" s="105"/>
      <c r="CB136" s="105"/>
      <c r="CC136" s="105"/>
      <c r="CD136" s="105"/>
    </row>
    <row r="137" customFormat="false" ht="12.75" hidden="false" customHeight="false" outlineLevel="0" collapsed="false">
      <c r="AG137" s="290"/>
      <c r="AO137" s="105"/>
      <c r="AP137" s="105"/>
      <c r="AQ137" s="105"/>
      <c r="AR137" s="291"/>
      <c r="AS137" s="286"/>
      <c r="AT137" s="105"/>
      <c r="AU137" s="105"/>
      <c r="AV137" s="105"/>
      <c r="AW137" s="105"/>
      <c r="AZ137" s="105"/>
      <c r="BA137" s="105"/>
      <c r="BB137" s="105"/>
      <c r="BC137" s="291"/>
      <c r="BD137" s="286"/>
      <c r="BE137" s="105"/>
      <c r="BF137" s="105"/>
      <c r="BG137" s="105"/>
      <c r="BH137" s="105"/>
      <c r="BK137" s="105"/>
      <c r="BL137" s="105"/>
      <c r="BM137" s="105"/>
      <c r="BN137" s="291"/>
      <c r="BO137" s="286"/>
      <c r="BP137" s="105"/>
      <c r="BQ137" s="105"/>
      <c r="BR137" s="105"/>
      <c r="BS137" s="105"/>
      <c r="BV137" s="105"/>
      <c r="BW137" s="105"/>
      <c r="BX137" s="105"/>
      <c r="BY137" s="291"/>
      <c r="BZ137" s="286"/>
      <c r="CA137" s="105"/>
      <c r="CB137" s="105"/>
      <c r="CC137" s="105"/>
      <c r="CD137" s="105"/>
    </row>
    <row r="138" customFormat="false" ht="12.75" hidden="false" customHeight="false" outlineLevel="0" collapsed="false">
      <c r="AG138" s="290"/>
      <c r="AO138" s="105"/>
      <c r="AP138" s="105"/>
      <c r="AQ138" s="105"/>
      <c r="AR138" s="291"/>
      <c r="AS138" s="286"/>
      <c r="AT138" s="105"/>
      <c r="AU138" s="105"/>
      <c r="AV138" s="105"/>
      <c r="AW138" s="105"/>
      <c r="AZ138" s="105"/>
      <c r="BA138" s="105"/>
      <c r="BB138" s="105"/>
      <c r="BC138" s="291"/>
      <c r="BD138" s="286"/>
      <c r="BE138" s="105"/>
      <c r="BF138" s="105"/>
      <c r="BG138" s="105"/>
      <c r="BH138" s="105"/>
      <c r="BK138" s="105"/>
      <c r="BL138" s="105"/>
      <c r="BM138" s="105"/>
      <c r="BN138" s="291"/>
      <c r="BO138" s="286"/>
      <c r="BP138" s="105"/>
      <c r="BQ138" s="105"/>
      <c r="BR138" s="105"/>
      <c r="BS138" s="105"/>
      <c r="BV138" s="105"/>
      <c r="BW138" s="105"/>
      <c r="BX138" s="105"/>
      <c r="BY138" s="291"/>
      <c r="BZ138" s="286"/>
      <c r="CA138" s="105"/>
      <c r="CB138" s="105"/>
      <c r="CC138" s="105"/>
      <c r="CD138" s="105"/>
    </row>
    <row r="139" customFormat="false" ht="12.75" hidden="false" customHeight="false" outlineLevel="0" collapsed="false">
      <c r="AE139" s="226"/>
      <c r="AF139" s="226"/>
      <c r="AG139" s="292"/>
      <c r="AO139" s="105"/>
      <c r="AP139" s="281"/>
      <c r="AQ139" s="281"/>
      <c r="AR139" s="293"/>
      <c r="AS139" s="286"/>
      <c r="AT139" s="105"/>
      <c r="AU139" s="105"/>
      <c r="AV139" s="105"/>
      <c r="AW139" s="105"/>
      <c r="AZ139" s="105"/>
      <c r="BA139" s="281"/>
      <c r="BB139" s="281"/>
      <c r="BC139" s="293"/>
      <c r="BD139" s="286"/>
      <c r="BE139" s="105"/>
      <c r="BF139" s="105"/>
      <c r="BG139" s="105"/>
      <c r="BH139" s="105"/>
      <c r="BK139" s="105"/>
      <c r="BL139" s="281"/>
      <c r="BM139" s="281"/>
      <c r="BN139" s="293"/>
      <c r="BO139" s="286"/>
      <c r="BP139" s="105"/>
      <c r="BQ139" s="105"/>
      <c r="BR139" s="105"/>
      <c r="BS139" s="105"/>
      <c r="BV139" s="105"/>
      <c r="BW139" s="281"/>
      <c r="BX139" s="281"/>
      <c r="BY139" s="293"/>
      <c r="BZ139" s="286"/>
      <c r="CA139" s="105"/>
      <c r="CB139" s="105"/>
      <c r="CC139" s="105"/>
      <c r="CD139" s="105"/>
    </row>
    <row r="140" customFormat="false" ht="12.75" hidden="false" customHeight="false" outlineLevel="0" collapsed="false">
      <c r="AE140" s="287"/>
      <c r="AF140" s="287"/>
      <c r="AG140" s="287"/>
      <c r="AO140" s="105"/>
      <c r="AP140" s="207"/>
      <c r="AQ140" s="207"/>
      <c r="AR140" s="207"/>
      <c r="AS140" s="286"/>
      <c r="AT140" s="105"/>
      <c r="AU140" s="105"/>
      <c r="AV140" s="105"/>
      <c r="AW140" s="105"/>
      <c r="AZ140" s="105"/>
      <c r="BA140" s="207"/>
      <c r="BB140" s="207"/>
      <c r="BC140" s="207"/>
      <c r="BD140" s="286"/>
      <c r="BE140" s="105"/>
      <c r="BF140" s="105"/>
      <c r="BG140" s="105"/>
      <c r="BH140" s="105"/>
      <c r="BK140" s="105"/>
      <c r="BL140" s="207"/>
      <c r="BM140" s="207"/>
      <c r="BN140" s="207"/>
      <c r="BO140" s="286"/>
      <c r="BP140" s="105"/>
      <c r="BQ140" s="105"/>
      <c r="BR140" s="105"/>
      <c r="BS140" s="105"/>
      <c r="BV140" s="105"/>
      <c r="BW140" s="207"/>
      <c r="BX140" s="207"/>
      <c r="BY140" s="207"/>
      <c r="BZ140" s="286"/>
      <c r="CA140" s="105"/>
      <c r="CB140" s="105"/>
      <c r="CC140" s="105"/>
      <c r="CD140" s="105"/>
    </row>
    <row r="141" customFormat="false" ht="12.75" hidden="false" customHeight="false" outlineLevel="0" collapsed="false">
      <c r="AE141" s="287"/>
      <c r="AF141" s="287"/>
      <c r="AO141" s="105"/>
      <c r="AP141" s="207"/>
      <c r="AQ141" s="207"/>
      <c r="AR141" s="105"/>
      <c r="AS141" s="286"/>
      <c r="AT141" s="105"/>
      <c r="AU141" s="105"/>
      <c r="AV141" s="105"/>
      <c r="AW141" s="105"/>
      <c r="AZ141" s="105"/>
      <c r="BA141" s="207"/>
      <c r="BB141" s="207"/>
      <c r="BC141" s="105"/>
      <c r="BD141" s="286"/>
      <c r="BE141" s="105"/>
      <c r="BF141" s="105"/>
      <c r="BG141" s="105"/>
      <c r="BH141" s="105"/>
      <c r="BK141" s="105"/>
      <c r="BL141" s="207"/>
      <c r="BM141" s="207"/>
      <c r="BN141" s="105"/>
      <c r="BO141" s="286"/>
      <c r="BP141" s="105"/>
      <c r="BQ141" s="105"/>
      <c r="BR141" s="105"/>
      <c r="BS141" s="105"/>
      <c r="BV141" s="105"/>
      <c r="BW141" s="207"/>
      <c r="BX141" s="207"/>
      <c r="BY141" s="105"/>
      <c r="BZ141" s="286"/>
      <c r="CA141" s="105"/>
      <c r="CB141" s="105"/>
      <c r="CC141" s="105"/>
      <c r="CD141" s="105"/>
    </row>
    <row r="142" customFormat="false" ht="12.75" hidden="false" customHeight="false" outlineLevel="0" collapsed="false">
      <c r="AG142" s="287"/>
      <c r="AO142" s="105"/>
      <c r="AP142" s="105"/>
      <c r="AQ142" s="105"/>
      <c r="AR142" s="207"/>
      <c r="AS142" s="286"/>
      <c r="AT142" s="105"/>
      <c r="AU142" s="105"/>
      <c r="AV142" s="105"/>
      <c r="AW142" s="105"/>
      <c r="AZ142" s="105"/>
      <c r="BA142" s="105"/>
      <c r="BB142" s="105"/>
      <c r="BC142" s="207"/>
      <c r="BD142" s="286"/>
      <c r="BE142" s="105"/>
      <c r="BF142" s="105"/>
      <c r="BG142" s="105"/>
      <c r="BH142" s="105"/>
      <c r="BK142" s="105"/>
      <c r="BL142" s="105"/>
      <c r="BM142" s="105"/>
      <c r="BN142" s="207"/>
      <c r="BO142" s="286"/>
      <c r="BP142" s="105"/>
      <c r="BQ142" s="105"/>
      <c r="BR142" s="105"/>
      <c r="BS142" s="105"/>
      <c r="BV142" s="105"/>
      <c r="BW142" s="105"/>
      <c r="BX142" s="105"/>
      <c r="BY142" s="207"/>
      <c r="BZ142" s="286"/>
      <c r="CA142" s="105"/>
      <c r="CB142" s="105"/>
      <c r="CC142" s="105"/>
      <c r="CD142" s="105"/>
    </row>
    <row r="143" customFormat="false" ht="12.75" hidden="false" customHeight="false" outlineLevel="0" collapsed="false">
      <c r="AE143" s="0" t="s">
        <v>462</v>
      </c>
      <c r="AG143" s="287" t="n">
        <f aca="false">AG138-AG133</f>
        <v>0</v>
      </c>
      <c r="AO143" s="105"/>
      <c r="AP143" s="105"/>
      <c r="AQ143" s="105"/>
      <c r="AR143" s="207"/>
      <c r="AS143" s="286"/>
      <c r="AT143" s="105"/>
      <c r="AU143" s="105"/>
      <c r="AV143" s="105"/>
      <c r="AW143" s="105"/>
      <c r="AZ143" s="105"/>
      <c r="BA143" s="105"/>
      <c r="BB143" s="105"/>
      <c r="BC143" s="207"/>
      <c r="BD143" s="286"/>
      <c r="BE143" s="105"/>
      <c r="BF143" s="105"/>
      <c r="BG143" s="105"/>
      <c r="BH143" s="105"/>
      <c r="BK143" s="105"/>
      <c r="BL143" s="105"/>
      <c r="BM143" s="105"/>
      <c r="BN143" s="207"/>
      <c r="BO143" s="286"/>
      <c r="BP143" s="105"/>
      <c r="BQ143" s="105"/>
      <c r="BR143" s="105"/>
      <c r="BS143" s="105"/>
      <c r="BV143" s="105"/>
      <c r="BW143" s="105"/>
      <c r="BX143" s="105"/>
      <c r="BY143" s="207"/>
      <c r="BZ143" s="286"/>
      <c r="CA143" s="105"/>
      <c r="CB143" s="105"/>
      <c r="CC143" s="105"/>
      <c r="CD143" s="105"/>
    </row>
    <row r="144" customFormat="false" ht="12.75" hidden="false" customHeight="false" outlineLevel="0" collapsed="false">
      <c r="AE144" s="0" t="s">
        <v>231</v>
      </c>
      <c r="AG144" s="288" t="n">
        <f aca="false">AG139-AG134</f>
        <v>0</v>
      </c>
      <c r="AO144" s="105"/>
      <c r="AP144" s="105"/>
      <c r="AQ144" s="105"/>
      <c r="AR144" s="289"/>
      <c r="AS144" s="286"/>
      <c r="AT144" s="105"/>
      <c r="AU144" s="105"/>
      <c r="AV144" s="105"/>
      <c r="AW144" s="105"/>
      <c r="AZ144" s="105"/>
      <c r="BA144" s="105"/>
      <c r="BB144" s="105"/>
      <c r="BC144" s="289"/>
      <c r="BD144" s="286"/>
      <c r="BE144" s="105"/>
      <c r="BF144" s="105"/>
      <c r="BG144" s="105"/>
      <c r="BH144" s="105"/>
      <c r="BK144" s="105"/>
      <c r="BL144" s="105"/>
      <c r="BM144" s="105"/>
      <c r="BN144" s="289"/>
      <c r="BO144" s="286"/>
      <c r="BP144" s="105"/>
      <c r="BQ144" s="105"/>
      <c r="BR144" s="105"/>
      <c r="BS144" s="105"/>
      <c r="BV144" s="105"/>
      <c r="BW144" s="105"/>
      <c r="BX144" s="105"/>
      <c r="BY144" s="289"/>
      <c r="BZ144" s="286"/>
      <c r="CA144" s="105"/>
      <c r="CB144" s="105"/>
      <c r="CC144" s="105"/>
      <c r="CD144" s="105"/>
    </row>
    <row r="145" customFormat="false" ht="12.75" hidden="false" customHeight="false" outlineLevel="0" collapsed="false">
      <c r="AG145" s="287" t="n">
        <f aca="false">SUM(AG142:AG144)</f>
        <v>0</v>
      </c>
      <c r="AO145" s="105"/>
      <c r="AP145" s="105"/>
      <c r="AQ145" s="105"/>
      <c r="AR145" s="207"/>
      <c r="AS145" s="286"/>
      <c r="AT145" s="105"/>
      <c r="AU145" s="105"/>
      <c r="AV145" s="105"/>
      <c r="AW145" s="105"/>
      <c r="AZ145" s="105"/>
      <c r="BA145" s="105"/>
      <c r="BB145" s="105"/>
      <c r="BC145" s="207"/>
      <c r="BD145" s="286"/>
      <c r="BE145" s="105"/>
      <c r="BF145" s="105"/>
      <c r="BG145" s="105"/>
      <c r="BH145" s="105"/>
      <c r="BK145" s="105"/>
      <c r="BL145" s="105"/>
      <c r="BM145" s="105"/>
      <c r="BN145" s="207"/>
      <c r="BO145" s="286"/>
      <c r="BP145" s="105"/>
      <c r="BQ145" s="105"/>
      <c r="BR145" s="105"/>
      <c r="BS145" s="105"/>
      <c r="BV145" s="105"/>
      <c r="BW145" s="105"/>
      <c r="BX145" s="105"/>
      <c r="BY145" s="207"/>
      <c r="BZ145" s="286"/>
      <c r="CA145" s="105"/>
      <c r="CB145" s="105"/>
      <c r="CC145" s="105"/>
      <c r="CD145" s="105"/>
    </row>
    <row r="146" customFormat="false" ht="12.75" hidden="false" customHeight="false" outlineLevel="0" collapsed="false">
      <c r="AG146" s="87"/>
      <c r="AR146" s="294"/>
      <c r="BC146" s="294"/>
      <c r="BN146" s="294"/>
      <c r="BY146" s="294"/>
    </row>
  </sheetData>
  <mergeCells count="20">
    <mergeCell ref="D1:E1"/>
    <mergeCell ref="G1:J1"/>
    <mergeCell ref="L1:O1"/>
    <mergeCell ref="P1:Q1"/>
    <mergeCell ref="S1:AA1"/>
    <mergeCell ref="AC1:AL1"/>
    <mergeCell ref="AN1:AW1"/>
    <mergeCell ref="AY1:BH1"/>
    <mergeCell ref="BJ1:BS1"/>
    <mergeCell ref="BU1:CD1"/>
    <mergeCell ref="D2:E2"/>
    <mergeCell ref="G2:J2"/>
    <mergeCell ref="L2:O2"/>
    <mergeCell ref="P2:Q2"/>
    <mergeCell ref="S2:AA2"/>
    <mergeCell ref="AC2:AL2"/>
    <mergeCell ref="AN2:AW2"/>
    <mergeCell ref="AY2:BH2"/>
    <mergeCell ref="BJ2:BS2"/>
    <mergeCell ref="BU2:CD2"/>
  </mergeCells>
  <printOptions headings="false" gridLines="false" gridLinesSet="true" horizontalCentered="true" verticalCentered="false"/>
  <pageMargins left="0.25" right="0.25" top="0.979861111111111" bottom="0.45" header="0.3" footer="0.170138888888889"/>
  <pageSetup paperSize="1" scale="100" fitToWidth="5" fitToHeight="3" pageOrder="downThenOver" orientation="portrait" blackAndWhite="false" draft="false" cellComments="none" horizontalDpi="300" verticalDpi="300" copies="1"/>
  <headerFooter differentFirst="false" differentOddEven="false">
    <oddHeader>&amp;CPacific Gas and Electric Company
Revenue Allocation Workpapers for the 3¢ Surcharge
RSP Surcharge Allocation</oddHeader>
    <oddFooter>&amp;L&amp;D
&amp;T&amp;R&amp;F
&amp;A</oddFooter>
  </headerFooter>
  <colBreaks count="3" manualBreakCount="3">
    <brk id="15" man="true" max="65535" min="0"/>
    <brk id="39" man="true" max="65535" min="0"/>
    <brk id="58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2.49"/>
    <col collapsed="false" customWidth="true" hidden="false" outlineLevel="0" max="4" min="3" style="50" width="13.82"/>
    <col collapsed="false" customWidth="true" hidden="false" outlineLevel="0" max="5" min="5" style="50" width="14.15"/>
    <col collapsed="false" customWidth="true" hidden="false" outlineLevel="0" max="6" min="6" style="50" width="13.82"/>
    <col collapsed="false" customWidth="true" hidden="false" outlineLevel="0" max="7" min="7" style="295" width="13.82"/>
    <col collapsed="false" customWidth="true" hidden="false" outlineLevel="0" max="12" min="8" style="50" width="13.82"/>
    <col collapsed="false" customWidth="true" hidden="false" outlineLevel="0" max="13" min="13" style="0" width="18.82"/>
    <col collapsed="false" customWidth="true" hidden="false" outlineLevel="0" max="14" min="14" style="0" width="19.82"/>
    <col collapsed="false" customWidth="true" hidden="false" outlineLevel="0" max="16" min="15" style="0" width="15.49"/>
  </cols>
  <sheetData>
    <row r="1" customFormat="false" ht="12.75" hidden="false" customHeight="false" outlineLevel="0" collapsed="false">
      <c r="A1" s="296"/>
      <c r="B1" s="297" t="s">
        <v>277</v>
      </c>
    </row>
    <row r="2" customFormat="false" ht="12.75" hidden="false" customHeight="false" outlineLevel="0" collapsed="false">
      <c r="A2" s="298"/>
      <c r="B2" s="297" t="s">
        <v>282</v>
      </c>
      <c r="K2" s="299"/>
      <c r="L2" s="299"/>
    </row>
    <row r="3" customFormat="false" ht="12.75" hidden="false" customHeight="false" outlineLevel="0" collapsed="false">
      <c r="A3" s="298"/>
      <c r="B3" s="297" t="s">
        <v>288</v>
      </c>
      <c r="C3" s="300" t="s">
        <v>463</v>
      </c>
      <c r="D3" s="300"/>
      <c r="E3" s="301" t="s">
        <v>464</v>
      </c>
      <c r="I3" s="301" t="s">
        <v>465</v>
      </c>
      <c r="J3" s="301" t="s">
        <v>466</v>
      </c>
      <c r="K3" s="299" t="s">
        <v>467</v>
      </c>
      <c r="L3" s="299"/>
      <c r="M3" s="302" t="s">
        <v>412</v>
      </c>
      <c r="N3" s="302"/>
      <c r="O3" s="302" t="s">
        <v>468</v>
      </c>
      <c r="P3" s="302"/>
    </row>
    <row r="4" customFormat="false" ht="12.75" hidden="false" customHeight="false" outlineLevel="0" collapsed="false">
      <c r="A4" s="297" t="s">
        <v>287</v>
      </c>
      <c r="B4" s="297" t="s">
        <v>236</v>
      </c>
      <c r="C4" s="303" t="s">
        <v>469</v>
      </c>
      <c r="D4" s="303" t="s">
        <v>470</v>
      </c>
      <c r="E4" s="303" t="s">
        <v>412</v>
      </c>
      <c r="F4" s="303" t="s">
        <v>410</v>
      </c>
      <c r="G4" s="303" t="s">
        <v>471</v>
      </c>
      <c r="H4" s="303" t="s">
        <v>472</v>
      </c>
      <c r="I4" s="303" t="s">
        <v>441</v>
      </c>
      <c r="J4" s="303" t="s">
        <v>441</v>
      </c>
      <c r="K4" s="301" t="s">
        <v>473</v>
      </c>
      <c r="L4" s="301" t="s">
        <v>474</v>
      </c>
      <c r="M4" s="111" t="s">
        <v>475</v>
      </c>
      <c r="N4" s="111" t="s">
        <v>476</v>
      </c>
      <c r="O4" s="111" t="s">
        <v>475</v>
      </c>
      <c r="P4" s="111" t="s">
        <v>476</v>
      </c>
    </row>
    <row r="5" customFormat="false" ht="12.75" hidden="false" customHeight="false" outlineLevel="0" collapsed="false">
      <c r="A5" s="298"/>
      <c r="B5" s="297"/>
    </row>
    <row r="6" customFormat="false" ht="12.75" hidden="false" customHeight="false" outlineLevel="0" collapsed="false">
      <c r="A6" s="298" t="s">
        <v>477</v>
      </c>
      <c r="B6" s="297"/>
    </row>
    <row r="7" customFormat="false" ht="12.75" hidden="false" customHeight="false" outlineLevel="0" collapsed="false">
      <c r="A7" s="86" t="s">
        <v>294</v>
      </c>
      <c r="B7" s="304" t="s">
        <v>231</v>
      </c>
      <c r="C7" s="305" t="n">
        <f aca="false">'Test Year 2001 Sales and Revs.'!G7</f>
        <v>2581981586.01532</v>
      </c>
      <c r="D7" s="305" t="n">
        <f aca="false">'Test Year 2001 Sales and Revs.'!H7</f>
        <v>2868868428.90592</v>
      </c>
      <c r="E7" s="305" t="n">
        <f aca="false">SUM('Revenue Allocation'!E8:I8)</f>
        <v>1216390405.47432</v>
      </c>
      <c r="F7" s="305" t="n">
        <f aca="false">'Revenue Allocation'!K8</f>
        <v>235971524.232041</v>
      </c>
      <c r="G7" s="295" t="n">
        <f aca="false">C7-D7</f>
        <v>-286886842.890592</v>
      </c>
      <c r="H7" s="305"/>
      <c r="I7" s="305"/>
      <c r="J7" s="305"/>
      <c r="K7" s="295" t="n">
        <f aca="false">-H7+I7-J7</f>
        <v>0</v>
      </c>
      <c r="L7" s="295" t="n">
        <f aca="false">K7-G7-F7</f>
        <v>50915318.658551</v>
      </c>
      <c r="M7" s="50" t="n">
        <f aca="false">$C7-$E7+K7</f>
        <v>1365591180.54101</v>
      </c>
      <c r="N7" s="50" t="n">
        <f aca="false">$C7-$E7+L7</f>
        <v>1416506499.19956</v>
      </c>
      <c r="O7" s="51" t="n">
        <f aca="false">M7/'Test Year 2001 Sales and Revs.'!$F7</f>
        <v>0.058439887877729</v>
      </c>
      <c r="P7" s="51" t="n">
        <f aca="false">N7/'Test Year 2001 Sales and Revs.'!$F7</f>
        <v>0.0606187870651752</v>
      </c>
    </row>
    <row r="8" customFormat="false" ht="12.75" hidden="false" customHeight="false" outlineLevel="0" collapsed="false">
      <c r="A8" s="86" t="s">
        <v>295</v>
      </c>
      <c r="B8" s="304"/>
      <c r="C8" s="305" t="n">
        <f aca="false">'Test Year 2001 Sales and Revs.'!G8</f>
        <v>168120011.16367</v>
      </c>
      <c r="D8" s="305" t="n">
        <f aca="false">'Test Year 2001 Sales and Revs.'!H8</f>
        <v>186800012.404078</v>
      </c>
      <c r="E8" s="305" t="n">
        <f aca="false">SUM('Revenue Allocation'!E9:I9)</f>
        <v>62769259.3747032</v>
      </c>
      <c r="F8" s="305" t="n">
        <f aca="false">'Revenue Allocation'!K9</f>
        <v>19412925.4726852</v>
      </c>
      <c r="G8" s="295" t="n">
        <f aca="false">C8-D8</f>
        <v>-18680001.2404078</v>
      </c>
      <c r="H8" s="305"/>
      <c r="I8" s="305"/>
      <c r="J8" s="305"/>
      <c r="K8" s="295" t="n">
        <f aca="false">-H8+I8-J8</f>
        <v>0</v>
      </c>
      <c r="L8" s="295" t="n">
        <f aca="false">K8-G8-F8</f>
        <v>-732924.232277397</v>
      </c>
      <c r="M8" s="50" t="n">
        <f aca="false">$C8-$E8+K8</f>
        <v>105350751.788967</v>
      </c>
      <c r="N8" s="50" t="n">
        <f aca="false">$C8-$E8+L8</f>
        <v>104617827.55669</v>
      </c>
      <c r="O8" s="51" t="n">
        <f aca="false">M8/'Test Year 2001 Sales and Revs.'!$F8</f>
        <v>0.054801812240377</v>
      </c>
      <c r="P8" s="51" t="n">
        <f aca="false">N8/'Test Year 2001 Sales and Revs.'!$F8</f>
        <v>0.054420556525713</v>
      </c>
    </row>
    <row r="9" customFormat="false" ht="12.75" hidden="false" customHeight="false" outlineLevel="0" collapsed="false">
      <c r="A9" s="86" t="s">
        <v>296</v>
      </c>
      <c r="B9" s="304" t="s">
        <v>231</v>
      </c>
      <c r="C9" s="305" t="n">
        <f aca="false">'Test Year 2001 Sales and Revs.'!G9</f>
        <v>110620380.015856</v>
      </c>
      <c r="D9" s="305" t="n">
        <f aca="false">'Test Year 2001 Sales and Revs.'!H9</f>
        <v>122911533.350951</v>
      </c>
      <c r="E9" s="305" t="n">
        <f aca="false">SUM('Revenue Allocation'!E10:I10)</f>
        <v>51876838.7476925</v>
      </c>
      <c r="F9" s="305" t="n">
        <f aca="false">'Revenue Allocation'!K10</f>
        <v>12247792.8985719</v>
      </c>
      <c r="G9" s="295" t="n">
        <f aca="false">C9-D9</f>
        <v>-12291153.3350951</v>
      </c>
      <c r="H9" s="305"/>
      <c r="I9" s="305"/>
      <c r="J9" s="305"/>
      <c r="K9" s="295" t="n">
        <f aca="false">-H9+I9-J9</f>
        <v>0</v>
      </c>
      <c r="L9" s="295" t="n">
        <f aca="false">K9-G9-F9</f>
        <v>43360.4365231656</v>
      </c>
      <c r="M9" s="50" t="n">
        <f aca="false">$C9-$E9+K9</f>
        <v>58743541.2681633</v>
      </c>
      <c r="N9" s="50" t="n">
        <f aca="false">$C9-$E9+L9</f>
        <v>58786901.7046865</v>
      </c>
      <c r="O9" s="51" t="n">
        <f aca="false">M9/'Test Year 2001 Sales and Revs.'!$F9</f>
        <v>0.048434024619853</v>
      </c>
      <c r="P9" s="51" t="n">
        <f aca="false">N9/'Test Year 2001 Sales and Revs.'!$F9</f>
        <v>0.0484697752811981</v>
      </c>
    </row>
    <row r="10" customFormat="false" ht="12.75" hidden="false" customHeight="false" outlineLevel="0" collapsed="false">
      <c r="A10" s="86" t="s">
        <v>297</v>
      </c>
      <c r="B10" s="304" t="s">
        <v>231</v>
      </c>
      <c r="C10" s="305" t="n">
        <f aca="false">'Test Year 2001 Sales and Revs.'!G10</f>
        <v>211472700.499817</v>
      </c>
      <c r="D10" s="305" t="n">
        <f aca="false">'Test Year 2001 Sales and Revs.'!H10</f>
        <v>234969667.222018</v>
      </c>
      <c r="E10" s="305" t="n">
        <f aca="false">SUM('Revenue Allocation'!E11:I11)</f>
        <v>92386711.8046418</v>
      </c>
      <c r="F10" s="305" t="n">
        <f aca="false">'Revenue Allocation'!K11</f>
        <v>22702101.8495878</v>
      </c>
      <c r="G10" s="295" t="n">
        <f aca="false">C10-D10</f>
        <v>-23496966.7222019</v>
      </c>
      <c r="H10" s="305"/>
      <c r="I10" s="305"/>
      <c r="J10" s="305"/>
      <c r="K10" s="295" t="n">
        <f aca="false">-H10+I10-J10</f>
        <v>0</v>
      </c>
      <c r="L10" s="295" t="n">
        <f aca="false">K10-G10-F10</f>
        <v>794864.872614078</v>
      </c>
      <c r="M10" s="50" t="n">
        <f aca="false">$C10-$E10+K10</f>
        <v>119085988.695175</v>
      </c>
      <c r="N10" s="50" t="n">
        <f aca="false">$C10-$E10+L10</f>
        <v>119880853.567789</v>
      </c>
      <c r="O10" s="51" t="n">
        <f aca="false">M10/'Test Year 2001 Sales and Revs.'!$F10</f>
        <v>0.0529715727472309</v>
      </c>
      <c r="P10" s="51" t="n">
        <f aca="false">N10/'Test Year 2001 Sales and Revs.'!$F10</f>
        <v>0.0533251428261734</v>
      </c>
    </row>
    <row r="11" customFormat="false" ht="12.75" hidden="false" customHeight="false" outlineLevel="0" collapsed="false">
      <c r="A11" s="86" t="s">
        <v>298</v>
      </c>
      <c r="B11" s="304"/>
      <c r="C11" s="306" t="n">
        <f aca="false">'Test Year 2001 Sales and Revs.'!G11</f>
        <v>7831339.59778284</v>
      </c>
      <c r="D11" s="306" t="n">
        <f aca="false">'Test Year 2001 Sales and Revs.'!H11</f>
        <v>8701488.44198094</v>
      </c>
      <c r="E11" s="306" t="n">
        <f aca="false">SUM('Revenue Allocation'!E12:I12)</f>
        <v>2567460.69263576</v>
      </c>
      <c r="F11" s="306" t="n">
        <f aca="false">'Revenue Allocation'!K12</f>
        <v>977640.378079672</v>
      </c>
      <c r="G11" s="238" t="n">
        <f aca="false">C11-D11</f>
        <v>-870148.844198094</v>
      </c>
      <c r="H11" s="306"/>
      <c r="I11" s="306"/>
      <c r="J11" s="306"/>
      <c r="K11" s="238" t="n">
        <f aca="false">-H11+I11-J11</f>
        <v>0</v>
      </c>
      <c r="L11" s="238" t="n">
        <f aca="false">K11-G11-F11</f>
        <v>-107491.533881578</v>
      </c>
      <c r="M11" s="238" t="n">
        <f aca="false">$C11-$E11+K11</f>
        <v>5263878.90514709</v>
      </c>
      <c r="N11" s="238" t="n">
        <f aca="false">$C11-$E11+L11</f>
        <v>5156387.37126551</v>
      </c>
      <c r="O11" s="51" t="n">
        <f aca="false">M11/'Test Year 2001 Sales and Revs.'!$F11</f>
        <v>0.0543719649266725</v>
      </c>
      <c r="P11" s="51" t="n">
        <f aca="false">N11/'Test Year 2001 Sales and Revs.'!$F11</f>
        <v>0.0532616571070134</v>
      </c>
    </row>
    <row r="12" customFormat="false" ht="12.75" hidden="false" customHeight="false" outlineLevel="0" collapsed="false">
      <c r="A12" s="298"/>
      <c r="B12" s="304"/>
    </row>
    <row r="13" customFormat="false" ht="12.75" hidden="false" customHeight="false" outlineLevel="0" collapsed="false">
      <c r="A13" s="298" t="s">
        <v>299</v>
      </c>
      <c r="B13" s="304"/>
      <c r="C13" s="50" t="n">
        <f aca="false">SUM(C7:C11)</f>
        <v>3080026017.29245</v>
      </c>
      <c r="D13" s="50" t="n">
        <f aca="false">SUM(D7:D11)</f>
        <v>3422251130.32494</v>
      </c>
      <c r="E13" s="50" t="n">
        <f aca="false">SUM(E7:E11)</f>
        <v>1425990676.09399</v>
      </c>
      <c r="F13" s="50" t="n">
        <f aca="false">SUM(F7:F11)</f>
        <v>291311984.830965</v>
      </c>
      <c r="G13" s="295" t="n">
        <f aca="false">SUM(G7:G11)</f>
        <v>-342225113.032495</v>
      </c>
      <c r="K13" s="50" t="n">
        <f aca="false">SUM(K7:K11)</f>
        <v>0</v>
      </c>
      <c r="L13" s="50" t="n">
        <f aca="false">SUM(L7:L11)</f>
        <v>50913128.2015293</v>
      </c>
      <c r="M13" s="50" t="n">
        <f aca="false">SUM(M7:M11)</f>
        <v>1654035341.19846</v>
      </c>
      <c r="N13" s="50" t="n">
        <f aca="false">SUM(N7:N11)</f>
        <v>1704948469.39999</v>
      </c>
      <c r="O13" s="51" t="n">
        <f aca="false">M13/'Test Year 2001 Sales and Revs.'!$F13</f>
        <v>0.0573369650264007</v>
      </c>
      <c r="P13" s="51" t="n">
        <f aca="false">N13/'Test Year 2001 Sales and Revs.'!$F13</f>
        <v>0.0591018633803624</v>
      </c>
    </row>
    <row r="14" customFormat="false" ht="12.75" hidden="false" customHeight="false" outlineLevel="0" collapsed="false">
      <c r="A14" s="298"/>
      <c r="B14" s="304"/>
    </row>
    <row r="15" customFormat="false" ht="12.75" hidden="false" customHeight="false" outlineLevel="0" collapsed="false">
      <c r="A15" s="298" t="s">
        <v>300</v>
      </c>
      <c r="B15" s="304"/>
    </row>
    <row r="16" customFormat="false" ht="12.75" hidden="false" customHeight="false" outlineLevel="0" collapsed="false">
      <c r="A16" s="86" t="s">
        <v>301</v>
      </c>
      <c r="B16" s="297" t="s">
        <v>231</v>
      </c>
      <c r="C16" s="305" t="n">
        <f aca="false">'Test Year 2001 Sales and Revs.'!G16</f>
        <v>710376092.783493</v>
      </c>
      <c r="D16" s="305" t="n">
        <f aca="false">'Test Year 2001 Sales and Revs.'!H16</f>
        <v>789311522.537214</v>
      </c>
      <c r="E16" s="305" t="n">
        <f aca="false">SUM('Revenue Allocation'!E16:I16)</f>
        <v>335849120.331751</v>
      </c>
      <c r="F16" s="305" t="n">
        <f aca="false">'Revenue Allocation'!K16</f>
        <v>62346675.1685094</v>
      </c>
      <c r="G16" s="295" t="n">
        <f aca="false">C16-D16</f>
        <v>-78935429.7537214</v>
      </c>
      <c r="H16" s="305"/>
      <c r="I16" s="305"/>
      <c r="J16" s="305"/>
      <c r="K16" s="295" t="n">
        <f aca="false">-H16+I16-J16</f>
        <v>0</v>
      </c>
      <c r="L16" s="295" t="n">
        <f aca="false">K16-G16-F16</f>
        <v>16588754.585212</v>
      </c>
      <c r="M16" s="50" t="n">
        <f aca="false">$C16-$E16+K16</f>
        <v>374526972.451742</v>
      </c>
      <c r="N16" s="50" t="n">
        <f aca="false">$C16-$E16+L16</f>
        <v>391115727.036954</v>
      </c>
      <c r="O16" s="51" t="n">
        <f aca="false">M16/'Test Year 2001 Sales and Revs.'!$F16</f>
        <v>0.0634104674406588</v>
      </c>
      <c r="P16" s="51" t="n">
        <f aca="false">N16/'Test Year 2001 Sales and Revs.'!$F16</f>
        <v>0.0662190787287075</v>
      </c>
    </row>
    <row r="17" customFormat="false" ht="12.75" hidden="false" customHeight="false" outlineLevel="0" collapsed="false">
      <c r="A17" s="86" t="s">
        <v>302</v>
      </c>
      <c r="B17" s="297" t="s">
        <v>231</v>
      </c>
      <c r="C17" s="305" t="n">
        <f aca="false">'Test Year 2001 Sales and Revs.'!G17</f>
        <v>175710435.729645</v>
      </c>
      <c r="D17" s="305" t="n">
        <f aca="false">'Test Year 2001 Sales and Revs.'!H17</f>
        <v>195230150.921828</v>
      </c>
      <c r="E17" s="305" t="n">
        <f aca="false">SUM('Revenue Allocation'!E17:I17)</f>
        <v>64624575.1838447</v>
      </c>
      <c r="F17" s="305" t="n">
        <f aca="false">'Revenue Allocation'!K17</f>
        <v>20831243.7376304</v>
      </c>
      <c r="G17" s="295" t="n">
        <f aca="false">C17-D17</f>
        <v>-19519715.1921828</v>
      </c>
      <c r="H17" s="305"/>
      <c r="I17" s="305"/>
      <c r="J17" s="305"/>
      <c r="K17" s="295" t="n">
        <f aca="false">-H17+I17-J17</f>
        <v>0</v>
      </c>
      <c r="L17" s="295" t="n">
        <f aca="false">K17-G17-F17</f>
        <v>-1311528.54544759</v>
      </c>
      <c r="M17" s="50" t="n">
        <f aca="false">$C17-$E17+K17</f>
        <v>111085860.5458</v>
      </c>
      <c r="N17" s="50" t="n">
        <f aca="false">$C17-$E17+L17</f>
        <v>109774332.000353</v>
      </c>
      <c r="O17" s="51" t="n">
        <f aca="false">M17/'Test Year 2001 Sales and Revs.'!$F17</f>
        <v>0.0562904520497319</v>
      </c>
      <c r="P17" s="51" t="n">
        <f aca="false">N17/'Test Year 2001 Sales and Revs.'!$F17</f>
        <v>0.0556258622060143</v>
      </c>
    </row>
    <row r="18" customFormat="false" ht="12.75" hidden="false" customHeight="false" outlineLevel="0" collapsed="false">
      <c r="A18" s="86" t="s">
        <v>478</v>
      </c>
      <c r="B18" s="297"/>
      <c r="C18" s="305"/>
      <c r="D18" s="305"/>
      <c r="E18" s="305"/>
      <c r="F18" s="305"/>
      <c r="H18" s="305"/>
      <c r="I18" s="305"/>
      <c r="J18" s="305"/>
      <c r="K18" s="305"/>
      <c r="L18" s="305"/>
    </row>
    <row r="19" customFormat="false" ht="12.75" hidden="false" customHeight="false" outlineLevel="0" collapsed="false">
      <c r="A19" s="86" t="s">
        <v>303</v>
      </c>
      <c r="B19" s="297" t="s">
        <v>231</v>
      </c>
      <c r="C19" s="305" t="n">
        <f aca="false">'Test Year 2001 Sales and Revs.'!G19</f>
        <v>378012.213375161</v>
      </c>
      <c r="D19" s="305" t="n">
        <f aca="false">'Test Year 2001 Sales and Revs.'!H19</f>
        <v>378012.213375161</v>
      </c>
      <c r="E19" s="305" t="n">
        <f aca="false">SUM('Revenue Allocation'!E18:I18)</f>
        <v>321577.717330271</v>
      </c>
      <c r="F19" s="305" t="n">
        <f aca="false">'Revenue Allocation'!K18</f>
        <v>0</v>
      </c>
      <c r="H19" s="305"/>
      <c r="I19" s="305"/>
      <c r="J19" s="305"/>
      <c r="K19" s="295" t="n">
        <f aca="false">-H19+I19-J19</f>
        <v>0</v>
      </c>
      <c r="L19" s="295" t="n">
        <f aca="false">K19-G19-F19</f>
        <v>0</v>
      </c>
      <c r="M19" s="50" t="n">
        <f aca="false">$C19-$E19+K19</f>
        <v>56434.4960448897</v>
      </c>
      <c r="N19" s="50" t="n">
        <f aca="false">$C19-$E19+L19</f>
        <v>56434.4960448897</v>
      </c>
      <c r="O19" s="51" t="n">
        <f aca="false">M19/'Test Year 2001 Sales and Revs.'!$F19</f>
        <v>0.04263403080835</v>
      </c>
      <c r="P19" s="51" t="n">
        <f aca="false">N19/'Test Year 2001 Sales and Revs.'!$F19</f>
        <v>0.04263403080835</v>
      </c>
    </row>
    <row r="20" customFormat="false" ht="12.75" hidden="false" customHeight="false" outlineLevel="0" collapsed="false">
      <c r="A20" s="86" t="s">
        <v>304</v>
      </c>
      <c r="B20" s="297" t="s">
        <v>231</v>
      </c>
      <c r="C20" s="306" t="n">
        <f aca="false">'Test Year 2001 Sales and Revs.'!G20</f>
        <v>13370632.6153714</v>
      </c>
      <c r="D20" s="306" t="n">
        <f aca="false">'Test Year 2001 Sales and Revs.'!H20</f>
        <v>13370632.6153714</v>
      </c>
      <c r="E20" s="306" t="n">
        <f aca="false">SUM('Revenue Allocation'!E19:I19)</f>
        <v>7248762.21850909</v>
      </c>
      <c r="F20" s="306" t="n">
        <f aca="false">'Revenue Allocation'!K19</f>
        <v>0</v>
      </c>
      <c r="G20" s="238"/>
      <c r="H20" s="306"/>
      <c r="I20" s="306"/>
      <c r="J20" s="306"/>
      <c r="K20" s="238" t="n">
        <f aca="false">-H20+I20-J20</f>
        <v>0</v>
      </c>
      <c r="L20" s="238" t="n">
        <f aca="false">K20-G20-F20</f>
        <v>0</v>
      </c>
      <c r="M20" s="238" t="n">
        <f aca="false">$C20-$E20+K20</f>
        <v>6121870.39686229</v>
      </c>
      <c r="N20" s="238" t="n">
        <f aca="false">$C20-$E20+L20</f>
        <v>6121870.39686229</v>
      </c>
      <c r="O20" s="51" t="n">
        <f aca="false">M20/'Test Year 2001 Sales and Revs.'!$F20</f>
        <v>0.0504546443250211</v>
      </c>
      <c r="P20" s="51" t="n">
        <f aca="false">N20/'Test Year 2001 Sales and Revs.'!$F20</f>
        <v>0.0504546443250211</v>
      </c>
    </row>
    <row r="21" customFormat="false" ht="12.75" hidden="false" customHeight="false" outlineLevel="0" collapsed="false">
      <c r="A21" s="298"/>
      <c r="B21" s="304"/>
    </row>
    <row r="22" customFormat="false" ht="12.75" hidden="false" customHeight="false" outlineLevel="0" collapsed="false">
      <c r="A22" s="298" t="s">
        <v>305</v>
      </c>
      <c r="B22" s="304"/>
      <c r="C22" s="50" t="n">
        <f aca="false">SUM(C16:C20)</f>
        <v>899835173.341884</v>
      </c>
      <c r="D22" s="50" t="n">
        <f aca="false">SUM(D16:D20)</f>
        <v>998290318.287789</v>
      </c>
      <c r="E22" s="50" t="n">
        <f aca="false">SUM(E16:E20)</f>
        <v>408044035.451435</v>
      </c>
      <c r="F22" s="50" t="n">
        <f aca="false">SUM(F16:F20)</f>
        <v>83177918.9061397</v>
      </c>
      <c r="G22" s="295" t="n">
        <f aca="false">SUM(G16:G20)</f>
        <v>-98455144.9459041</v>
      </c>
      <c r="K22" s="50" t="n">
        <f aca="false">SUM(K16:K20)</f>
        <v>0</v>
      </c>
      <c r="L22" s="50" t="n">
        <f aca="false">SUM(L16:L20)</f>
        <v>15277226.0397644</v>
      </c>
      <c r="M22" s="50" t="n">
        <f aca="false">SUM(M16:M20)</f>
        <v>491791137.890449</v>
      </c>
      <c r="N22" s="50" t="n">
        <f aca="false">SUM(N16:N20)</f>
        <v>507068363.930214</v>
      </c>
      <c r="O22" s="51" t="n">
        <f aca="false">M22/'Test Year 2001 Sales and Revs.'!$F22</f>
        <v>0.061454774299596</v>
      </c>
      <c r="P22" s="51" t="n">
        <f aca="false">N22/'Test Year 2001 Sales and Revs.'!$F22</f>
        <v>0.0633638336661899</v>
      </c>
    </row>
    <row r="23" customFormat="false" ht="12.75" hidden="false" customHeight="false" outlineLevel="0" collapsed="false">
      <c r="A23" s="298"/>
      <c r="B23" s="304"/>
    </row>
    <row r="24" customFormat="false" ht="12.75" hidden="false" customHeight="false" outlineLevel="0" collapsed="false">
      <c r="A24" s="298" t="s">
        <v>306</v>
      </c>
      <c r="B24" s="304"/>
    </row>
    <row r="25" customFormat="false" ht="12.75" hidden="false" customHeight="false" outlineLevel="0" collapsed="false">
      <c r="A25" s="86"/>
      <c r="B25" s="297"/>
    </row>
    <row r="26" customFormat="false" ht="12.75" hidden="false" customHeight="false" outlineLevel="0" collapsed="false">
      <c r="A26" s="86" t="s">
        <v>307</v>
      </c>
      <c r="B26" s="0" t="s">
        <v>234</v>
      </c>
      <c r="C26" s="305" t="n">
        <f aca="false">SUM('Test Year 2001 Sales and Revs.'!G25:G26)</f>
        <v>8480988.73041557</v>
      </c>
      <c r="D26" s="305" t="n">
        <f aca="false">SUM('Test Year 2001 Sales and Revs.'!H25:H26)</f>
        <v>8491546.3803367</v>
      </c>
      <c r="E26" s="305" t="n">
        <f aca="false">SUM('Revenue Allocation'!E23:I23)</f>
        <v>2656992.11061727</v>
      </c>
      <c r="F26" s="305" t="n">
        <f aca="false">'Revenue Allocation'!K23</f>
        <v>11288.8083267999</v>
      </c>
      <c r="G26" s="295" t="n">
        <f aca="false">C26-D26</f>
        <v>-10557.6499211285</v>
      </c>
      <c r="H26" s="305"/>
      <c r="I26" s="307"/>
      <c r="J26" s="308" t="n">
        <v>4352.8987050081</v>
      </c>
      <c r="K26" s="295" t="n">
        <f aca="false">-H26+I26-J26</f>
        <v>-4352.8987050081</v>
      </c>
      <c r="L26" s="295" t="n">
        <f aca="false">K26-G26-F26</f>
        <v>-5084.05711067945</v>
      </c>
      <c r="M26" s="50" t="n">
        <f aca="false">$C26-$E26+K26</f>
        <v>5819643.7210933</v>
      </c>
      <c r="N26" s="50" t="n">
        <f aca="false">$C26-$E26+L26</f>
        <v>5818912.56268763</v>
      </c>
      <c r="O26" s="51" t="n">
        <f aca="false">M26/'Test Year 2001 Sales and Revs.'!$F26</f>
        <v>0.0645505141978763</v>
      </c>
      <c r="P26" s="51" t="n">
        <f aca="false">N26/'Test Year 2001 Sales and Revs.'!$F26</f>
        <v>0.0645424043112049</v>
      </c>
    </row>
    <row r="27" customFormat="false" ht="12.75" hidden="false" customHeight="false" outlineLevel="0" collapsed="false">
      <c r="A27" s="86" t="s">
        <v>307</v>
      </c>
      <c r="B27" s="297" t="s">
        <v>231</v>
      </c>
      <c r="C27" s="306" t="n">
        <f aca="false">'Test Year 2001 Sales and Revs.'!G27</f>
        <v>1272618916.98408</v>
      </c>
      <c r="D27" s="306" t="n">
        <f aca="false">'Test Year 2001 Sales and Revs.'!H27</f>
        <v>1280842457.14572</v>
      </c>
      <c r="E27" s="306" t="n">
        <f aca="false">SUM('Revenue Allocation'!E24:I24)</f>
        <v>436428254.40594</v>
      </c>
      <c r="F27" s="306" t="n">
        <f aca="false">'Revenue Allocation'!K24</f>
        <v>8251385.37205624</v>
      </c>
      <c r="G27" s="238" t="n">
        <f aca="false">C27-D27</f>
        <v>-8223540.16163659</v>
      </c>
      <c r="H27" s="306"/>
      <c r="I27" s="309"/>
      <c r="J27" s="310" t="n">
        <v>960924.702817396</v>
      </c>
      <c r="K27" s="238" t="n">
        <f aca="false">-H27+I27-J27</f>
        <v>-960924.702817396</v>
      </c>
      <c r="L27" s="238" t="n">
        <f aca="false">K27-G27-F27</f>
        <v>-988769.913237047</v>
      </c>
      <c r="M27" s="238" t="n">
        <f aca="false">$C27-$E27+K27</f>
        <v>835229737.875327</v>
      </c>
      <c r="N27" s="238" t="n">
        <f aca="false">$C27-$E27+L27</f>
        <v>835201892.664908</v>
      </c>
      <c r="O27" s="51" t="n">
        <f aca="false">M27/'Test Year 2001 Sales and Revs.'!$F27</f>
        <v>0.0649486313232127</v>
      </c>
      <c r="P27" s="51" t="n">
        <f aca="false">N27/'Test Year 2001 Sales and Revs.'!$F27</f>
        <v>0.0649464660407477</v>
      </c>
    </row>
    <row r="28" customFormat="false" ht="12.75" hidden="false" customHeight="false" outlineLevel="0" collapsed="false">
      <c r="A28" s="311"/>
      <c r="B28" s="297"/>
    </row>
    <row r="29" customFormat="false" ht="12.75" hidden="false" customHeight="false" outlineLevel="0" collapsed="false">
      <c r="A29" s="298" t="s">
        <v>308</v>
      </c>
      <c r="B29" s="304"/>
      <c r="C29" s="50" t="n">
        <f aca="false">SUM(C26:C27)</f>
        <v>1281099905.7145</v>
      </c>
      <c r="D29" s="50" t="n">
        <f aca="false">SUM(D26:D27)</f>
        <v>1289334003.52606</v>
      </c>
      <c r="E29" s="50" t="n">
        <f aca="false">SUM(E26:E27)</f>
        <v>439085246.516557</v>
      </c>
      <c r="F29" s="50" t="n">
        <f aca="false">SUM(F26:F27)</f>
        <v>8262674.18038304</v>
      </c>
      <c r="G29" s="295" t="n">
        <f aca="false">SUM(G26:G27)</f>
        <v>-8234097.81155772</v>
      </c>
      <c r="J29" s="50" t="n">
        <f aca="false">SUM(J26:J27)</f>
        <v>965277.601522404</v>
      </c>
      <c r="K29" s="50" t="n">
        <f aca="false">SUM(K26:K27)</f>
        <v>-965277.601522404</v>
      </c>
      <c r="L29" s="50" t="n">
        <f aca="false">SUM(L26:L27)</f>
        <v>-993853.970347727</v>
      </c>
      <c r="M29" s="50" t="n">
        <f aca="false">SUM(M26:M27)</f>
        <v>841049381.59642</v>
      </c>
      <c r="N29" s="50" t="n">
        <f aca="false">SUM(N26:N27)</f>
        <v>841020805.227595</v>
      </c>
      <c r="O29" s="51" t="n">
        <f aca="false">M29/'Test Year 2001 Sales and Revs.'!$F29</f>
        <v>0.064943397603254</v>
      </c>
      <c r="P29" s="51" t="n">
        <f aca="false">N29/'Test Year 2001 Sales and Revs.'!$F29</f>
        <v>0.0649411910188092</v>
      </c>
    </row>
    <row r="30" customFormat="false" ht="12.75" hidden="false" customHeight="false" outlineLevel="0" collapsed="false">
      <c r="A30" s="298"/>
      <c r="B30" s="304"/>
    </row>
    <row r="31" customFormat="false" ht="12.75" hidden="false" customHeight="false" outlineLevel="0" collapsed="false">
      <c r="A31" s="298" t="s">
        <v>309</v>
      </c>
      <c r="B31" s="304"/>
    </row>
    <row r="32" customFormat="false" ht="12.75" hidden="false" customHeight="false" outlineLevel="0" collapsed="false">
      <c r="A32" s="86" t="s">
        <v>310</v>
      </c>
      <c r="B32" s="297" t="s">
        <v>236</v>
      </c>
      <c r="C32" s="305" t="n">
        <f aca="false">'Test Year 2001 Sales and Revs.'!G32</f>
        <v>740267.477385463</v>
      </c>
      <c r="D32" s="305" t="n">
        <f aca="false">'Test Year 2001 Sales and Revs.'!H32</f>
        <v>740267.477385463</v>
      </c>
      <c r="E32" s="305" t="n">
        <f aca="false">SUM('Revenue Allocation'!E28:I28)</f>
        <v>150390.716722511</v>
      </c>
      <c r="F32" s="305" t="n">
        <f aca="false">'Revenue Allocation'!K28</f>
        <v>0</v>
      </c>
      <c r="G32" s="295" t="n">
        <f aca="false">C32-D32</f>
        <v>0</v>
      </c>
      <c r="H32" s="305"/>
      <c r="I32" s="307"/>
      <c r="J32" s="308" t="n">
        <v>4469.94539056272</v>
      </c>
      <c r="K32" s="295" t="n">
        <f aca="false">-H32+I32-J32</f>
        <v>-4469.94539056272</v>
      </c>
      <c r="L32" s="295" t="n">
        <f aca="false">K32-G32-F32</f>
        <v>-4469.94539056272</v>
      </c>
      <c r="M32" s="50" t="n">
        <f aca="false">$C32-$E32+K32</f>
        <v>585406.81527239</v>
      </c>
      <c r="N32" s="50" t="n">
        <f aca="false">$C32-$E32+L32</f>
        <v>585406.81527239</v>
      </c>
      <c r="O32" s="51" t="n">
        <f aca="false">M32/'Test Year 2001 Sales and Revs.'!$F32</f>
        <v>0.0672109493121302</v>
      </c>
      <c r="P32" s="51" t="n">
        <f aca="false">N32/'Test Year 2001 Sales and Revs.'!$F32</f>
        <v>0.0672109493121302</v>
      </c>
    </row>
    <row r="33" customFormat="false" ht="12.75" hidden="false" customHeight="false" outlineLevel="0" collapsed="false">
      <c r="A33" s="86" t="s">
        <v>311</v>
      </c>
      <c r="B33" s="297" t="s">
        <v>236</v>
      </c>
      <c r="C33" s="305" t="n">
        <f aca="false">'Test Year 2001 Sales and Revs.'!G33</f>
        <v>175856.716813805</v>
      </c>
      <c r="D33" s="305" t="n">
        <f aca="false">'Test Year 2001 Sales and Revs.'!H33</f>
        <v>175856.716813805</v>
      </c>
      <c r="E33" s="305" t="n">
        <f aca="false">SUM('Revenue Allocation'!E29:I29)</f>
        <v>33840.3564399967</v>
      </c>
      <c r="F33" s="305" t="n">
        <f aca="false">'Revenue Allocation'!K29</f>
        <v>0</v>
      </c>
      <c r="G33" s="295" t="n">
        <f aca="false">C33-D33</f>
        <v>0</v>
      </c>
      <c r="H33" s="305"/>
      <c r="I33" s="307"/>
      <c r="J33" s="308" t="n">
        <v>1470.92407097282</v>
      </c>
      <c r="K33" s="295" t="n">
        <f aca="false">-H33+I33-J33</f>
        <v>-1470.92407097282</v>
      </c>
      <c r="L33" s="295" t="n">
        <f aca="false">K33-G33-F33</f>
        <v>-1470.92407097282</v>
      </c>
      <c r="M33" s="50" t="n">
        <f aca="false">$C33-$E33+K33</f>
        <v>140545.436302835</v>
      </c>
      <c r="N33" s="50" t="n">
        <f aca="false">$C33-$E33+L33</f>
        <v>140545.436302835</v>
      </c>
      <c r="O33" s="51" t="n">
        <f aca="false">M33/'Test Year 2001 Sales and Revs.'!$F33</f>
        <v>0.065728314603661</v>
      </c>
      <c r="P33" s="51" t="n">
        <f aca="false">N33/'Test Year 2001 Sales and Revs.'!$F33</f>
        <v>0.065728314603661</v>
      </c>
    </row>
    <row r="34" customFormat="false" ht="12.75" hidden="false" customHeight="false" outlineLevel="0" collapsed="false">
      <c r="A34" s="86" t="s">
        <v>312</v>
      </c>
      <c r="B34" s="297" t="s">
        <v>236</v>
      </c>
      <c r="C34" s="306" t="n">
        <f aca="false">'Test Year 2001 Sales and Revs.'!G34</f>
        <v>0</v>
      </c>
      <c r="D34" s="306" t="n">
        <f aca="false">'Test Year 2001 Sales and Revs.'!H34</f>
        <v>0</v>
      </c>
      <c r="E34" s="306" t="n">
        <f aca="false">SUM('Revenue Allocation'!E30:I30)</f>
        <v>0</v>
      </c>
      <c r="F34" s="306" t="n">
        <f aca="false">'Revenue Allocation'!K30</f>
        <v>0</v>
      </c>
      <c r="G34" s="238" t="n">
        <f aca="false">C34-D34</f>
        <v>0</v>
      </c>
      <c r="H34" s="306" t="n">
        <f aca="false">'Test Year 2001 Sales and Revs.'!L35</f>
        <v>0</v>
      </c>
      <c r="I34" s="309"/>
      <c r="J34" s="310" t="n">
        <v>0</v>
      </c>
      <c r="K34" s="238" t="n">
        <f aca="false">-H34+I34-J34</f>
        <v>0</v>
      </c>
      <c r="L34" s="238" t="n">
        <f aca="false">K34-G34-F34</f>
        <v>0</v>
      </c>
      <c r="M34" s="238" t="n">
        <f aca="false">$C34-$E34+K34</f>
        <v>0</v>
      </c>
      <c r="N34" s="238" t="n">
        <f aca="false">$C34-$E34+L34</f>
        <v>0</v>
      </c>
    </row>
    <row r="35" customFormat="false" ht="12.75" hidden="false" customHeight="false" outlineLevel="0" collapsed="false">
      <c r="A35" s="298" t="s">
        <v>313</v>
      </c>
      <c r="B35" s="297" t="s">
        <v>236</v>
      </c>
      <c r="C35" s="50" t="n">
        <f aca="false">SUM(C32:C34)</f>
        <v>916124.194199268</v>
      </c>
      <c r="D35" s="50" t="n">
        <f aca="false">SUM(D32:D34)</f>
        <v>916124.194199268</v>
      </c>
      <c r="E35" s="50" t="n">
        <f aca="false">SUM(E32:E34)</f>
        <v>184231.073162508</v>
      </c>
      <c r="F35" s="50" t="n">
        <f aca="false">SUM(F32:F34)</f>
        <v>0</v>
      </c>
      <c r="G35" s="295" t="n">
        <f aca="false">SUM(G32:G34)</f>
        <v>0</v>
      </c>
      <c r="H35" s="50" t="n">
        <f aca="false">SUM(H32:H34)</f>
        <v>0</v>
      </c>
      <c r="J35" s="50" t="n">
        <f aca="false">SUM(J32:J34)</f>
        <v>5940.86946153554</v>
      </c>
      <c r="K35" s="50" t="n">
        <f aca="false">SUM(K32:K34)</f>
        <v>-5940.86946153554</v>
      </c>
      <c r="L35" s="50" t="n">
        <f aca="false">SUM(L32:L34)</f>
        <v>-5940.86946153554</v>
      </c>
      <c r="M35" s="50" t="n">
        <f aca="false">SUM(M32:M34)</f>
        <v>725952.251575225</v>
      </c>
      <c r="N35" s="50" t="n">
        <f aca="false">SUM(N32:N34)</f>
        <v>725952.251575225</v>
      </c>
      <c r="O35" s="51" t="n">
        <f aca="false">M35/'Test Year 2001 Sales and Revs.'!$F35</f>
        <v>0.0669187104814653</v>
      </c>
      <c r="P35" s="51" t="n">
        <f aca="false">N35/'Test Year 2001 Sales and Revs.'!$F35</f>
        <v>0.0669187104814653</v>
      </c>
    </row>
    <row r="36" customFormat="false" ht="12.75" hidden="false" customHeight="false" outlineLevel="0" collapsed="false">
      <c r="A36" s="298"/>
      <c r="B36" s="304"/>
    </row>
    <row r="37" customFormat="false" ht="12.75" hidden="false" customHeight="false" outlineLevel="0" collapsed="false">
      <c r="A37" s="298" t="s">
        <v>310</v>
      </c>
      <c r="B37" s="297" t="s">
        <v>234</v>
      </c>
      <c r="C37" s="305" t="n">
        <f aca="false">'Test Year 2001 Sales and Revs.'!G37</f>
        <v>49241569.4128643</v>
      </c>
      <c r="D37" s="305" t="n">
        <f aca="false">'Test Year 2001 Sales and Revs.'!H37</f>
        <v>49241569.4128643</v>
      </c>
      <c r="E37" s="305" t="n">
        <f aca="false">SUM('Revenue Allocation'!E33:I33)</f>
        <v>13561577.0647023</v>
      </c>
      <c r="F37" s="305" t="n">
        <f aca="false">'Revenue Allocation'!K33</f>
        <v>0</v>
      </c>
      <c r="G37" s="295" t="n">
        <f aca="false">C37-D37</f>
        <v>0</v>
      </c>
      <c r="H37" s="305"/>
      <c r="I37" s="307"/>
      <c r="J37" s="308" t="n">
        <v>52214.2516128548</v>
      </c>
      <c r="K37" s="295" t="n">
        <f aca="false">-H37+I37-J37</f>
        <v>-52214.2516128548</v>
      </c>
      <c r="L37" s="295" t="n">
        <f aca="false">K37-G37-F37</f>
        <v>-52214.2516128548</v>
      </c>
      <c r="M37" s="50" t="n">
        <f aca="false">$C37-$E37+K37</f>
        <v>35627778.0965491</v>
      </c>
      <c r="N37" s="50" t="n">
        <f aca="false">$C37-$E37+L37</f>
        <v>35627778.0965491</v>
      </c>
      <c r="O37" s="51" t="n">
        <f aca="false">M37/'Test Year 2001 Sales and Revs.'!$F37</f>
        <v>0.0563726018032009</v>
      </c>
      <c r="P37" s="51" t="n">
        <f aca="false">N37/'Test Year 2001 Sales and Revs.'!$F37</f>
        <v>0.0563726018032009</v>
      </c>
    </row>
    <row r="38" customFormat="false" ht="12.75" hidden="false" customHeight="false" outlineLevel="0" collapsed="false">
      <c r="A38" s="86" t="s">
        <v>311</v>
      </c>
      <c r="B38" s="297" t="s">
        <v>234</v>
      </c>
      <c r="C38" s="305" t="n">
        <f aca="false">'Test Year 2001 Sales and Revs.'!G38</f>
        <v>8600971.53485724</v>
      </c>
      <c r="D38" s="305" t="n">
        <f aca="false">'Test Year 2001 Sales and Revs.'!H38</f>
        <v>8601649.3158657</v>
      </c>
      <c r="E38" s="305" t="n">
        <f aca="false">SUM('Revenue Allocation'!E34:I34)</f>
        <v>2463345.21003442</v>
      </c>
      <c r="F38" s="305" t="n">
        <f aca="false">'Revenue Allocation'!K34</f>
        <v>905.164531307569</v>
      </c>
      <c r="G38" s="295" t="n">
        <f aca="false">C38-D38</f>
        <v>-677.781008452177</v>
      </c>
      <c r="H38" s="305"/>
      <c r="I38" s="307"/>
      <c r="J38" s="308" t="n">
        <v>14969.2655844589</v>
      </c>
      <c r="K38" s="295" t="n">
        <f aca="false">-H38+I38-J38</f>
        <v>-14969.2655844589</v>
      </c>
      <c r="L38" s="295" t="n">
        <f aca="false">K38-G38-F38</f>
        <v>-15196.6491073143</v>
      </c>
      <c r="M38" s="50" t="n">
        <f aca="false">$C38-$E38+K38</f>
        <v>6122657.05923837</v>
      </c>
      <c r="N38" s="50" t="n">
        <f aca="false">$C38-$E38+L38</f>
        <v>6122429.67571551</v>
      </c>
      <c r="O38" s="51" t="n">
        <f aca="false">M38/'Test Year 2001 Sales and Revs.'!$F38</f>
        <v>0.0559854255832437</v>
      </c>
      <c r="P38" s="51" t="n">
        <f aca="false">N38/'Test Year 2001 Sales and Revs.'!$F38</f>
        <v>0.0559833463939025</v>
      </c>
    </row>
    <row r="39" customFormat="false" ht="12.75" hidden="false" customHeight="false" outlineLevel="0" collapsed="false">
      <c r="A39" s="86" t="s">
        <v>312</v>
      </c>
      <c r="B39" s="297" t="s">
        <v>234</v>
      </c>
      <c r="C39" s="306" t="n">
        <f aca="false">'Test Year 2001 Sales and Revs.'!G39</f>
        <v>2712151.19325783</v>
      </c>
      <c r="D39" s="306" t="n">
        <f aca="false">'Test Year 2001 Sales and Revs.'!H39</f>
        <v>2712151.19325783</v>
      </c>
      <c r="E39" s="306" t="n">
        <f aca="false">SUM('Revenue Allocation'!E35:I35)</f>
        <v>851518.370789436</v>
      </c>
      <c r="F39" s="306" t="n">
        <f aca="false">'Revenue Allocation'!K35</f>
        <v>0</v>
      </c>
      <c r="G39" s="238" t="n">
        <f aca="false">C39-D39</f>
        <v>0</v>
      </c>
      <c r="H39" s="306" t="n">
        <f aca="false">'Test Year 2001 Sales and Revs.'!L39</f>
        <v>-480325.583984666</v>
      </c>
      <c r="I39" s="309"/>
      <c r="J39" s="310" t="n">
        <v>11537.5791913605</v>
      </c>
      <c r="K39" s="238" t="n">
        <f aca="false">-H39+I39-J39</f>
        <v>468788.004793305</v>
      </c>
      <c r="L39" s="238" t="n">
        <f aca="false">K39-G39-F39</f>
        <v>468788.004793305</v>
      </c>
      <c r="M39" s="238" t="n">
        <f aca="false">$C39-$E39+K39</f>
        <v>2329420.8272617</v>
      </c>
      <c r="N39" s="238" t="n">
        <f aca="false">$C39-$E39+L39</f>
        <v>2329420.8272617</v>
      </c>
      <c r="O39" s="51" t="n">
        <f aca="false">M39/'Test Year 2001 Sales and Revs.'!$F39</f>
        <v>0.0546986131974264</v>
      </c>
      <c r="P39" s="51" t="n">
        <f aca="false">N39/'Test Year 2001 Sales and Revs.'!$F39</f>
        <v>0.0546986131974264</v>
      </c>
    </row>
    <row r="40" customFormat="false" ht="12.75" hidden="false" customHeight="false" outlineLevel="0" collapsed="false">
      <c r="A40" s="298" t="s">
        <v>313</v>
      </c>
      <c r="B40" s="297" t="s">
        <v>234</v>
      </c>
      <c r="C40" s="50" t="n">
        <f aca="false">SUM(C37:C39)</f>
        <v>60554692.1409793</v>
      </c>
      <c r="D40" s="50" t="n">
        <f aca="false">SUM(D37:D39)</f>
        <v>60555369.9219878</v>
      </c>
      <c r="E40" s="50" t="n">
        <f aca="false">SUM(E37:E39)</f>
        <v>16876440.6455261</v>
      </c>
      <c r="F40" s="50" t="n">
        <f aca="false">SUM(F37:F39)</f>
        <v>905.164531307569</v>
      </c>
      <c r="G40" s="295" t="n">
        <f aca="false">SUM(G37:G39)</f>
        <v>-677.781008452177</v>
      </c>
      <c r="H40" s="50" t="n">
        <f aca="false">SUM(H37:H39)</f>
        <v>-480325.583984666</v>
      </c>
      <c r="J40" s="50" t="n">
        <f aca="false">SUM(J37:J39)</f>
        <v>78721.0963886743</v>
      </c>
      <c r="K40" s="50" t="n">
        <f aca="false">SUM(K37:K39)</f>
        <v>401604.487595992</v>
      </c>
      <c r="L40" s="50" t="n">
        <f aca="false">SUM(L37:L39)</f>
        <v>401377.104073136</v>
      </c>
      <c r="M40" s="50" t="n">
        <f aca="false">SUM(M37:M39)</f>
        <v>44079855.9830492</v>
      </c>
      <c r="N40" s="50" t="n">
        <f aca="false">SUM(N37:N39)</f>
        <v>44079628.5995264</v>
      </c>
      <c r="O40" s="51" t="n">
        <f aca="false">M40/'Test Year 2001 Sales and Revs.'!$F40</f>
        <v>0.056227655051451</v>
      </c>
      <c r="P40" s="51" t="n">
        <f aca="false">N40/'Test Year 2001 Sales and Revs.'!$F40</f>
        <v>0.056227365004172</v>
      </c>
    </row>
    <row r="41" customFormat="false" ht="12.75" hidden="false" customHeight="false" outlineLevel="0" collapsed="false">
      <c r="A41" s="298"/>
      <c r="B41" s="304"/>
    </row>
    <row r="42" customFormat="false" ht="12.75" hidden="false" customHeight="false" outlineLevel="0" collapsed="false">
      <c r="A42" s="298" t="s">
        <v>310</v>
      </c>
      <c r="B42" s="297" t="s">
        <v>231</v>
      </c>
      <c r="C42" s="305" t="n">
        <f aca="false">'Test Year 2001 Sales and Revs.'!G42</f>
        <v>431805371.238501</v>
      </c>
      <c r="D42" s="305" t="n">
        <f aca="false">'Test Year 2001 Sales and Revs.'!H42</f>
        <v>431805371.238501</v>
      </c>
      <c r="E42" s="305" t="n">
        <f aca="false">SUM('Revenue Allocation'!E38:I38)</f>
        <v>138161019.045597</v>
      </c>
      <c r="F42" s="305" t="n">
        <f aca="false">'Revenue Allocation'!K38</f>
        <v>0</v>
      </c>
      <c r="G42" s="295" t="n">
        <f aca="false">C42-D42</f>
        <v>0</v>
      </c>
      <c r="H42" s="305"/>
      <c r="I42" s="307"/>
      <c r="J42" s="308" t="n">
        <v>77089.6665930135</v>
      </c>
      <c r="K42" s="295" t="n">
        <f aca="false">-H42+I42-J42</f>
        <v>-77089.6665930135</v>
      </c>
      <c r="L42" s="295" t="n">
        <f aca="false">K42-G42-F42</f>
        <v>-77089.6665930135</v>
      </c>
      <c r="M42" s="50" t="n">
        <f aca="false">$C42-$E42+K42</f>
        <v>293567262.526311</v>
      </c>
      <c r="N42" s="50" t="n">
        <f aca="false">$C42-$E42+L42</f>
        <v>293567262.526311</v>
      </c>
      <c r="O42" s="51" t="n">
        <f aca="false">M42/'Test Year 2001 Sales and Revs.'!$F42</f>
        <v>0.0617437228500652</v>
      </c>
      <c r="P42" s="51" t="n">
        <f aca="false">N42/'Test Year 2001 Sales and Revs.'!$F42</f>
        <v>0.0617437228500652</v>
      </c>
    </row>
    <row r="43" customFormat="false" ht="12.75" hidden="false" customHeight="false" outlineLevel="0" collapsed="false">
      <c r="A43" s="86" t="s">
        <v>311</v>
      </c>
      <c r="B43" s="297" t="s">
        <v>231</v>
      </c>
      <c r="C43" s="305" t="n">
        <f aca="false">'Test Year 2001 Sales and Revs.'!G43</f>
        <v>462134549.108205</v>
      </c>
      <c r="D43" s="305" t="n">
        <f aca="false">'Test Year 2001 Sales and Revs.'!H43</f>
        <v>463206294.496314</v>
      </c>
      <c r="E43" s="305" t="n">
        <f aca="false">SUM('Revenue Allocation'!E39:I39)</f>
        <v>147470553.963253</v>
      </c>
      <c r="F43" s="305" t="n">
        <f aca="false">'Revenue Allocation'!K39</f>
        <v>1213547.41612431</v>
      </c>
      <c r="G43" s="295" t="n">
        <f aca="false">C43-D43</f>
        <v>-1071745.38810921</v>
      </c>
      <c r="H43" s="305"/>
      <c r="I43" s="307"/>
      <c r="J43" s="308" t="n">
        <v>110611.724450514</v>
      </c>
      <c r="K43" s="295" t="n">
        <f aca="false">-H43+I43-J43</f>
        <v>-110611.724450514</v>
      </c>
      <c r="L43" s="295" t="n">
        <f aca="false">K43-G43-F43</f>
        <v>-252413.752465614</v>
      </c>
      <c r="M43" s="50" t="n">
        <f aca="false">$C43-$E43+K43</f>
        <v>314553383.420501</v>
      </c>
      <c r="N43" s="50" t="n">
        <f aca="false">$C43-$E43+L43</f>
        <v>314411581.392486</v>
      </c>
      <c r="O43" s="51" t="n">
        <f aca="false">M43/'Test Year 2001 Sales and Revs.'!$F43</f>
        <v>0.0583010285588659</v>
      </c>
      <c r="P43" s="51" t="n">
        <f aca="false">N43/'Test Year 2001 Sales and Revs.'!$F43</f>
        <v>0.0582747462026085</v>
      </c>
    </row>
    <row r="44" customFormat="false" ht="12.75" hidden="false" customHeight="false" outlineLevel="0" collapsed="false">
      <c r="A44" s="86" t="s">
        <v>312</v>
      </c>
      <c r="B44" s="297" t="s">
        <v>231</v>
      </c>
      <c r="C44" s="306" t="n">
        <f aca="false">'Test Year 2001 Sales and Revs.'!G44</f>
        <v>1868731.8864175</v>
      </c>
      <c r="D44" s="306" t="n">
        <f aca="false">'Test Year 2001 Sales and Revs.'!H44</f>
        <v>1868731.8864175</v>
      </c>
      <c r="E44" s="306" t="n">
        <f aca="false">SUM('Revenue Allocation'!E40:I40)</f>
        <v>675598.106949536</v>
      </c>
      <c r="F44" s="306" t="n">
        <f aca="false">'Revenue Allocation'!K40</f>
        <v>0</v>
      </c>
      <c r="G44" s="238" t="n">
        <f aca="false">C44-D44</f>
        <v>0</v>
      </c>
      <c r="H44" s="306" t="n">
        <f aca="false">'Test Year 2001 Sales and Revs.'!L44</f>
        <v>-292061.861840781</v>
      </c>
      <c r="I44" s="309"/>
      <c r="J44" s="310" t="n">
        <v>6469.07864896751</v>
      </c>
      <c r="K44" s="238" t="n">
        <f aca="false">-H44+I44-J44</f>
        <v>285592.783191814</v>
      </c>
      <c r="L44" s="238" t="n">
        <f aca="false">K44-G44-F44</f>
        <v>285592.783191814</v>
      </c>
      <c r="M44" s="238" t="n">
        <f aca="false">$C44-$E44+K44</f>
        <v>1478726.56265978</v>
      </c>
      <c r="N44" s="238" t="n">
        <f aca="false">$C44-$E44+L44</f>
        <v>1478726.56265978</v>
      </c>
      <c r="O44" s="51" t="n">
        <f aca="false">M44/'Test Year 2001 Sales and Revs.'!$F44</f>
        <v>0.0603340639195073</v>
      </c>
      <c r="P44" s="51" t="n">
        <f aca="false">N44/'Test Year 2001 Sales and Revs.'!$F44</f>
        <v>0.0603340639195073</v>
      </c>
    </row>
    <row r="45" customFormat="false" ht="12.75" hidden="false" customHeight="false" outlineLevel="0" collapsed="false">
      <c r="A45" s="298" t="s">
        <v>313</v>
      </c>
      <c r="B45" s="297" t="s">
        <v>231</v>
      </c>
      <c r="C45" s="50" t="n">
        <f aca="false">SUM(C42:C44)</f>
        <v>895808652.233123</v>
      </c>
      <c r="D45" s="50" t="n">
        <f aca="false">SUM(D42:D44)</f>
        <v>896880397.621232</v>
      </c>
      <c r="E45" s="50" t="n">
        <f aca="false">SUM(E42:E44)</f>
        <v>286307171.115799</v>
      </c>
      <c r="F45" s="50" t="n">
        <f aca="false">SUM(F42:F44)</f>
        <v>1213547.41612431</v>
      </c>
      <c r="G45" s="295" t="n">
        <f aca="false">SUM(G42:G44)</f>
        <v>-1071745.38810921</v>
      </c>
      <c r="H45" s="50" t="n">
        <f aca="false">SUM(H42:H44)</f>
        <v>-292061.861840781</v>
      </c>
      <c r="J45" s="50" t="n">
        <f aca="false">SUM(J42:J44)</f>
        <v>194170.469692495</v>
      </c>
      <c r="K45" s="50" t="n">
        <f aca="false">SUM(K42:K44)</f>
        <v>97891.3921482863</v>
      </c>
      <c r="L45" s="50" t="n">
        <f aca="false">SUM(L42:L44)</f>
        <v>-43910.6358668141</v>
      </c>
      <c r="M45" s="50" t="n">
        <f aca="false">SUM(M42:M44)</f>
        <v>609599372.509472</v>
      </c>
      <c r="N45" s="50" t="n">
        <f aca="false">SUM(N42:N44)</f>
        <v>609457570.481457</v>
      </c>
      <c r="O45" s="51" t="n">
        <f aca="false">M45/'Test Year 2001 Sales and Revs.'!$F45</f>
        <v>0.0599147269484445</v>
      </c>
      <c r="P45" s="51" t="n">
        <f aca="false">N45/'Test Year 2001 Sales and Revs.'!$F45</f>
        <v>0.0599007898773575</v>
      </c>
    </row>
    <row r="46" customFormat="false" ht="12.75" hidden="false" customHeight="false" outlineLevel="0" collapsed="false">
      <c r="A46" s="298"/>
      <c r="B46" s="304"/>
    </row>
    <row r="47" customFormat="false" ht="12.75" hidden="false" customHeight="false" outlineLevel="0" collapsed="false">
      <c r="A47" s="86" t="s">
        <v>314</v>
      </c>
      <c r="B47" s="297" t="s">
        <v>231</v>
      </c>
      <c r="C47" s="306" t="n">
        <f aca="false">'Test Year 2001 Sales and Revs.'!G47</f>
        <v>3103936.42460821</v>
      </c>
      <c r="D47" s="306" t="n">
        <f aca="false">'Test Year 2001 Sales and Revs.'!H47</f>
        <v>3103936.42460821</v>
      </c>
      <c r="E47" s="306" t="n">
        <f aca="false">SUM('Revenue Allocation'!E45:I45)</f>
        <v>1190887.21288573</v>
      </c>
      <c r="F47" s="306"/>
      <c r="G47" s="238"/>
      <c r="H47" s="306"/>
      <c r="I47" s="309"/>
      <c r="J47" s="310" t="n">
        <v>0</v>
      </c>
      <c r="K47" s="238" t="n">
        <f aca="false">-H47+I47-J47</f>
        <v>0</v>
      </c>
      <c r="L47" s="238" t="n">
        <f aca="false">K47-G47-F47</f>
        <v>0</v>
      </c>
      <c r="M47" s="238" t="n">
        <f aca="false">$C47-$E47+K47</f>
        <v>1913049.21172248</v>
      </c>
      <c r="N47" s="238" t="n">
        <f aca="false">$C47-$E47+L47</f>
        <v>1913049.21172248</v>
      </c>
      <c r="O47" s="51" t="n">
        <f aca="false">M47/'Test Year 2001 Sales and Revs.'!$F47</f>
        <v>0.0414735737039609</v>
      </c>
      <c r="P47" s="51" t="n">
        <f aca="false">N47/'Test Year 2001 Sales and Revs.'!$F47</f>
        <v>0.0414735737039609</v>
      </c>
    </row>
    <row r="48" customFormat="false" ht="12.75" hidden="false" customHeight="false" outlineLevel="0" collapsed="false">
      <c r="A48" s="298" t="s">
        <v>315</v>
      </c>
      <c r="B48" s="304"/>
      <c r="C48" s="50" t="n">
        <f aca="false">C47</f>
        <v>3103936.42460821</v>
      </c>
      <c r="D48" s="50" t="n">
        <f aca="false">D47</f>
        <v>3103936.42460821</v>
      </c>
      <c r="E48" s="50" t="n">
        <f aca="false">E47</f>
        <v>1190887.21288573</v>
      </c>
      <c r="J48" s="50" t="n">
        <f aca="false">J47</f>
        <v>0</v>
      </c>
      <c r="K48" s="50" t="n">
        <f aca="false">K47</f>
        <v>0</v>
      </c>
      <c r="L48" s="50" t="n">
        <f aca="false">L47</f>
        <v>0</v>
      </c>
      <c r="M48" s="50" t="n">
        <f aca="false">M47</f>
        <v>1913049.21172248</v>
      </c>
      <c r="N48" s="50" t="n">
        <f aca="false">N47</f>
        <v>1913049.21172248</v>
      </c>
      <c r="O48" s="51" t="n">
        <f aca="false">M48/'Test Year 2001 Sales and Revs.'!$F48</f>
        <v>0.0414735737039609</v>
      </c>
      <c r="P48" s="51" t="n">
        <f aca="false">N48/'Test Year 2001 Sales and Revs.'!$F48</f>
        <v>0.0414735737039609</v>
      </c>
    </row>
    <row r="49" customFormat="false" ht="12.75" hidden="false" customHeight="false" outlineLevel="0" collapsed="false">
      <c r="A49" s="298"/>
      <c r="B49" s="304"/>
    </row>
    <row r="50" customFormat="false" ht="12.75" hidden="false" customHeight="false" outlineLevel="0" collapsed="false">
      <c r="A50" s="298"/>
      <c r="B50" s="304"/>
    </row>
    <row r="51" customFormat="false" ht="12.75" hidden="false" customHeight="false" outlineLevel="0" collapsed="false">
      <c r="A51" s="86" t="s">
        <v>316</v>
      </c>
      <c r="B51" s="297" t="s">
        <v>236</v>
      </c>
      <c r="C51" s="50" t="n">
        <f aca="false">C35</f>
        <v>916124.194199268</v>
      </c>
      <c r="D51" s="50" t="n">
        <f aca="false">D35</f>
        <v>916124.194199268</v>
      </c>
      <c r="E51" s="50" t="n">
        <f aca="false">E35</f>
        <v>184231.073162508</v>
      </c>
      <c r="F51" s="50" t="n">
        <f aca="false">F35</f>
        <v>0</v>
      </c>
      <c r="G51" s="295" t="n">
        <f aca="false">G35</f>
        <v>0</v>
      </c>
      <c r="H51" s="50" t="n">
        <f aca="false">H35</f>
        <v>0</v>
      </c>
      <c r="J51" s="50" t="n">
        <f aca="false">J35</f>
        <v>5940.86946153554</v>
      </c>
      <c r="K51" s="50" t="n">
        <f aca="false">K35</f>
        <v>-5940.86946153554</v>
      </c>
      <c r="L51" s="50" t="n">
        <f aca="false">L35</f>
        <v>-5940.86946153554</v>
      </c>
      <c r="M51" s="50" t="n">
        <f aca="false">M35</f>
        <v>725952.251575225</v>
      </c>
      <c r="N51" s="50" t="n">
        <f aca="false">N35</f>
        <v>725952.251575225</v>
      </c>
      <c r="O51" s="51" t="n">
        <f aca="false">M51/'Test Year 2001 Sales and Revs.'!$F51</f>
        <v>0.0669187104814653</v>
      </c>
      <c r="P51" s="51" t="n">
        <f aca="false">N51/'Test Year 2001 Sales and Revs.'!$F51</f>
        <v>0.0669187104814653</v>
      </c>
    </row>
    <row r="52" customFormat="false" ht="12.75" hidden="false" customHeight="false" outlineLevel="0" collapsed="false">
      <c r="A52" s="86" t="s">
        <v>316</v>
      </c>
      <c r="B52" s="297" t="s">
        <v>234</v>
      </c>
      <c r="C52" s="50" t="n">
        <f aca="false">C40</f>
        <v>60554692.1409793</v>
      </c>
      <c r="D52" s="50" t="n">
        <f aca="false">D40</f>
        <v>60555369.9219878</v>
      </c>
      <c r="E52" s="50" t="n">
        <f aca="false">E40</f>
        <v>16876440.6455261</v>
      </c>
      <c r="F52" s="50" t="n">
        <f aca="false">F40</f>
        <v>905.164531307569</v>
      </c>
      <c r="G52" s="295" t="n">
        <f aca="false">G40</f>
        <v>-677.781008452177</v>
      </c>
      <c r="H52" s="50" t="n">
        <f aca="false">H40</f>
        <v>-480325.583984666</v>
      </c>
      <c r="J52" s="50" t="n">
        <f aca="false">J40</f>
        <v>78721.0963886743</v>
      </c>
      <c r="K52" s="50" t="n">
        <f aca="false">K40</f>
        <v>401604.487595992</v>
      </c>
      <c r="L52" s="50" t="n">
        <f aca="false">L40</f>
        <v>401377.104073136</v>
      </c>
      <c r="M52" s="50" t="n">
        <f aca="false">M40</f>
        <v>44079855.9830492</v>
      </c>
      <c r="N52" s="50" t="n">
        <f aca="false">N40</f>
        <v>44079628.5995264</v>
      </c>
      <c r="O52" s="51" t="n">
        <f aca="false">M52/'Test Year 2001 Sales and Revs.'!$F52</f>
        <v>0.056227655051451</v>
      </c>
      <c r="P52" s="51" t="n">
        <f aca="false">N52/'Test Year 2001 Sales and Revs.'!$F52</f>
        <v>0.056227365004172</v>
      </c>
    </row>
    <row r="53" customFormat="false" ht="12.75" hidden="false" customHeight="false" outlineLevel="0" collapsed="false">
      <c r="A53" s="86" t="s">
        <v>316</v>
      </c>
      <c r="B53" s="297" t="s">
        <v>231</v>
      </c>
      <c r="C53" s="238" t="n">
        <f aca="false">C45+C47</f>
        <v>898912588.657731</v>
      </c>
      <c r="D53" s="238" t="n">
        <f aca="false">D45+D47</f>
        <v>899984334.045841</v>
      </c>
      <c r="E53" s="238" t="n">
        <f aca="false">E45+E47</f>
        <v>287498058.328685</v>
      </c>
      <c r="F53" s="238" t="n">
        <f aca="false">F45+F47</f>
        <v>1213547.41612431</v>
      </c>
      <c r="G53" s="238" t="n">
        <f aca="false">G45+G47</f>
        <v>-1071745.38810921</v>
      </c>
      <c r="H53" s="238" t="n">
        <f aca="false">H45+H47</f>
        <v>-292061.861840781</v>
      </c>
      <c r="I53" s="238"/>
      <c r="J53" s="238" t="n">
        <f aca="false">J45+J47</f>
        <v>194170.469692495</v>
      </c>
      <c r="K53" s="238" t="n">
        <f aca="false">K45+K47</f>
        <v>97891.3921482863</v>
      </c>
      <c r="L53" s="238" t="n">
        <f aca="false">L45+L47</f>
        <v>-43910.6358668141</v>
      </c>
      <c r="M53" s="238" t="n">
        <f aca="false">M45+M47</f>
        <v>611512421.721195</v>
      </c>
      <c r="N53" s="238" t="n">
        <f aca="false">N45+N47</f>
        <v>611370619.69318</v>
      </c>
      <c r="O53" s="51" t="n">
        <f aca="false">M53/'Test Year 2001 Sales and Revs.'!$F53</f>
        <v>0.0598314993501433</v>
      </c>
      <c r="P53" s="51" t="n">
        <f aca="false">N53/'Test Year 2001 Sales and Revs.'!$F53</f>
        <v>0.0598176251790788</v>
      </c>
    </row>
    <row r="54" customFormat="false" ht="12.75" hidden="false" customHeight="false" outlineLevel="0" collapsed="false">
      <c r="A54" s="298" t="s">
        <v>479</v>
      </c>
      <c r="B54" s="304"/>
      <c r="C54" s="50" t="n">
        <f aca="false">SUM(C51:C53)</f>
        <v>960383404.99291</v>
      </c>
      <c r="D54" s="50" t="n">
        <f aca="false">SUM(D51:D53)</f>
        <v>961455828.162028</v>
      </c>
      <c r="E54" s="50" t="n">
        <f aca="false">SUM(E51:E53)</f>
        <v>304558730.047374</v>
      </c>
      <c r="F54" s="50" t="n">
        <f aca="false">SUM(F51:F53)</f>
        <v>1214452.58065562</v>
      </c>
      <c r="G54" s="295" t="n">
        <f aca="false">SUM(G51:G53)</f>
        <v>-1072423.16911766</v>
      </c>
      <c r="H54" s="50" t="n">
        <f aca="false">SUM(H51:H53)</f>
        <v>-772387.445825447</v>
      </c>
      <c r="J54" s="50" t="n">
        <f aca="false">SUM(J51:J53)</f>
        <v>278832.435542705</v>
      </c>
      <c r="K54" s="50" t="n">
        <f aca="false">SUM(K51:K53)</f>
        <v>493555.010282742</v>
      </c>
      <c r="L54" s="50" t="n">
        <f aca="false">SUM(L51:L53)</f>
        <v>351525.598744787</v>
      </c>
      <c r="M54" s="50" t="n">
        <f aca="false">SUM(M51:M53)</f>
        <v>656318229.955819</v>
      </c>
      <c r="N54" s="50" t="n">
        <f aca="false">SUM(N51:N53)</f>
        <v>656176200.544281</v>
      </c>
      <c r="O54" s="51" t="n">
        <f aca="false">M54/'Test Year 2001 Sales and Revs.'!$F54</f>
        <v>0.0595819970975509</v>
      </c>
      <c r="P54" s="51" t="n">
        <f aca="false">N54/'Test Year 2001 Sales and Revs.'!$F54</f>
        <v>0.0595691033585082</v>
      </c>
    </row>
    <row r="55" customFormat="false" ht="12.75" hidden="false" customHeight="false" outlineLevel="0" collapsed="false">
      <c r="A55" s="298"/>
      <c r="B55" s="297"/>
    </row>
    <row r="56" customFormat="false" ht="12.75" hidden="false" customHeight="false" outlineLevel="0" collapsed="false">
      <c r="A56" s="298" t="s">
        <v>317</v>
      </c>
      <c r="B56" s="297" t="s">
        <v>231</v>
      </c>
      <c r="C56" s="305" t="n">
        <f aca="false">'Test Year 2001 Sales and Revs.'!G56</f>
        <v>42969466.2021123</v>
      </c>
      <c r="D56" s="305" t="n">
        <f aca="false">'Test Year 2001 Sales and Revs.'!H56</f>
        <v>42969466.2021123</v>
      </c>
      <c r="E56" s="305" t="n">
        <f aca="false">SUM('Revenue Allocation'!E53:I53)</f>
        <v>28599898.0982263</v>
      </c>
      <c r="F56" s="305"/>
      <c r="H56" s="305"/>
      <c r="I56" s="305"/>
      <c r="J56" s="305"/>
      <c r="K56" s="295" t="n">
        <f aca="false">-H56+I56-J56</f>
        <v>0</v>
      </c>
      <c r="L56" s="295" t="n">
        <f aca="false">K56-G56-F56</f>
        <v>0</v>
      </c>
      <c r="M56" s="50" t="n">
        <f aca="false">$C56-$E56+K56</f>
        <v>14369568.103886</v>
      </c>
      <c r="N56" s="50" t="n">
        <f aca="false">$C56-$E56+L56</f>
        <v>14369568.103886</v>
      </c>
      <c r="O56" s="51" t="n">
        <f aca="false">M56/'Test Year 2001 Sales and Revs.'!$F56</f>
        <v>0.0409049282135761</v>
      </c>
      <c r="P56" s="51" t="n">
        <f aca="false">N56/'Test Year 2001 Sales and Revs.'!$F56</f>
        <v>0.0409049282135761</v>
      </c>
    </row>
    <row r="57" customFormat="false" ht="12.75" hidden="false" customHeight="false" outlineLevel="0" collapsed="false">
      <c r="A57" s="298"/>
      <c r="B57" s="297"/>
    </row>
    <row r="58" customFormat="false" ht="12.75" hidden="false" customHeight="false" outlineLevel="0" collapsed="false">
      <c r="A58" s="298" t="s">
        <v>318</v>
      </c>
      <c r="B58" s="297"/>
    </row>
    <row r="59" customFormat="false" ht="12.75" hidden="true" customHeight="true" outlineLevel="0" collapsed="false">
      <c r="A59" s="86"/>
      <c r="B59" s="297"/>
    </row>
    <row r="60" customFormat="false" ht="12.75" hidden="true" customHeight="true" outlineLevel="0" collapsed="false">
      <c r="A60" s="86"/>
      <c r="B60" s="297"/>
    </row>
    <row r="61" customFormat="false" ht="12.75" hidden="true" customHeight="true" outlineLevel="0" collapsed="false">
      <c r="A61" s="86"/>
      <c r="B61" s="297"/>
    </row>
    <row r="62" customFormat="false" ht="12.75" hidden="true" customHeight="true" outlineLevel="0" collapsed="false">
      <c r="A62" s="298"/>
      <c r="B62" s="297"/>
    </row>
    <row r="63" customFormat="false" ht="12.75" hidden="true" customHeight="true" outlineLevel="0" collapsed="false">
      <c r="A63" s="298"/>
      <c r="B63" s="297"/>
    </row>
    <row r="64" customFormat="false" ht="12.75" hidden="true" customHeight="true" outlineLevel="0" collapsed="false">
      <c r="A64" s="86"/>
      <c r="B64" s="297"/>
    </row>
    <row r="65" customFormat="false" ht="12.75" hidden="true" customHeight="true" outlineLevel="0" collapsed="false">
      <c r="A65" s="86"/>
      <c r="B65" s="297"/>
    </row>
    <row r="66" customFormat="false" ht="12.75" hidden="true" customHeight="true" outlineLevel="0" collapsed="false">
      <c r="A66" s="86"/>
      <c r="B66" s="297"/>
    </row>
    <row r="67" customFormat="false" ht="12.75" hidden="true" customHeight="true" outlineLevel="0" collapsed="false">
      <c r="A67" s="298"/>
      <c r="B67" s="297"/>
    </row>
    <row r="68" customFormat="false" ht="12.75" hidden="true" customHeight="true" outlineLevel="0" collapsed="false">
      <c r="A68" s="298"/>
      <c r="B68" s="297"/>
    </row>
    <row r="69" customFormat="false" ht="12.75" hidden="false" customHeight="false" outlineLevel="0" collapsed="false">
      <c r="A69" s="298" t="s">
        <v>380</v>
      </c>
      <c r="B69" s="297" t="s">
        <v>236</v>
      </c>
      <c r="C69" s="305" t="n">
        <f aca="false">'Test Year 2001 Sales and Revs.'!G69</f>
        <v>11949727.2419501</v>
      </c>
      <c r="D69" s="305" t="n">
        <f aca="false">'Test Year 2001 Sales and Revs.'!H69</f>
        <v>11949727.2419501</v>
      </c>
      <c r="E69" s="305" t="n">
        <f aca="false">SUM('Revenue Allocation'!E66:I66)</f>
        <v>7859139.65785073</v>
      </c>
      <c r="F69" s="305"/>
      <c r="H69" s="305"/>
      <c r="I69" s="307"/>
      <c r="J69" s="308" t="n">
        <v>866596.158640675</v>
      </c>
      <c r="K69" s="295" t="n">
        <f aca="false">-H69+I69-J69</f>
        <v>-866596.158640675</v>
      </c>
      <c r="L69" s="295" t="n">
        <f aca="false">K69-G69-F69</f>
        <v>-866596.158640675</v>
      </c>
      <c r="M69" s="50" t="n">
        <f aca="false">$C69-$E69+K69</f>
        <v>3223991.42545869</v>
      </c>
      <c r="N69" s="50" t="n">
        <f aca="false">$C69-$E69+L69</f>
        <v>3223991.42545869</v>
      </c>
      <c r="O69" s="51" t="n">
        <f aca="false">M69/'Test Year 2001 Sales and Revs.'!$F69</f>
        <v>0.0249368928284267</v>
      </c>
      <c r="P69" s="51" t="n">
        <f aca="false">N69/'Test Year 2001 Sales and Revs.'!$F69</f>
        <v>0.0249368928284267</v>
      </c>
    </row>
    <row r="70" customFormat="false" ht="12.75" hidden="false" customHeight="false" outlineLevel="0" collapsed="false">
      <c r="A70" s="298"/>
      <c r="B70" s="297" t="s">
        <v>234</v>
      </c>
      <c r="C70" s="305" t="n">
        <f aca="false">'Test Year 2001 Sales and Revs.'!G70</f>
        <v>4028603.73139905</v>
      </c>
      <c r="D70" s="305" t="n">
        <f aca="false">'Test Year 2001 Sales and Revs.'!H70</f>
        <v>4028603.73139905</v>
      </c>
      <c r="E70" s="305" t="n">
        <f aca="false">SUM('Revenue Allocation'!E67:I67)</f>
        <v>2822929.51449933</v>
      </c>
      <c r="F70" s="305"/>
      <c r="H70" s="305"/>
      <c r="I70" s="307"/>
      <c r="J70" s="308" t="n">
        <v>29315.9556353073</v>
      </c>
      <c r="K70" s="295" t="n">
        <f aca="false">-H70+I70-J70</f>
        <v>-29315.9556353073</v>
      </c>
      <c r="L70" s="295" t="n">
        <f aca="false">K70-G70-F70</f>
        <v>-29315.9556353073</v>
      </c>
      <c r="M70" s="50" t="n">
        <f aca="false">$C70-$E70+K70</f>
        <v>1176358.26126441</v>
      </c>
      <c r="N70" s="50" t="n">
        <f aca="false">$C70-$E70+L70</f>
        <v>1176358.26126441</v>
      </c>
      <c r="O70" s="51" t="n">
        <f aca="false">M70/'Test Year 2001 Sales and Revs.'!$F70</f>
        <v>0.0395701268735941</v>
      </c>
      <c r="P70" s="51" t="n">
        <f aca="false">N70/'Test Year 2001 Sales and Revs.'!$F70</f>
        <v>0.0395701268735941</v>
      </c>
    </row>
    <row r="71" customFormat="false" ht="12.75" hidden="false" customHeight="false" outlineLevel="0" collapsed="false">
      <c r="A71" s="298"/>
      <c r="B71" s="297" t="s">
        <v>231</v>
      </c>
      <c r="C71" s="306" t="n">
        <f aca="false">'Test Year 2001 Sales and Revs.'!G71</f>
        <v>807648.607466561</v>
      </c>
      <c r="D71" s="306" t="n">
        <f aca="false">'Test Year 2001 Sales and Revs.'!H71</f>
        <v>807648.607466561</v>
      </c>
      <c r="E71" s="306" t="n">
        <f aca="false">SUM('Revenue Allocation'!E68:I68)</f>
        <v>595737.54420157</v>
      </c>
      <c r="F71" s="306"/>
      <c r="G71" s="238"/>
      <c r="H71" s="306"/>
      <c r="I71" s="309"/>
      <c r="J71" s="310" t="n">
        <v>4695.15308545082</v>
      </c>
      <c r="K71" s="238" t="n">
        <f aca="false">-H71+I71-J71</f>
        <v>-4695.15308545082</v>
      </c>
      <c r="L71" s="238" t="n">
        <f aca="false">K71-G71-F71</f>
        <v>-4695.15308545082</v>
      </c>
      <c r="M71" s="238" t="n">
        <f aca="false">$C71-$E71+K71</f>
        <v>207215.91017954</v>
      </c>
      <c r="N71" s="238" t="n">
        <f aca="false">$C71-$E71+L71</f>
        <v>207215.91017954</v>
      </c>
      <c r="O71" s="51" t="n">
        <f aca="false">M71/'Test Year 2001 Sales and Revs.'!$F71</f>
        <v>0.0281846456045517</v>
      </c>
      <c r="P71" s="51" t="n">
        <f aca="false">N71/'Test Year 2001 Sales and Revs.'!$F71</f>
        <v>0.0281846456045517</v>
      </c>
    </row>
    <row r="72" customFormat="false" ht="12.75" hidden="false" customHeight="false" outlineLevel="0" collapsed="false">
      <c r="A72" s="298"/>
      <c r="B72" s="297"/>
      <c r="J72" s="50" t="n">
        <f aca="false">SUM(J69:J71)</f>
        <v>900607.267361433</v>
      </c>
      <c r="K72" s="50" t="n">
        <f aca="false">SUM(K69:K71)</f>
        <v>-900607.267361433</v>
      </c>
      <c r="L72" s="50" t="n">
        <f aca="false">SUM(L69:L71)</f>
        <v>-900607.267361433</v>
      </c>
      <c r="M72" s="50" t="n">
        <f aca="false">SUM(M69:M71)</f>
        <v>4607565.59690264</v>
      </c>
      <c r="N72" s="50" t="n">
        <f aca="false">SUM(N69:N71)</f>
        <v>4607565.59690264</v>
      </c>
    </row>
    <row r="73" customFormat="false" ht="12.75" hidden="false" customHeight="false" outlineLevel="0" collapsed="false">
      <c r="A73" s="298" t="s">
        <v>323</v>
      </c>
      <c r="B73" s="297"/>
      <c r="C73" s="50" t="n">
        <f aca="false">SUM(C69:C71)</f>
        <v>16785979.5808157</v>
      </c>
      <c r="D73" s="50" t="n">
        <f aca="false">SUM(D69:D71)</f>
        <v>16785979.5808157</v>
      </c>
      <c r="E73" s="50" t="n">
        <f aca="false">SUM(E69:E71)</f>
        <v>11277806.7165516</v>
      </c>
      <c r="M73" s="50" t="n">
        <f aca="false">SUM(M69:M71)</f>
        <v>4607565.59690264</v>
      </c>
      <c r="N73" s="50" t="n">
        <f aca="false">SUM(N69:N71)</f>
        <v>4607565.59690264</v>
      </c>
      <c r="O73" s="51" t="n">
        <f aca="false">M73/'Test Year 2001 Sales and Revs.'!$F73</f>
        <v>0.0276952661088139</v>
      </c>
      <c r="P73" s="51" t="n">
        <f aca="false">N73/'Test Year 2001 Sales and Revs.'!$F73</f>
        <v>0.0276952661088139</v>
      </c>
    </row>
    <row r="74" customFormat="false" ht="12.75" hidden="false" customHeight="false" outlineLevel="0" collapsed="false">
      <c r="A74" s="298"/>
      <c r="B74" s="297"/>
    </row>
    <row r="75" customFormat="false" ht="12.75" hidden="false" customHeight="false" outlineLevel="0" collapsed="false">
      <c r="A75" s="86" t="s">
        <v>480</v>
      </c>
      <c r="B75" s="304" t="s">
        <v>231</v>
      </c>
      <c r="C75" s="305" t="n">
        <f aca="false">'Test Year 2001 Sales and Revs.'!G75</f>
        <v>37890961.7857262</v>
      </c>
      <c r="D75" s="305" t="n">
        <f aca="false">'Test Year 2001 Sales and Revs.'!H75</f>
        <v>37890961.7857262</v>
      </c>
      <c r="E75" s="305" t="n">
        <f aca="false">SUM('Revenue Allocation'!E71:I71)</f>
        <v>22017163.4549124</v>
      </c>
      <c r="F75" s="305"/>
      <c r="H75" s="305"/>
      <c r="I75" s="305"/>
      <c r="J75" s="305"/>
      <c r="K75" s="295" t="n">
        <f aca="false">-H75+I75-J75</f>
        <v>0</v>
      </c>
      <c r="L75" s="295" t="n">
        <f aca="false">K75-G75-F75</f>
        <v>0</v>
      </c>
      <c r="M75" s="50" t="n">
        <f aca="false">$C75-$E75+K75</f>
        <v>15873798.3308138</v>
      </c>
      <c r="N75" s="50" t="n">
        <f aca="false">$C75-$E75+L75</f>
        <v>15873798.3308138</v>
      </c>
      <c r="O75" s="51" t="n">
        <f aca="false">M75/'Test Year 2001 Sales and Revs.'!$F75</f>
        <v>0.08832200759049</v>
      </c>
      <c r="P75" s="51" t="n">
        <f aca="false">N75/'Test Year 2001 Sales and Revs.'!$F75</f>
        <v>0.08832200759049</v>
      </c>
    </row>
    <row r="76" customFormat="false" ht="12.75" hidden="false" customHeight="false" outlineLevel="0" collapsed="false">
      <c r="A76" s="86" t="s">
        <v>325</v>
      </c>
      <c r="B76" s="304" t="s">
        <v>231</v>
      </c>
      <c r="C76" s="305" t="n">
        <f aca="false">'Test Year 2001 Sales and Revs.'!G76</f>
        <v>4320739.15077903</v>
      </c>
      <c r="D76" s="305" t="n">
        <f aca="false">'Test Year 2001 Sales and Revs.'!H76</f>
        <v>4320739.15077903</v>
      </c>
      <c r="E76" s="305" t="n">
        <f aca="false">SUM('Revenue Allocation'!E72:I72)</f>
        <v>2431632.15456106</v>
      </c>
      <c r="F76" s="305"/>
      <c r="H76" s="305"/>
      <c r="I76" s="305"/>
      <c r="J76" s="305"/>
      <c r="K76" s="295" t="n">
        <f aca="false">-H76+I76-J76</f>
        <v>0</v>
      </c>
      <c r="L76" s="295" t="n">
        <f aca="false">K76-G76-F76</f>
        <v>0</v>
      </c>
      <c r="M76" s="50" t="n">
        <f aca="false">$C76-$E76+K76</f>
        <v>1889106.99621797</v>
      </c>
      <c r="N76" s="50" t="n">
        <f aca="false">$C76-$E76+L76</f>
        <v>1889106.99621797</v>
      </c>
      <c r="O76" s="51" t="n">
        <f aca="false">M76/'Test Year 2001 Sales and Revs.'!$F76</f>
        <v>0.0656928378351637</v>
      </c>
      <c r="P76" s="51" t="n">
        <f aca="false">N76/'Test Year 2001 Sales and Revs.'!$F76</f>
        <v>0.0656928378351637</v>
      </c>
    </row>
    <row r="77" customFormat="false" ht="12.75" hidden="false" customHeight="false" outlineLevel="0" collapsed="false">
      <c r="A77" s="86" t="s">
        <v>326</v>
      </c>
      <c r="B77" s="304" t="s">
        <v>231</v>
      </c>
      <c r="C77" s="305" t="n">
        <f aca="false">'Test Year 2001 Sales and Revs.'!G77</f>
        <v>4615287.22646707</v>
      </c>
      <c r="D77" s="305" t="n">
        <f aca="false">'Test Year 2001 Sales and Revs.'!H77</f>
        <v>4615287.22646707</v>
      </c>
      <c r="E77" s="305" t="n">
        <f aca="false">SUM('Revenue Allocation'!E73:I73)</f>
        <v>2476153.6094812</v>
      </c>
      <c r="F77" s="305"/>
      <c r="H77" s="305"/>
      <c r="I77" s="305"/>
      <c r="J77" s="305"/>
      <c r="K77" s="295" t="n">
        <f aca="false">-H77+I77-J77</f>
        <v>0</v>
      </c>
      <c r="L77" s="295" t="n">
        <f aca="false">K77-G77-F77</f>
        <v>0</v>
      </c>
      <c r="M77" s="50" t="n">
        <f aca="false">$C77-$E77+K77</f>
        <v>2139133.61698588</v>
      </c>
      <c r="N77" s="50" t="n">
        <f aca="false">$C77-$E77+L77</f>
        <v>2139133.61698588</v>
      </c>
      <c r="O77" s="51" t="n">
        <f aca="false">M77/'Test Year 2001 Sales and Revs.'!$F77</f>
        <v>0.0686110670014621</v>
      </c>
      <c r="P77" s="51" t="n">
        <f aca="false">N77/'Test Year 2001 Sales and Revs.'!$F77</f>
        <v>0.0686110670014621</v>
      </c>
    </row>
    <row r="78" customFormat="false" ht="12.75" hidden="false" customHeight="false" outlineLevel="0" collapsed="false">
      <c r="A78" s="86" t="s">
        <v>327</v>
      </c>
      <c r="B78" s="304" t="s">
        <v>231</v>
      </c>
      <c r="C78" s="305" t="n">
        <f aca="false">'Test Year 2001 Sales and Revs.'!G78</f>
        <v>19414902.0535582</v>
      </c>
      <c r="D78" s="305" t="n">
        <f aca="false">'Test Year 2001 Sales and Revs.'!H78</f>
        <v>19414902.0535582</v>
      </c>
      <c r="E78" s="305" t="n">
        <f aca="false">SUM('Revenue Allocation'!E74:I74)</f>
        <v>10719650.8780318</v>
      </c>
      <c r="F78" s="305"/>
      <c r="H78" s="305"/>
      <c r="I78" s="305"/>
      <c r="J78" s="305"/>
      <c r="K78" s="295" t="n">
        <f aca="false">-H78+I78-J78</f>
        <v>0</v>
      </c>
      <c r="L78" s="295" t="n">
        <f aca="false">K78-G78-F78</f>
        <v>0</v>
      </c>
      <c r="M78" s="50" t="n">
        <f aca="false">$C78-$E78+K78</f>
        <v>8695251.17552642</v>
      </c>
      <c r="N78" s="50" t="n">
        <f aca="false">$C78-$E78+L78</f>
        <v>8695251.17552642</v>
      </c>
      <c r="O78" s="51" t="n">
        <f aca="false">M78/'Test Year 2001 Sales and Revs.'!$F78</f>
        <v>0.0638359872285493</v>
      </c>
      <c r="P78" s="51" t="n">
        <f aca="false">N78/'Test Year 2001 Sales and Revs.'!$F78</f>
        <v>0.0638359872285493</v>
      </c>
    </row>
    <row r="79" customFormat="false" ht="12.75" hidden="false" customHeight="false" outlineLevel="0" collapsed="false">
      <c r="A79" s="86" t="s">
        <v>328</v>
      </c>
      <c r="B79" s="304" t="s">
        <v>231</v>
      </c>
      <c r="C79" s="305" t="n">
        <f aca="false">'Test Year 2001 Sales and Revs.'!G79</f>
        <v>9483825.39358472</v>
      </c>
      <c r="D79" s="305" t="n">
        <f aca="false">'Test Year 2001 Sales and Revs.'!H79</f>
        <v>9483825.39358472</v>
      </c>
      <c r="E79" s="305" t="n">
        <f aca="false">SUM('Revenue Allocation'!E75:I75)</f>
        <v>4556747.08292299</v>
      </c>
      <c r="F79" s="305"/>
      <c r="H79" s="305"/>
      <c r="I79" s="305"/>
      <c r="J79" s="305"/>
      <c r="K79" s="295" t="n">
        <f aca="false">-H79+I79-J79</f>
        <v>0</v>
      </c>
      <c r="L79" s="295" t="n">
        <f aca="false">K79-G79-F79</f>
        <v>0</v>
      </c>
      <c r="M79" s="50" t="n">
        <f aca="false">$C79-$E79+K79</f>
        <v>4927078.31066173</v>
      </c>
      <c r="N79" s="50" t="n">
        <f aca="false">$C79-$E79+L79</f>
        <v>4927078.31066173</v>
      </c>
      <c r="O79" s="51" t="n">
        <f aca="false">M79/'Test Year 2001 Sales and Revs.'!$F79</f>
        <v>0.0589689089383923</v>
      </c>
      <c r="P79" s="51" t="n">
        <f aca="false">N79/'Test Year 2001 Sales and Revs.'!$F79</f>
        <v>0.0589689089383923</v>
      </c>
    </row>
    <row r="80" customFormat="false" ht="12.75" hidden="false" customHeight="false" outlineLevel="0" collapsed="false">
      <c r="A80" s="86" t="s">
        <v>329</v>
      </c>
      <c r="B80" s="304"/>
      <c r="C80" s="305" t="n">
        <f aca="false">'Test Year 2001 Sales and Revs.'!G80</f>
        <v>40438630.7631408</v>
      </c>
      <c r="D80" s="305" t="n">
        <f aca="false">'Test Year 2001 Sales and Revs.'!H80</f>
        <v>40438630.7631408</v>
      </c>
      <c r="E80" s="305" t="n">
        <f aca="false">SUM('Revenue Allocation'!E76:I76)</f>
        <v>19671852.7402783</v>
      </c>
      <c r="F80" s="305"/>
      <c r="H80" s="305"/>
      <c r="I80" s="307"/>
      <c r="J80" s="308" t="n">
        <v>6534.39097404271</v>
      </c>
      <c r="K80" s="295" t="n">
        <f aca="false">-H80+I80-J80</f>
        <v>-6534.39097404271</v>
      </c>
      <c r="L80" s="295" t="n">
        <f aca="false">K80-G80-F80</f>
        <v>-6534.39097404271</v>
      </c>
      <c r="M80" s="50" t="n">
        <f aca="false">$C80-$E80+K80</f>
        <v>20760243.6318884</v>
      </c>
      <c r="N80" s="50" t="n">
        <f aca="false">$C80-$E80+L80</f>
        <v>20760243.6318884</v>
      </c>
      <c r="O80" s="51" t="n">
        <f aca="false">M80/'Test Year 2001 Sales and Revs.'!$F80</f>
        <v>0.083399163928728</v>
      </c>
      <c r="P80" s="51" t="n">
        <f aca="false">N80/'Test Year 2001 Sales and Revs.'!$F80</f>
        <v>0.083399163928728</v>
      </c>
    </row>
    <row r="81" customFormat="false" ht="12.75" hidden="false" customHeight="false" outlineLevel="0" collapsed="false">
      <c r="A81" s="86" t="s">
        <v>330</v>
      </c>
      <c r="B81" s="304" t="s">
        <v>231</v>
      </c>
      <c r="C81" s="305" t="n">
        <f aca="false">'Test Year 2001 Sales and Revs.'!G81</f>
        <v>3626446.40480184</v>
      </c>
      <c r="D81" s="305" t="n">
        <f aca="false">'Test Year 2001 Sales and Revs.'!H81</f>
        <v>3626446.40480184</v>
      </c>
      <c r="E81" s="305" t="n">
        <f aca="false">SUM('Revenue Allocation'!E77:I77)</f>
        <v>1661040.23651746</v>
      </c>
      <c r="F81" s="305"/>
      <c r="H81" s="305"/>
      <c r="I81" s="307"/>
      <c r="J81" s="308" t="n">
        <v>775.585707000485</v>
      </c>
      <c r="K81" s="295" t="n">
        <f aca="false">-H81+I81-J81</f>
        <v>-775.585707000485</v>
      </c>
      <c r="L81" s="295" t="n">
        <f aca="false">K81-G81-F81</f>
        <v>-775.585707000485</v>
      </c>
      <c r="M81" s="50" t="n">
        <f aca="false">$C81-$E81+K81</f>
        <v>1964630.58257738</v>
      </c>
      <c r="N81" s="50" t="n">
        <f aca="false">$C81-$E81+L81</f>
        <v>1964630.58257738</v>
      </c>
      <c r="O81" s="51" t="n">
        <f aca="false">M81/'Test Year 2001 Sales and Revs.'!$F81</f>
        <v>0.0762288670562007</v>
      </c>
      <c r="P81" s="51" t="n">
        <f aca="false">N81/'Test Year 2001 Sales and Revs.'!$F81</f>
        <v>0.0762288670562007</v>
      </c>
    </row>
    <row r="82" customFormat="false" ht="12.75" hidden="false" customHeight="false" outlineLevel="0" collapsed="false">
      <c r="A82" s="86" t="s">
        <v>331</v>
      </c>
      <c r="B82" s="304" t="s">
        <v>231</v>
      </c>
      <c r="C82" s="305" t="n">
        <f aca="false">'Test Year 2001 Sales and Revs.'!G82</f>
        <v>2416368.26609974</v>
      </c>
      <c r="D82" s="305" t="n">
        <f aca="false">'Test Year 2001 Sales and Revs.'!H82</f>
        <v>2416368.26609974</v>
      </c>
      <c r="E82" s="305" t="n">
        <f aca="false">SUM('Revenue Allocation'!E78:I78)</f>
        <v>1148872.99301827</v>
      </c>
      <c r="F82" s="305"/>
      <c r="H82" s="305"/>
      <c r="I82" s="307"/>
      <c r="J82" s="308" t="n">
        <v>273.889080988955</v>
      </c>
      <c r="K82" s="295" t="n">
        <f aca="false">-H82+I82-J82</f>
        <v>-273.889080988955</v>
      </c>
      <c r="L82" s="295" t="n">
        <f aca="false">K82-G82-F82</f>
        <v>-273.889080988955</v>
      </c>
      <c r="M82" s="50" t="n">
        <f aca="false">$C82-$E82+K82</f>
        <v>1267221.38400048</v>
      </c>
      <c r="N82" s="50" t="n">
        <f aca="false">$C82-$E82+L82</f>
        <v>1267221.38400048</v>
      </c>
      <c r="O82" s="51" t="n">
        <f aca="false">M82/'Test Year 2001 Sales and Revs.'!$F82</f>
        <v>0.0694675822871879</v>
      </c>
      <c r="P82" s="51" t="n">
        <f aca="false">N82/'Test Year 2001 Sales and Revs.'!$F82</f>
        <v>0.0694675822871879</v>
      </c>
    </row>
    <row r="83" customFormat="false" ht="12.75" hidden="false" customHeight="false" outlineLevel="0" collapsed="false">
      <c r="A83" s="86" t="s">
        <v>332</v>
      </c>
      <c r="B83" s="304" t="s">
        <v>231</v>
      </c>
      <c r="C83" s="305" t="n">
        <f aca="false">'Test Year 2001 Sales and Revs.'!G83</f>
        <v>48324506.124915</v>
      </c>
      <c r="D83" s="305" t="n">
        <f aca="false">'Test Year 2001 Sales and Revs.'!H83</f>
        <v>48324506.124915</v>
      </c>
      <c r="E83" s="305"/>
      <c r="F83" s="305"/>
      <c r="H83" s="305"/>
      <c r="I83" s="307"/>
      <c r="J83" s="308" t="n">
        <v>8885.41580534425</v>
      </c>
      <c r="K83" s="307" t="n">
        <f aca="false">-H83+I83-J83</f>
        <v>-8885.41580534425</v>
      </c>
      <c r="L83" s="307" t="n">
        <f aca="false">K83-G83-F83</f>
        <v>-8885.41580534425</v>
      </c>
    </row>
    <row r="84" customFormat="false" ht="12.75" hidden="false" customHeight="false" outlineLevel="0" collapsed="false">
      <c r="A84" s="86" t="s">
        <v>332</v>
      </c>
      <c r="B84" s="304" t="s">
        <v>234</v>
      </c>
      <c r="C84" s="305" t="n">
        <f aca="false">'Test Year 2001 Sales and Revs.'!G84</f>
        <v>35055</v>
      </c>
      <c r="D84" s="305" t="n">
        <f aca="false">'Test Year 2001 Sales and Revs.'!H84</f>
        <v>35055</v>
      </c>
      <c r="E84" s="305"/>
      <c r="F84" s="305"/>
      <c r="H84" s="305"/>
      <c r="I84" s="307"/>
      <c r="J84" s="307"/>
      <c r="K84" s="307" t="n">
        <f aca="false">-H84+I84-J84</f>
        <v>0</v>
      </c>
      <c r="L84" s="307" t="n">
        <f aca="false">K84-G84-F84</f>
        <v>0</v>
      </c>
    </row>
    <row r="85" customFormat="false" ht="12.75" hidden="false" customHeight="false" outlineLevel="0" collapsed="false">
      <c r="A85" s="86" t="s">
        <v>333</v>
      </c>
      <c r="B85" s="304"/>
      <c r="C85" s="305" t="n">
        <f aca="false">'Test Year 2001 Sales and Revs.'!G85</f>
        <v>48359561.124915</v>
      </c>
      <c r="D85" s="305" t="n">
        <f aca="false">'Test Year 2001 Sales and Revs.'!H85</f>
        <v>48359561.124915</v>
      </c>
      <c r="E85" s="305" t="n">
        <f aca="false">SUM('Revenue Allocation'!E81:I81)</f>
        <v>21296789.5082014</v>
      </c>
      <c r="F85" s="305"/>
      <c r="H85" s="305"/>
      <c r="I85" s="307"/>
      <c r="J85" s="308" t="n">
        <f aca="false">J83</f>
        <v>8885.41580534425</v>
      </c>
      <c r="K85" s="295" t="n">
        <f aca="false">-H85+I85-J85</f>
        <v>-8885.41580534425</v>
      </c>
      <c r="L85" s="295" t="n">
        <f aca="false">K85-G85-F85</f>
        <v>-8885.41580534425</v>
      </c>
      <c r="M85" s="50" t="n">
        <f aca="false">$C85-$E85+K85</f>
        <v>27053886.2009082</v>
      </c>
      <c r="N85" s="50" t="n">
        <f aca="false">$C85-$E85+L85</f>
        <v>27053886.2009082</v>
      </c>
      <c r="O85" s="51" t="n">
        <f aca="false">M85/'Test Year 2001 Sales and Revs.'!$F85</f>
        <v>0.0721004868101439</v>
      </c>
      <c r="P85" s="51" t="n">
        <f aca="false">N85/'Test Year 2001 Sales and Revs.'!$F85</f>
        <v>0.0721004868101439</v>
      </c>
    </row>
    <row r="86" customFormat="false" ht="12.75" hidden="false" customHeight="false" outlineLevel="0" collapsed="false">
      <c r="A86" s="86" t="s">
        <v>334</v>
      </c>
      <c r="B86" s="304" t="s">
        <v>231</v>
      </c>
      <c r="C86" s="305" t="n">
        <f aca="false">'Test Year 2001 Sales and Revs.'!G86</f>
        <v>5123187.20023047</v>
      </c>
      <c r="D86" s="305" t="n">
        <f aca="false">'Test Year 2001 Sales and Revs.'!H86</f>
        <v>5123187.20023047</v>
      </c>
      <c r="E86" s="305" t="n">
        <f aca="false">SUM('Revenue Allocation'!E82:I82)</f>
        <v>2859738.07311238</v>
      </c>
      <c r="F86" s="305"/>
      <c r="H86" s="305"/>
      <c r="I86" s="307"/>
      <c r="J86" s="308" t="n">
        <v>2437.23168919442</v>
      </c>
      <c r="K86" s="295" t="n">
        <f aca="false">-H86+I86-J86</f>
        <v>-2437.23168919442</v>
      </c>
      <c r="L86" s="295" t="n">
        <f aca="false">K86-G86-F86</f>
        <v>-2437.23168919442</v>
      </c>
      <c r="M86" s="50" t="n">
        <f aca="false">$C86-$E86+K86</f>
        <v>2261011.8954289</v>
      </c>
      <c r="N86" s="50" t="n">
        <f aca="false">$C86-$E86+L86</f>
        <v>2261011.8954289</v>
      </c>
      <c r="O86" s="51" t="n">
        <f aca="false">M86/'Test Year 2001 Sales and Revs.'!$F86</f>
        <v>0.0603694536504785</v>
      </c>
      <c r="P86" s="51" t="n">
        <f aca="false">N86/'Test Year 2001 Sales and Revs.'!$F86</f>
        <v>0.0603694536504785</v>
      </c>
    </row>
    <row r="87" customFormat="false" ht="12.75" hidden="false" customHeight="false" outlineLevel="0" collapsed="false">
      <c r="A87" s="86" t="s">
        <v>335</v>
      </c>
      <c r="B87" s="304" t="s">
        <v>231</v>
      </c>
      <c r="C87" s="305" t="n">
        <f aca="false">'Test Year 2001 Sales and Revs.'!G87</f>
        <v>0</v>
      </c>
      <c r="D87" s="305" t="n">
        <f aca="false">'Test Year 2001 Sales and Revs.'!H87</f>
        <v>0</v>
      </c>
      <c r="E87" s="305"/>
      <c r="F87" s="305"/>
      <c r="H87" s="305"/>
      <c r="I87" s="307"/>
      <c r="J87" s="308" t="n">
        <v>171079.184416725</v>
      </c>
      <c r="K87" s="307" t="n">
        <f aca="false">-H87+I87-J87</f>
        <v>-171079.184416725</v>
      </c>
      <c r="L87" s="307" t="n">
        <f aca="false">K87-G87-F87</f>
        <v>-171079.184416725</v>
      </c>
    </row>
    <row r="88" customFormat="false" ht="12.75" hidden="false" customHeight="false" outlineLevel="0" collapsed="false">
      <c r="A88" s="86" t="s">
        <v>335</v>
      </c>
      <c r="B88" s="312" t="s">
        <v>234</v>
      </c>
      <c r="C88" s="305" t="n">
        <f aca="false">'Test Year 2001 Sales and Revs.'!G88</f>
        <v>0</v>
      </c>
      <c r="D88" s="305" t="n">
        <f aca="false">'Test Year 2001 Sales and Revs.'!H88</f>
        <v>0</v>
      </c>
      <c r="E88" s="305"/>
      <c r="F88" s="305"/>
      <c r="H88" s="305"/>
      <c r="I88" s="307"/>
      <c r="J88" s="308"/>
      <c r="K88" s="307" t="n">
        <f aca="false">-H88+I88-J88</f>
        <v>0</v>
      </c>
      <c r="L88" s="307" t="n">
        <f aca="false">K88-G88-F88</f>
        <v>0</v>
      </c>
    </row>
    <row r="89" customFormat="false" ht="12.75" hidden="false" customHeight="false" outlineLevel="0" collapsed="false">
      <c r="A89" s="86" t="s">
        <v>336</v>
      </c>
      <c r="B89" s="312"/>
      <c r="C89" s="305" t="n">
        <f aca="false">'Test Year 2001 Sales and Revs.'!G89</f>
        <v>184183076.653189</v>
      </c>
      <c r="D89" s="305" t="n">
        <f aca="false">'Test Year 2001 Sales and Revs.'!H89</f>
        <v>184183076.653189</v>
      </c>
      <c r="E89" s="305" t="n">
        <f aca="false">SUM('Revenue Allocation'!E86:I86)</f>
        <v>82384350.2816693</v>
      </c>
      <c r="F89" s="305"/>
      <c r="H89" s="305"/>
      <c r="I89" s="307"/>
      <c r="J89" s="308" t="n">
        <f aca="false">J87</f>
        <v>171079.184416725</v>
      </c>
      <c r="K89" s="295" t="n">
        <f aca="false">-H89+I89-J89</f>
        <v>-171079.184416725</v>
      </c>
      <c r="L89" s="295" t="n">
        <f aca="false">K89-G89-F89</f>
        <v>-171079.184416725</v>
      </c>
      <c r="M89" s="50" t="n">
        <f aca="false">$C89-$E89+K89</f>
        <v>101627647.187103</v>
      </c>
      <c r="N89" s="50" t="n">
        <f aca="false">$C89-$E89+L89</f>
        <v>101627647.187103</v>
      </c>
      <c r="O89" s="51" t="n">
        <f aca="false">M89/'Test Year 2001 Sales and Revs.'!$F89</f>
        <v>0.048359284101298</v>
      </c>
      <c r="P89" s="51" t="n">
        <f aca="false">N89/'Test Year 2001 Sales and Revs.'!$F89</f>
        <v>0.048359284101298</v>
      </c>
    </row>
    <row r="90" customFormat="false" ht="12.75" hidden="false" customHeight="false" outlineLevel="0" collapsed="false">
      <c r="A90" s="86" t="s">
        <v>481</v>
      </c>
      <c r="B90" s="111"/>
      <c r="C90" s="306" t="n">
        <f aca="false">'Test Year 2001 Sales and Revs.'!G90</f>
        <v>13473184.515867</v>
      </c>
      <c r="D90" s="306" t="n">
        <f aca="false">'Test Year 2001 Sales and Revs.'!H90</f>
        <v>13473184.515867</v>
      </c>
      <c r="E90" s="306" t="n">
        <f aca="false">SUM('Revenue Allocation'!E87:I87)</f>
        <v>6039435.295416</v>
      </c>
      <c r="F90" s="306"/>
      <c r="G90" s="238"/>
      <c r="H90" s="306"/>
      <c r="I90" s="309"/>
      <c r="J90" s="310" t="n">
        <v>5502.3546971431</v>
      </c>
      <c r="K90" s="238" t="n">
        <f aca="false">-H90+I90-J90</f>
        <v>-5502.3546971431</v>
      </c>
      <c r="L90" s="238" t="n">
        <f aca="false">K90-G90-F90</f>
        <v>-5502.3546971431</v>
      </c>
      <c r="M90" s="238" t="n">
        <f aca="false">$C90-$E90+K90</f>
        <v>7428246.86575383</v>
      </c>
      <c r="N90" s="238" t="n">
        <f aca="false">$C90-$E90+L90</f>
        <v>7428246.86575383</v>
      </c>
      <c r="O90" s="51" t="n">
        <f aca="false">M90/'Test Year 2001 Sales and Revs.'!$F90</f>
        <v>0.0475207196582777</v>
      </c>
      <c r="P90" s="51" t="n">
        <f aca="false">N90/'Test Year 2001 Sales and Revs.'!$F90</f>
        <v>0.0475207196582777</v>
      </c>
    </row>
    <row r="91" customFormat="false" ht="12.75" hidden="false" customHeight="false" outlineLevel="0" collapsed="false">
      <c r="A91" s="298"/>
      <c r="B91" s="304"/>
    </row>
    <row r="92" customFormat="false" ht="12.75" hidden="false" customHeight="false" outlineLevel="0" collapsed="false">
      <c r="A92" s="86" t="s">
        <v>338</v>
      </c>
      <c r="B92" s="304"/>
      <c r="C92" s="313" t="n">
        <f aca="false">SUM(C75:C79)</f>
        <v>75725715.6101153</v>
      </c>
      <c r="D92" s="313" t="n">
        <f aca="false">SUM(D75:D79)</f>
        <v>75725715.6101153</v>
      </c>
      <c r="E92" s="313" t="n">
        <f aca="false">SUM(E75:E79)</f>
        <v>42201347.1799094</v>
      </c>
      <c r="F92" s="313"/>
      <c r="G92" s="314"/>
      <c r="H92" s="313"/>
      <c r="I92" s="313"/>
      <c r="J92" s="313" t="n">
        <f aca="false">SUM(J75:J79)</f>
        <v>0</v>
      </c>
      <c r="K92" s="313" t="n">
        <f aca="false">-H92+I92-J92</f>
        <v>0</v>
      </c>
      <c r="L92" s="313" t="n">
        <f aca="false">K92-G92-F92</f>
        <v>0</v>
      </c>
      <c r="M92" s="238" t="n">
        <f aca="false">$C92-$E92+K92</f>
        <v>33524368.4302058</v>
      </c>
      <c r="N92" s="313" t="n">
        <f aca="false">$C92-$E92+L92</f>
        <v>33524368.4302058</v>
      </c>
      <c r="O92" s="51" t="n">
        <f aca="false">M92/'Test Year 2001 Sales and Revs.'!$F92</f>
        <v>0.0729699623706559</v>
      </c>
      <c r="P92" s="51" t="n">
        <f aca="false">N92/'Test Year 2001 Sales and Revs.'!$F92</f>
        <v>0.0729699623706559</v>
      </c>
    </row>
    <row r="93" customFormat="false" ht="12.75" hidden="false" customHeight="false" outlineLevel="0" collapsed="false">
      <c r="A93" s="86" t="s">
        <v>339</v>
      </c>
      <c r="B93" s="304"/>
      <c r="C93" s="315" t="n">
        <f aca="false">SUM(C80:C84,C86,C89,C90)</f>
        <v>297620454.928244</v>
      </c>
      <c r="D93" s="315" t="n">
        <f aca="false">SUM(D80:D84,D86,D89,D90)</f>
        <v>297620454.928244</v>
      </c>
      <c r="E93" s="315" t="n">
        <f aca="false">SUM(E80:E90)</f>
        <v>135062079.128213</v>
      </c>
      <c r="F93" s="315"/>
      <c r="G93" s="316"/>
      <c r="H93" s="315"/>
      <c r="I93" s="315"/>
      <c r="J93" s="315" t="n">
        <f aca="false">SUM(J80:J84,,J86:J88,J90)</f>
        <v>195488.052370439</v>
      </c>
      <c r="K93" s="315" t="n">
        <f aca="false">-H93+I93-J93</f>
        <v>-195488.052370439</v>
      </c>
      <c r="L93" s="315" t="n">
        <f aca="false">K93-G93-F93</f>
        <v>-195488.052370439</v>
      </c>
      <c r="M93" s="238" t="n">
        <f aca="false">$C93-$E93+K93</f>
        <v>162362887.74766</v>
      </c>
      <c r="N93" s="315" t="n">
        <f aca="false">$C93-$E93+L93</f>
        <v>162362887.74766</v>
      </c>
      <c r="O93" s="51" t="n">
        <f aca="false">M93/'Test Year 2001 Sales and Revs.'!$F93</f>
        <v>0.0547885198428658</v>
      </c>
      <c r="P93" s="51" t="n">
        <f aca="false">N93/'Test Year 2001 Sales and Revs.'!$F93</f>
        <v>0.0547885198428658</v>
      </c>
    </row>
    <row r="94" customFormat="false" ht="12.75" hidden="false" customHeight="false" outlineLevel="0" collapsed="false">
      <c r="A94" s="298" t="s">
        <v>340</v>
      </c>
      <c r="B94" s="297"/>
      <c r="C94" s="317" t="n">
        <f aca="false">SUM(C92:C93)</f>
        <v>373346170.538359</v>
      </c>
      <c r="D94" s="317" t="n">
        <f aca="false">SUM(D92:D93)</f>
        <v>373346170.538359</v>
      </c>
      <c r="E94" s="317" t="n">
        <f aca="false">SUM(E92:E93)</f>
        <v>177263426.308123</v>
      </c>
      <c r="F94" s="317"/>
      <c r="G94" s="318"/>
      <c r="H94" s="317"/>
      <c r="I94" s="317"/>
      <c r="J94" s="317" t="n">
        <f aca="false">SUM(J92:J93)</f>
        <v>195488.052370439</v>
      </c>
      <c r="K94" s="317" t="n">
        <f aca="false">SUM(K92:K93)</f>
        <v>-195488.052370439</v>
      </c>
      <c r="L94" s="317" t="n">
        <f aca="false">SUM(L92:L93)</f>
        <v>-195488.052370439</v>
      </c>
      <c r="M94" s="317" t="n">
        <f aca="false">SUM(M92:M93)</f>
        <v>195887256.177866</v>
      </c>
      <c r="N94" s="317" t="n">
        <f aca="false">SUM(N92:N93)</f>
        <v>195887256.177866</v>
      </c>
      <c r="O94" s="51" t="n">
        <f aca="false">M94/'Test Year 2001 Sales and Revs.'!$F94</f>
        <v>0.057228879752293</v>
      </c>
      <c r="P94" s="51" t="n">
        <f aca="false">N94/'Test Year 2001 Sales and Revs.'!$F94</f>
        <v>0.057228879752293</v>
      </c>
    </row>
    <row r="95" customFormat="false" ht="12.75" hidden="false" customHeight="false" outlineLevel="0" collapsed="false">
      <c r="A95" s="298"/>
      <c r="B95" s="304"/>
    </row>
    <row r="96" customFormat="false" ht="12.75" hidden="false" customHeight="false" outlineLevel="0" collapsed="false">
      <c r="A96" s="298" t="s">
        <v>482</v>
      </c>
      <c r="B96" s="297"/>
    </row>
    <row r="97" customFormat="false" ht="12.75" hidden="false" customHeight="false" outlineLevel="0" collapsed="false">
      <c r="A97" s="86" t="s">
        <v>483</v>
      </c>
      <c r="B97" s="297" t="s">
        <v>236</v>
      </c>
      <c r="C97" s="305" t="n">
        <f aca="false">'Test Year 2001 Sales and Revs.'!G97</f>
        <v>210910807.633659</v>
      </c>
      <c r="D97" s="305" t="n">
        <f aca="false">'Test Year 2001 Sales and Revs.'!H97</f>
        <v>210910807.633659</v>
      </c>
      <c r="E97" s="305" t="n">
        <f aca="false">SUM('Revenue Allocation'!E93:I93)</f>
        <v>36706668.0768452</v>
      </c>
      <c r="F97" s="305"/>
      <c r="H97" s="305"/>
      <c r="I97" s="308" t="n">
        <v>17613687.713338</v>
      </c>
      <c r="J97" s="308" t="n">
        <v>-249967.77885359</v>
      </c>
      <c r="K97" s="295" t="n">
        <f aca="false">-H97+I97-J97</f>
        <v>17863655.4921915</v>
      </c>
      <c r="L97" s="295" t="n">
        <f aca="false">K97-G97-F97</f>
        <v>17863655.4921915</v>
      </c>
      <c r="M97" s="295" t="n">
        <f aca="false">$C97-$E97+K97</f>
        <v>192067795.049005</v>
      </c>
      <c r="N97" s="50" t="n">
        <f aca="false">$C97-$E97+L97</f>
        <v>192067795.049005</v>
      </c>
      <c r="O97" s="51" t="n">
        <f aca="false">M97/'Test Year 2001 Sales and Revs.'!$F97</f>
        <v>0.0471072774830331</v>
      </c>
      <c r="P97" s="51" t="n">
        <f aca="false">N97/'Test Year 2001 Sales and Revs.'!$F97</f>
        <v>0.0471072774830331</v>
      </c>
    </row>
    <row r="98" customFormat="false" ht="12.75" hidden="false" customHeight="false" outlineLevel="0" collapsed="false">
      <c r="A98" s="86" t="s">
        <v>312</v>
      </c>
      <c r="B98" s="297" t="s">
        <v>236</v>
      </c>
      <c r="C98" s="306" t="n">
        <f aca="false">'Test Year 2001 Sales and Revs.'!G98</f>
        <v>119756012.114192</v>
      </c>
      <c r="D98" s="306" t="n">
        <f aca="false">'Test Year 2001 Sales and Revs.'!H98</f>
        <v>119756012.114192</v>
      </c>
      <c r="E98" s="306" t="n">
        <f aca="false">SUM('Revenue Allocation'!E94:I94)</f>
        <v>25318790.0005643</v>
      </c>
      <c r="F98" s="306"/>
      <c r="G98" s="238"/>
      <c r="H98" s="306" t="n">
        <f aca="false">'Test Year 2001 Sales and Revs.'!L98</f>
        <v>-31857082.9113344</v>
      </c>
      <c r="I98" s="310" t="n">
        <v>12808317.066249</v>
      </c>
      <c r="J98" s="310" t="n">
        <v>222680.455214039</v>
      </c>
      <c r="K98" s="238" t="n">
        <f aca="false">-H98+I98-J98</f>
        <v>44442719.5223694</v>
      </c>
      <c r="L98" s="238" t="n">
        <f aca="false">K98-G98-F98</f>
        <v>44442719.5223694</v>
      </c>
      <c r="M98" s="238" t="n">
        <f aca="false">$C98-$E98+K98</f>
        <v>138879941.635997</v>
      </c>
      <c r="N98" s="238" t="n">
        <f aca="false">$C98-$E98+L98</f>
        <v>138879941.635997</v>
      </c>
      <c r="O98" s="51" t="n">
        <f aca="false">M98/'Test Year 2001 Sales and Revs.'!$F98</f>
        <v>0.0468415440345757</v>
      </c>
      <c r="P98" s="51" t="n">
        <f aca="false">N98/'Test Year 2001 Sales and Revs.'!$F98</f>
        <v>0.0468415440345757</v>
      </c>
    </row>
    <row r="99" customFormat="false" ht="12.75" hidden="false" customHeight="false" outlineLevel="0" collapsed="false">
      <c r="A99" s="298" t="s">
        <v>484</v>
      </c>
      <c r="B99" s="297"/>
      <c r="C99" s="50" t="n">
        <f aca="false">SUM(C97:C98)</f>
        <v>330666819.747851</v>
      </c>
      <c r="D99" s="50" t="n">
        <f aca="false">SUM(D97:D98)</f>
        <v>330666819.747851</v>
      </c>
      <c r="E99" s="50" t="n">
        <f aca="false">SUM(E97:E98)</f>
        <v>62025458.0774095</v>
      </c>
      <c r="H99" s="50" t="n">
        <f aca="false">H98</f>
        <v>-31857082.9113344</v>
      </c>
      <c r="I99" s="50" t="n">
        <f aca="false">SUM(I97:I98)</f>
        <v>30422004.7795869</v>
      </c>
      <c r="J99" s="50" t="n">
        <f aca="false">SUM(J97:J98)</f>
        <v>-27287.3236395512</v>
      </c>
      <c r="K99" s="50" t="n">
        <f aca="false">SUM(K97:K98)</f>
        <v>62306375.0145609</v>
      </c>
      <c r="L99" s="50" t="n">
        <f aca="false">SUM(L97:L98)</f>
        <v>62306375.0145609</v>
      </c>
      <c r="M99" s="50" t="n">
        <f aca="false">SUM(M97:M98)</f>
        <v>330947736.685002</v>
      </c>
      <c r="N99" s="50" t="n">
        <f aca="false">SUM(N97:N98)</f>
        <v>330947736.685002</v>
      </c>
      <c r="O99" s="51" t="n">
        <f aca="false">M99/'Test Year 2001 Sales and Revs.'!$F99</f>
        <v>0.0469953979968648</v>
      </c>
      <c r="P99" s="51" t="n">
        <f aca="false">N99/'Test Year 2001 Sales and Revs.'!$F99</f>
        <v>0.0469953979968648</v>
      </c>
    </row>
    <row r="100" customFormat="false" ht="12.75" hidden="false" customHeight="false" outlineLevel="0" collapsed="false">
      <c r="A100" s="298"/>
      <c r="B100" s="304"/>
    </row>
    <row r="101" customFormat="false" ht="12.75" hidden="false" customHeight="false" outlineLevel="0" collapsed="false">
      <c r="A101" s="298" t="s">
        <v>485</v>
      </c>
      <c r="B101" s="297" t="s">
        <v>234</v>
      </c>
      <c r="C101" s="305" t="n">
        <f aca="false">'Test Year 2001 Sales and Revs.'!G101</f>
        <v>362915721.76695</v>
      </c>
      <c r="D101" s="305" t="n">
        <f aca="false">'Test Year 2001 Sales and Revs.'!H101</f>
        <v>362915721.76695</v>
      </c>
      <c r="E101" s="305" t="n">
        <f aca="false">SUM('Revenue Allocation'!E97:I97)</f>
        <v>95187701.9941247</v>
      </c>
      <c r="F101" s="305"/>
      <c r="H101" s="305"/>
      <c r="I101" s="308" t="n">
        <v>22512800.4652205</v>
      </c>
      <c r="J101" s="308" t="n">
        <v>281835.024512058</v>
      </c>
      <c r="K101" s="295" t="n">
        <f aca="false">-H101+I101-J101</f>
        <v>22230965.4407084</v>
      </c>
      <c r="L101" s="295" t="n">
        <f aca="false">K101-G101-F101</f>
        <v>22230965.4407084</v>
      </c>
      <c r="M101" s="295" t="n">
        <f aca="false">$C101-$E101+K101</f>
        <v>289958985.213533</v>
      </c>
      <c r="N101" s="50" t="n">
        <f aca="false">$C101-$E101+L101</f>
        <v>289958985.213533</v>
      </c>
      <c r="O101" s="51" t="n">
        <f aca="false">M101/'Test Year 2001 Sales and Revs.'!$F101</f>
        <v>0.0556404707649594</v>
      </c>
      <c r="P101" s="51" t="n">
        <f aca="false">N101/'Test Year 2001 Sales and Revs.'!$F101</f>
        <v>0.0556404707649594</v>
      </c>
    </row>
    <row r="102" customFormat="false" ht="12.75" hidden="false" customHeight="false" outlineLevel="0" collapsed="false">
      <c r="A102" s="86" t="s">
        <v>312</v>
      </c>
      <c r="B102" s="297" t="s">
        <v>234</v>
      </c>
      <c r="C102" s="306" t="n">
        <f aca="false">'Test Year 2001 Sales and Revs.'!G102</f>
        <v>62043108.6477908</v>
      </c>
      <c r="D102" s="306" t="n">
        <f aca="false">'Test Year 2001 Sales and Revs.'!H102</f>
        <v>62043108.6477908</v>
      </c>
      <c r="E102" s="306" t="n">
        <f aca="false">SUM('Revenue Allocation'!E98:I98)</f>
        <v>19553482.9730284</v>
      </c>
      <c r="F102" s="306"/>
      <c r="G102" s="238"/>
      <c r="H102" s="306" t="n">
        <f aca="false">'Test Year 2001 Sales and Revs.'!L102</f>
        <v>-12572660.4103346</v>
      </c>
      <c r="I102" s="310" t="n">
        <v>4534486.99628289</v>
      </c>
      <c r="J102" s="310" t="n">
        <v>129007.67533646</v>
      </c>
      <c r="K102" s="238" t="n">
        <f aca="false">-H102+I102-J102</f>
        <v>16978139.731281</v>
      </c>
      <c r="L102" s="238" t="n">
        <f aca="false">K102-G102-F102</f>
        <v>16978139.731281</v>
      </c>
      <c r="M102" s="238" t="n">
        <f aca="false">$C102-$E102+K102</f>
        <v>59467765.4060434</v>
      </c>
      <c r="N102" s="238" t="n">
        <f aca="false">$C102-$E102+L102</f>
        <v>59467765.4060434</v>
      </c>
      <c r="O102" s="51" t="n">
        <f aca="false">M102/'Test Year 2001 Sales and Revs.'!$F102</f>
        <v>0.0566548645446992</v>
      </c>
      <c r="P102" s="51" t="n">
        <f aca="false">N102/'Test Year 2001 Sales and Revs.'!$F102</f>
        <v>0.0566548645446992</v>
      </c>
    </row>
    <row r="103" customFormat="false" ht="12.75" hidden="false" customHeight="false" outlineLevel="0" collapsed="false">
      <c r="A103" s="298" t="s">
        <v>486</v>
      </c>
      <c r="B103" s="297"/>
      <c r="C103" s="50" t="n">
        <f aca="false">SUM(C101:C102)</f>
        <v>424958830.41474</v>
      </c>
      <c r="D103" s="50" t="n">
        <f aca="false">SUM(D101:D102)</f>
        <v>424958830.41474</v>
      </c>
      <c r="E103" s="50" t="n">
        <f aca="false">SUM(E101:E102)</f>
        <v>114741184.967153</v>
      </c>
      <c r="H103" s="50" t="n">
        <f aca="false">H102</f>
        <v>-12572660.4103346</v>
      </c>
      <c r="I103" s="50" t="n">
        <f aca="false">SUM(I101:I102)</f>
        <v>27047287.4615034</v>
      </c>
      <c r="J103" s="50" t="n">
        <f aca="false">SUM(J101:J102)</f>
        <v>410842.699848519</v>
      </c>
      <c r="K103" s="50" t="n">
        <f aca="false">SUM(K101:K102)</f>
        <v>39209105.1719895</v>
      </c>
      <c r="L103" s="50" t="n">
        <f aca="false">SUM(L101:L102)</f>
        <v>39209105.1719895</v>
      </c>
      <c r="M103" s="50" t="n">
        <f aca="false">SUM(M101:M102)</f>
        <v>349426750.619577</v>
      </c>
      <c r="N103" s="50" t="n">
        <f aca="false">SUM(N101:N102)</f>
        <v>349426750.619577</v>
      </c>
      <c r="O103" s="51" t="n">
        <f aca="false">M103/'Test Year 2001 Sales and Revs.'!$F103</f>
        <v>0.055810534229175</v>
      </c>
      <c r="P103" s="51" t="n">
        <f aca="false">N103/'Test Year 2001 Sales and Revs.'!$F103</f>
        <v>0.055810534229175</v>
      </c>
    </row>
    <row r="104" customFormat="false" ht="12.75" hidden="false" customHeight="false" outlineLevel="0" collapsed="false">
      <c r="B104" s="304"/>
      <c r="M104" s="50"/>
      <c r="N104" s="50"/>
    </row>
    <row r="105" customFormat="false" ht="12.75" hidden="false" customHeight="false" outlineLevel="0" collapsed="false">
      <c r="A105" s="298" t="s">
        <v>485</v>
      </c>
      <c r="B105" s="297" t="s">
        <v>231</v>
      </c>
      <c r="C105" s="305" t="n">
        <f aca="false">'Test Year 2001 Sales and Revs.'!G105</f>
        <v>250994553.902674</v>
      </c>
      <c r="D105" s="305" t="n">
        <f aca="false">'Test Year 2001 Sales and Revs.'!H105</f>
        <v>250994553.902674</v>
      </c>
      <c r="E105" s="305" t="n">
        <f aca="false">SUM('Revenue Allocation'!E101:I101)</f>
        <v>83126725.0816671</v>
      </c>
      <c r="F105" s="305"/>
      <c r="H105" s="305"/>
      <c r="I105" s="308" t="n">
        <v>13069454.882107</v>
      </c>
      <c r="J105" s="308" t="n">
        <v>49786.6937981484</v>
      </c>
      <c r="K105" s="295" t="n">
        <f aca="false">-H105+I105-J105</f>
        <v>13019668.1883088</v>
      </c>
      <c r="L105" s="295" t="n">
        <f aca="false">K105-G105-F105</f>
        <v>13019668.1883088</v>
      </c>
      <c r="M105" s="295" t="n">
        <f aca="false">$C105-$E105+K105</f>
        <v>180887497.009315</v>
      </c>
      <c r="N105" s="50" t="n">
        <f aca="false">$C105-$E105+L105</f>
        <v>180887497.009315</v>
      </c>
      <c r="O105" s="51" t="n">
        <f aca="false">M105/'Test Year 2001 Sales and Revs.'!$F105</f>
        <v>0.0597908630565825</v>
      </c>
      <c r="P105" s="51" t="n">
        <f aca="false">N105/'Test Year 2001 Sales and Revs.'!$F105</f>
        <v>0.0597908630565825</v>
      </c>
    </row>
    <row r="106" customFormat="false" ht="12.75" hidden="false" customHeight="false" outlineLevel="0" collapsed="false">
      <c r="A106" s="86" t="s">
        <v>312</v>
      </c>
      <c r="B106" s="297" t="s">
        <v>231</v>
      </c>
      <c r="C106" s="306" t="n">
        <f aca="false">'Test Year 2001 Sales and Revs.'!G106</f>
        <v>11798288.7444512</v>
      </c>
      <c r="D106" s="306" t="n">
        <f aca="false">'Test Year 2001 Sales and Revs.'!H106</f>
        <v>11798288.7444512</v>
      </c>
      <c r="E106" s="306" t="n">
        <f aca="false">SUM('Revenue Allocation'!E102:I102)</f>
        <v>4607478.99846625</v>
      </c>
      <c r="F106" s="306"/>
      <c r="G106" s="238"/>
      <c r="H106" s="306" t="n">
        <f aca="false">'Test Year 2001 Sales and Revs.'!L106</f>
        <v>-2049114.63820295</v>
      </c>
      <c r="I106" s="310" t="n">
        <v>700947.412606899</v>
      </c>
      <c r="J106" s="310" t="n">
        <v>44867.4222281435</v>
      </c>
      <c r="K106" s="238" t="n">
        <f aca="false">-H106+I106-J106</f>
        <v>2705194.62858171</v>
      </c>
      <c r="L106" s="238" t="n">
        <f aca="false">K106-G106-F106</f>
        <v>2705194.62858171</v>
      </c>
      <c r="M106" s="238" t="n">
        <f aca="false">$C106-$E106+K106</f>
        <v>9896004.37456668</v>
      </c>
      <c r="N106" s="238" t="n">
        <f aca="false">$C106-$E106+L106</f>
        <v>9896004.37456668</v>
      </c>
      <c r="O106" s="51" t="n">
        <f aca="false">M106/'Test Year 2001 Sales and Revs.'!$F106</f>
        <v>0.0609899375177568</v>
      </c>
      <c r="P106" s="51" t="n">
        <f aca="false">N106/'Test Year 2001 Sales and Revs.'!$F106</f>
        <v>0.0609899375177568</v>
      </c>
    </row>
    <row r="107" customFormat="false" ht="12.75" hidden="false" customHeight="false" outlineLevel="0" collapsed="false">
      <c r="A107" s="298" t="s">
        <v>487</v>
      </c>
      <c r="B107" s="297"/>
      <c r="C107" s="50" t="n">
        <f aca="false">SUM(C105:C106)</f>
        <v>262792842.647125</v>
      </c>
      <c r="D107" s="50" t="n">
        <f aca="false">SUM(D105:D106)</f>
        <v>262792842.647125</v>
      </c>
      <c r="E107" s="50" t="n">
        <f aca="false">SUM(E105:E106)</f>
        <v>87734204.0801334</v>
      </c>
      <c r="H107" s="50" t="n">
        <f aca="false">H106</f>
        <v>-2049114.63820295</v>
      </c>
      <c r="I107" s="50" t="n">
        <f aca="false">SUM(I105:I106)</f>
        <v>13770402.2947139</v>
      </c>
      <c r="J107" s="50" t="n">
        <f aca="false">SUM(J105:J106)</f>
        <v>94654.1160262919</v>
      </c>
      <c r="K107" s="50" t="n">
        <f aca="false">SUM(K105:K106)</f>
        <v>15724862.8168906</v>
      </c>
      <c r="L107" s="50" t="n">
        <f aca="false">SUM(L105:L106)</f>
        <v>15724862.8168906</v>
      </c>
      <c r="M107" s="50" t="n">
        <f aca="false">SUM(M105:M106)</f>
        <v>190783501.383882</v>
      </c>
      <c r="N107" s="50" t="n">
        <f aca="false">SUM(N105:N106)</f>
        <v>190783501.383882</v>
      </c>
      <c r="O107" s="51" t="n">
        <f aca="false">M107/'Test Year 2001 Sales and Revs.'!$F107</f>
        <v>0.0598518989016576</v>
      </c>
      <c r="P107" s="51" t="n">
        <f aca="false">N107/'Test Year 2001 Sales and Revs.'!$F107</f>
        <v>0.0598518989016576</v>
      </c>
    </row>
    <row r="108" customFormat="false" ht="12.75" hidden="false" customHeight="false" outlineLevel="0" collapsed="false">
      <c r="A108" s="298"/>
      <c r="B108" s="304"/>
      <c r="M108" s="50"/>
      <c r="N108" s="50"/>
    </row>
    <row r="109" customFormat="false" ht="12.75" hidden="false" customHeight="false" outlineLevel="0" collapsed="false">
      <c r="A109" s="86" t="s">
        <v>346</v>
      </c>
      <c r="B109" s="297" t="s">
        <v>236</v>
      </c>
      <c r="C109" s="305" t="n">
        <f aca="false">'Test Year 2001 Sales and Revs.'!G109</f>
        <v>224444.926740492</v>
      </c>
      <c r="D109" s="305" t="n">
        <f aca="false">'Test Year 2001 Sales and Revs.'!H109</f>
        <v>224444.926740492</v>
      </c>
      <c r="E109" s="305" t="n">
        <f aca="false">SUM('Revenue Allocation'!E107:I107)</f>
        <v>45553.5869320614</v>
      </c>
      <c r="F109" s="305"/>
      <c r="H109" s="305"/>
      <c r="I109" s="308" t="n">
        <v>15033.6</v>
      </c>
      <c r="J109" s="305"/>
      <c r="K109" s="295" t="n">
        <f aca="false">-H109+I109-J109</f>
        <v>15033.6</v>
      </c>
      <c r="L109" s="295" t="n">
        <f aca="false">K109-G109-F109</f>
        <v>15033.6</v>
      </c>
      <c r="M109" s="50" t="n">
        <f aca="false">$C109-$E109+K109</f>
        <v>193924.939808431</v>
      </c>
      <c r="N109" s="50" t="n">
        <f aca="false">$C109-$E109+L109</f>
        <v>193924.939808431</v>
      </c>
      <c r="O109" s="51" t="n">
        <f aca="false">M109/'Test Year 2001 Sales and Revs.'!$F109</f>
        <v>0.0557255574162158</v>
      </c>
      <c r="P109" s="51" t="n">
        <f aca="false">N109/'Test Year 2001 Sales and Revs.'!$F109</f>
        <v>0.0557255574162158</v>
      </c>
    </row>
    <row r="110" customFormat="false" ht="12.75" hidden="false" customHeight="false" outlineLevel="0" collapsed="false">
      <c r="A110" s="86" t="s">
        <v>488</v>
      </c>
      <c r="B110" s="297" t="s">
        <v>231</v>
      </c>
      <c r="C110" s="306" t="n">
        <f aca="false">'Test Year 2001 Sales and Revs.'!G110</f>
        <v>25462163.4391812</v>
      </c>
      <c r="D110" s="306" t="n">
        <f aca="false">'Test Year 2001 Sales and Revs.'!H110</f>
        <v>25462163.4391812</v>
      </c>
      <c r="E110" s="306" t="n">
        <f aca="false">SUM('Revenue Allocation'!E108:I108)</f>
        <v>8243706.0328445</v>
      </c>
      <c r="F110" s="306"/>
      <c r="G110" s="238"/>
      <c r="H110" s="306"/>
      <c r="I110" s="310" t="n">
        <v>1524587.59872</v>
      </c>
      <c r="J110" s="306"/>
      <c r="K110" s="238" t="n">
        <f aca="false">-H110+I110-J110</f>
        <v>1524587.59872</v>
      </c>
      <c r="L110" s="238" t="n">
        <f aca="false">K110-G110-F110</f>
        <v>1524587.59872</v>
      </c>
      <c r="M110" s="238" t="n">
        <f aca="false">$C110-$E110+K110</f>
        <v>18743045.0050567</v>
      </c>
      <c r="N110" s="238" t="n">
        <f aca="false">$C110-$E110+L110</f>
        <v>18743045.0050567</v>
      </c>
      <c r="O110" s="51" t="n">
        <f aca="false">M110/'Test Year 2001 Sales and Revs.'!$F110</f>
        <v>0.0531094143031368</v>
      </c>
      <c r="P110" s="51" t="n">
        <f aca="false">N110/'Test Year 2001 Sales and Revs.'!$F110</f>
        <v>0.0531094143031368</v>
      </c>
    </row>
    <row r="111" customFormat="false" ht="12.75" hidden="false" customHeight="false" outlineLevel="0" collapsed="false">
      <c r="A111" s="298" t="s">
        <v>489</v>
      </c>
      <c r="B111" s="304"/>
      <c r="C111" s="50" t="n">
        <f aca="false">SUM(C109:C110)</f>
        <v>25686608.3659217</v>
      </c>
      <c r="D111" s="50" t="n">
        <f aca="false">SUM(D109:D110)</f>
        <v>25686608.3659217</v>
      </c>
      <c r="E111" s="50" t="n">
        <f aca="false">SUM(E109:E110)</f>
        <v>8289259.61977656</v>
      </c>
      <c r="I111" s="50" t="n">
        <f aca="false">SUM(I109:I110)</f>
        <v>1539621.19872</v>
      </c>
      <c r="K111" s="50" t="n">
        <f aca="false">SUM(K109:K110)</f>
        <v>1539621.19872</v>
      </c>
      <c r="L111" s="50" t="n">
        <f aca="false">SUM(L109:L110)</f>
        <v>1539621.19872</v>
      </c>
      <c r="M111" s="50" t="n">
        <f aca="false">SUM(M109:M110)</f>
        <v>18936969.9448651</v>
      </c>
      <c r="N111" s="50" t="n">
        <f aca="false">SUM(N109:N110)</f>
        <v>18936969.9448651</v>
      </c>
      <c r="O111" s="51" t="n">
        <f aca="false">M111/'Test Year 2001 Sales and Revs.'!$F111</f>
        <v>0.0531349595795577</v>
      </c>
      <c r="P111" s="51" t="n">
        <f aca="false">N111/'Test Year 2001 Sales and Revs.'!$F111</f>
        <v>0.0531349595795577</v>
      </c>
    </row>
    <row r="112" customFormat="false" ht="12.75" hidden="false" customHeight="false" outlineLevel="0" collapsed="false">
      <c r="A112" s="298"/>
      <c r="B112" s="304"/>
    </row>
    <row r="113" customFormat="false" ht="12.75" hidden="false" customHeight="false" outlineLevel="0" collapsed="false">
      <c r="A113" s="298" t="s">
        <v>490</v>
      </c>
      <c r="B113" s="304" t="s">
        <v>236</v>
      </c>
      <c r="C113" s="50" t="n">
        <f aca="false">C99+C109</f>
        <v>330891264.674591</v>
      </c>
      <c r="D113" s="50" t="n">
        <f aca="false">D99+D109</f>
        <v>330891264.674591</v>
      </c>
      <c r="E113" s="50" t="n">
        <f aca="false">E99+E109</f>
        <v>62071011.6643416</v>
      </c>
      <c r="H113" s="50" t="n">
        <f aca="false">H99+H109</f>
        <v>-31857082.9113344</v>
      </c>
      <c r="I113" s="50" t="n">
        <f aca="false">I99+I109</f>
        <v>30437038.3795869</v>
      </c>
      <c r="J113" s="50" t="n">
        <f aca="false">J99+J109</f>
        <v>-27287.3236395512</v>
      </c>
      <c r="K113" s="50" t="n">
        <f aca="false">K99+K109</f>
        <v>62321408.6145609</v>
      </c>
      <c r="L113" s="50" t="n">
        <f aca="false">L99+L109</f>
        <v>62321408.6145609</v>
      </c>
      <c r="M113" s="50" t="n">
        <f aca="false">M99+M109</f>
        <v>331141661.624811</v>
      </c>
      <c r="N113" s="50" t="n">
        <f aca="false">N99+N109</f>
        <v>331141661.624811</v>
      </c>
      <c r="O113" s="51" t="n">
        <f aca="false">M113/'Test Year 2001 Sales and Revs.'!$F113</f>
        <v>0.0469997100367883</v>
      </c>
      <c r="P113" s="51" t="n">
        <f aca="false">N113/'Test Year 2001 Sales and Revs.'!$F113</f>
        <v>0.0469997100367883</v>
      </c>
    </row>
    <row r="114" customFormat="false" ht="12.75" hidden="false" customHeight="false" outlineLevel="0" collapsed="false">
      <c r="A114" s="298"/>
      <c r="B114" s="304" t="s">
        <v>234</v>
      </c>
      <c r="C114" s="50" t="n">
        <f aca="false">C103</f>
        <v>424958830.41474</v>
      </c>
      <c r="D114" s="50" t="n">
        <f aca="false">D103</f>
        <v>424958830.41474</v>
      </c>
      <c r="E114" s="50" t="n">
        <f aca="false">E103</f>
        <v>114741184.967153</v>
      </c>
      <c r="H114" s="50" t="n">
        <f aca="false">H103</f>
        <v>-12572660.4103346</v>
      </c>
      <c r="I114" s="50" t="n">
        <f aca="false">I103</f>
        <v>27047287.4615034</v>
      </c>
      <c r="J114" s="50" t="n">
        <f aca="false">J103</f>
        <v>410842.699848519</v>
      </c>
      <c r="K114" s="50" t="n">
        <f aca="false">K103</f>
        <v>39209105.1719895</v>
      </c>
      <c r="L114" s="50" t="n">
        <f aca="false">L103</f>
        <v>39209105.1719895</v>
      </c>
      <c r="M114" s="50" t="n">
        <f aca="false">M103</f>
        <v>349426750.619577</v>
      </c>
      <c r="N114" s="50" t="n">
        <f aca="false">N103</f>
        <v>349426750.619577</v>
      </c>
      <c r="O114" s="51" t="n">
        <f aca="false">M114/'Test Year 2001 Sales and Revs.'!$F114</f>
        <v>0.055810534229175</v>
      </c>
      <c r="P114" s="51" t="n">
        <f aca="false">N114/'Test Year 2001 Sales and Revs.'!$F114</f>
        <v>0.055810534229175</v>
      </c>
    </row>
    <row r="115" customFormat="false" ht="12.75" hidden="false" customHeight="false" outlineLevel="0" collapsed="false">
      <c r="A115" s="298"/>
      <c r="B115" s="304" t="s">
        <v>231</v>
      </c>
      <c r="C115" s="238" t="n">
        <f aca="false">C107+C110</f>
        <v>288255006.086306</v>
      </c>
      <c r="D115" s="238" t="n">
        <f aca="false">D107+D110</f>
        <v>288255006.086306</v>
      </c>
      <c r="E115" s="238" t="n">
        <f aca="false">E107+E110</f>
        <v>95977910.1129779</v>
      </c>
      <c r="F115" s="238"/>
      <c r="G115" s="238"/>
      <c r="H115" s="238" t="n">
        <f aca="false">H107+H110</f>
        <v>-2049114.63820295</v>
      </c>
      <c r="I115" s="238" t="n">
        <f aca="false">I107+I110</f>
        <v>15294989.8934339</v>
      </c>
      <c r="J115" s="238" t="n">
        <f aca="false">J107+J110</f>
        <v>94654.1160262919</v>
      </c>
      <c r="K115" s="238" t="n">
        <f aca="false">K107+K110</f>
        <v>17249450.4156106</v>
      </c>
      <c r="L115" s="238" t="n">
        <f aca="false">L107+L110</f>
        <v>17249450.4156106</v>
      </c>
      <c r="M115" s="238" t="n">
        <f aca="false">M107+M110</f>
        <v>209526546.388939</v>
      </c>
      <c r="N115" s="238" t="n">
        <f aca="false">N107+N110</f>
        <v>209526546.388939</v>
      </c>
      <c r="O115" s="51" t="n">
        <f aca="false">M115/'Test Year 2001 Sales and Revs.'!$F115</f>
        <v>0.0591798155282728</v>
      </c>
      <c r="P115" s="51" t="n">
        <f aca="false">N115/'Test Year 2001 Sales and Revs.'!$F115</f>
        <v>0.0591798155282728</v>
      </c>
    </row>
    <row r="116" customFormat="false" ht="12.75" hidden="false" customHeight="false" outlineLevel="0" collapsed="false">
      <c r="A116" s="298" t="s">
        <v>490</v>
      </c>
      <c r="B116" s="304"/>
      <c r="C116" s="50" t="n">
        <f aca="false">SUM(C113:C115)</f>
        <v>1044105101.17564</v>
      </c>
      <c r="D116" s="50" t="n">
        <f aca="false">SUM(D113:D115)</f>
        <v>1044105101.17564</v>
      </c>
      <c r="E116" s="50" t="n">
        <f aca="false">SUM(E113:E115)</f>
        <v>272790106.744473</v>
      </c>
      <c r="H116" s="50" t="n">
        <f aca="false">SUM(H113:H115)</f>
        <v>-46478857.959872</v>
      </c>
      <c r="I116" s="50" t="n">
        <f aca="false">SUM(I113:I115)</f>
        <v>72779315.7345242</v>
      </c>
      <c r="J116" s="50" t="n">
        <f aca="false">SUM(J113:J115)</f>
        <v>478209.492235259</v>
      </c>
      <c r="K116" s="50" t="n">
        <f aca="false">SUM(K113:K115)</f>
        <v>118779964.202161</v>
      </c>
      <c r="L116" s="50" t="n">
        <f aca="false">SUM(L113:L115)</f>
        <v>118779964.202161</v>
      </c>
      <c r="M116" s="50" t="n">
        <f aca="false">SUM(M113:M115)</f>
        <v>890094958.633326</v>
      </c>
      <c r="N116" s="50" t="n">
        <f aca="false">SUM(N113:N115)</f>
        <v>890094958.633326</v>
      </c>
      <c r="O116" s="51" t="n">
        <f aca="false">M116/'Test Year 2001 Sales and Revs.'!$F116</f>
        <v>0.052833833108875</v>
      </c>
      <c r="P116" s="51" t="n">
        <f aca="false">N116/'Test Year 2001 Sales and Revs.'!$F116</f>
        <v>0.052833833108875</v>
      </c>
    </row>
    <row r="117" customFormat="false" ht="12.75" hidden="false" customHeight="false" outlineLevel="0" collapsed="false">
      <c r="A117" s="298"/>
      <c r="B117" s="304"/>
    </row>
    <row r="118" customFormat="false" ht="12.75" hidden="false" customHeight="false" outlineLevel="0" collapsed="false">
      <c r="A118" s="298" t="s">
        <v>349</v>
      </c>
      <c r="B118" s="297" t="s">
        <v>236</v>
      </c>
      <c r="C118" s="305" t="n">
        <f aca="false">'Test Year 2001 Sales and Revs.'!G118</f>
        <v>17626446.15</v>
      </c>
      <c r="D118" s="305" t="n">
        <f aca="false">'Test Year 2001 Sales and Revs.'!H118</f>
        <v>17626446.15</v>
      </c>
      <c r="E118" s="305" t="n">
        <f aca="false">SUM('Revenue Allocation'!E116:I116)</f>
        <v>3151700.03872665</v>
      </c>
      <c r="F118" s="305"/>
      <c r="H118" s="305"/>
      <c r="I118" s="305"/>
      <c r="J118" s="305"/>
      <c r="K118" s="295" t="n">
        <f aca="false">-H118+I118-J118</f>
        <v>0</v>
      </c>
      <c r="L118" s="295" t="n">
        <f aca="false">K118-G118-F118</f>
        <v>0</v>
      </c>
      <c r="M118" s="50" t="n">
        <f aca="false">$C118-$E118+K118</f>
        <v>14474746.1112733</v>
      </c>
      <c r="N118" s="50" t="n">
        <f aca="false">$C118-$E118+L118</f>
        <v>14474746.1112733</v>
      </c>
      <c r="O118" s="51" t="n">
        <f aca="false">M118/'Test Year 2001 Sales and Revs.'!$F118</f>
        <v>0.0403367055446132</v>
      </c>
      <c r="P118" s="51" t="n">
        <f aca="false">N118/'Test Year 2001 Sales and Revs.'!$F118</f>
        <v>0.0403367055446132</v>
      </c>
    </row>
    <row r="119" customFormat="false" ht="12.75" hidden="false" customHeight="false" outlineLevel="0" collapsed="false">
      <c r="A119" s="298"/>
      <c r="B119" s="297" t="s">
        <v>234</v>
      </c>
      <c r="E119" s="305" t="n">
        <f aca="false">SUM('Revenue Allocation'!E117:I117)</f>
        <v>0</v>
      </c>
      <c r="K119" s="50" t="n">
        <f aca="false">-H119+I119-J119</f>
        <v>0</v>
      </c>
      <c r="L119" s="50" t="n">
        <f aca="false">K119-G119-F119</f>
        <v>0</v>
      </c>
      <c r="M119" s="50" t="n">
        <f aca="false">D119-E119-H119</f>
        <v>0</v>
      </c>
      <c r="N119" s="50" t="n">
        <f aca="false">C119+F119-E119-H119</f>
        <v>0</v>
      </c>
    </row>
    <row r="120" customFormat="false" ht="12.75" hidden="false" customHeight="false" outlineLevel="0" collapsed="false">
      <c r="A120" s="298"/>
      <c r="B120" s="297" t="s">
        <v>231</v>
      </c>
      <c r="C120" s="306" t="n">
        <f aca="false">'Test Year 2001 Sales and Revs.'!G120</f>
        <v>1782797.25</v>
      </c>
      <c r="D120" s="306" t="n">
        <f aca="false">'Test Year 2001 Sales and Revs.'!H120</f>
        <v>1782797.25</v>
      </c>
      <c r="E120" s="306" t="n">
        <f aca="false">SUM('Revenue Allocation'!E118:I118)</f>
        <v>787360.942104243</v>
      </c>
      <c r="F120" s="306"/>
      <c r="G120" s="238"/>
      <c r="H120" s="306"/>
      <c r="I120" s="306"/>
      <c r="J120" s="306"/>
      <c r="K120" s="238" t="n">
        <f aca="false">-H120+I120-J120</f>
        <v>0</v>
      </c>
      <c r="L120" s="238" t="n">
        <f aca="false">K120-G120-F120</f>
        <v>0</v>
      </c>
      <c r="M120" s="238" t="n">
        <f aca="false">$C120-$E120+K120</f>
        <v>995436.307895757</v>
      </c>
      <c r="N120" s="238" t="n">
        <f aca="false">$C120-$E120+L120</f>
        <v>995436.307895757</v>
      </c>
      <c r="O120" s="51" t="n">
        <f aca="false">M120/'Test Year 2001 Sales and Revs.'!$F120</f>
        <v>0.0348851473787911</v>
      </c>
      <c r="P120" s="51" t="n">
        <f aca="false">N120/'Test Year 2001 Sales and Revs.'!$F120</f>
        <v>0.0348851473787911</v>
      </c>
    </row>
    <row r="121" customFormat="false" ht="12.75" hidden="false" customHeight="false" outlineLevel="0" collapsed="false">
      <c r="A121" s="298" t="s">
        <v>491</v>
      </c>
      <c r="B121" s="304"/>
      <c r="C121" s="50" t="n">
        <f aca="false">SUM(C118:C120)</f>
        <v>19409243.4</v>
      </c>
      <c r="D121" s="50" t="n">
        <f aca="false">SUM(D118:D120)</f>
        <v>19409243.4</v>
      </c>
      <c r="E121" s="50" t="n">
        <f aca="false">SUM(E118:E120)</f>
        <v>3939060.9808309</v>
      </c>
      <c r="K121" s="50" t="n">
        <f aca="false">SUM(K118:K120)</f>
        <v>0</v>
      </c>
      <c r="L121" s="50" t="n">
        <f aca="false">SUM(L118:L120)</f>
        <v>0</v>
      </c>
      <c r="M121" s="50" t="n">
        <f aca="false">SUM(M118:M120)</f>
        <v>15470182.4191691</v>
      </c>
      <c r="N121" s="50" t="n">
        <f aca="false">SUM(N118:N120)</f>
        <v>15470182.4191691</v>
      </c>
      <c r="O121" s="51" t="n">
        <f aca="false">M121/'Test Year 2001 Sales and Revs.'!$F121</f>
        <v>0.0399351428380328</v>
      </c>
      <c r="P121" s="51" t="n">
        <f aca="false">N121/'Test Year 2001 Sales and Revs.'!$F121</f>
        <v>0.0399351428380328</v>
      </c>
    </row>
    <row r="122" customFormat="false" ht="12.75" hidden="false" customHeight="false" outlineLevel="0" collapsed="false">
      <c r="A122" s="298"/>
      <c r="B122" s="304"/>
    </row>
    <row r="123" customFormat="false" ht="12.75" hidden="false" customHeight="false" outlineLevel="0" collapsed="false">
      <c r="A123" s="298" t="s">
        <v>492</v>
      </c>
      <c r="B123" s="304" t="s">
        <v>236</v>
      </c>
      <c r="C123" s="313" t="n">
        <f aca="false">C118+C113</f>
        <v>348517710.824591</v>
      </c>
      <c r="D123" s="313" t="n">
        <f aca="false">D118+D113</f>
        <v>348517710.824591</v>
      </c>
      <c r="E123" s="313" t="n">
        <f aca="false">E118+E113</f>
        <v>65222711.7030683</v>
      </c>
      <c r="F123" s="313"/>
      <c r="G123" s="314"/>
      <c r="H123" s="313" t="n">
        <f aca="false">H118+H113</f>
        <v>-31857082.9113344</v>
      </c>
      <c r="I123" s="313" t="n">
        <f aca="false">I118+I113</f>
        <v>30437038.3795869</v>
      </c>
      <c r="J123" s="313" t="n">
        <f aca="false">J118+J113</f>
        <v>-27287.3236395512</v>
      </c>
      <c r="K123" s="313" t="n">
        <f aca="false">K118+K113</f>
        <v>62321408.6145609</v>
      </c>
      <c r="L123" s="313" t="n">
        <f aca="false">L118+L113</f>
        <v>62321408.6145609</v>
      </c>
      <c r="M123" s="313" t="n">
        <f aca="false">M118+M113</f>
        <v>345616407.736084</v>
      </c>
      <c r="N123" s="313" t="n">
        <f aca="false">N118+N113</f>
        <v>345616407.736084</v>
      </c>
      <c r="O123" s="51" t="n">
        <f aca="false">M123/'Test Year 2001 Sales and Revs.'!$F123</f>
        <v>0.0466767957062137</v>
      </c>
      <c r="P123" s="51" t="n">
        <f aca="false">N123/'Test Year 2001 Sales and Revs.'!$F123</f>
        <v>0.0466767957062137</v>
      </c>
    </row>
    <row r="124" customFormat="false" ht="12.75" hidden="false" customHeight="false" outlineLevel="0" collapsed="false">
      <c r="A124" s="298"/>
      <c r="B124" s="304" t="s">
        <v>234</v>
      </c>
      <c r="C124" s="313" t="n">
        <f aca="false">C119+C114</f>
        <v>424958830.41474</v>
      </c>
      <c r="D124" s="313" t="n">
        <f aca="false">D119+D114</f>
        <v>424958830.41474</v>
      </c>
      <c r="E124" s="313" t="n">
        <f aca="false">E119+E114</f>
        <v>114741184.967153</v>
      </c>
      <c r="F124" s="313"/>
      <c r="G124" s="314"/>
      <c r="H124" s="313" t="n">
        <f aca="false">H119+H114</f>
        <v>-12572660.4103346</v>
      </c>
      <c r="I124" s="313" t="n">
        <f aca="false">I119+I114</f>
        <v>27047287.4615034</v>
      </c>
      <c r="J124" s="313" t="n">
        <f aca="false">J119+J114</f>
        <v>410842.699848519</v>
      </c>
      <c r="K124" s="313" t="n">
        <f aca="false">K119+K114</f>
        <v>39209105.1719895</v>
      </c>
      <c r="L124" s="313" t="n">
        <f aca="false">L119+L114</f>
        <v>39209105.1719895</v>
      </c>
      <c r="M124" s="313" t="n">
        <f aca="false">M119+M114</f>
        <v>349426750.619577</v>
      </c>
      <c r="N124" s="313" t="n">
        <f aca="false">N119+N114</f>
        <v>349426750.619577</v>
      </c>
      <c r="O124" s="51" t="n">
        <f aca="false">M124/'Test Year 2001 Sales and Revs.'!$F124</f>
        <v>0.055810534229175</v>
      </c>
      <c r="P124" s="51" t="n">
        <f aca="false">N124/'Test Year 2001 Sales and Revs.'!$F124</f>
        <v>0.055810534229175</v>
      </c>
    </row>
    <row r="125" customFormat="false" ht="12.75" hidden="false" customHeight="false" outlineLevel="0" collapsed="false">
      <c r="A125" s="298"/>
      <c r="B125" s="304" t="s">
        <v>231</v>
      </c>
      <c r="C125" s="319" t="n">
        <f aca="false">C120+C115</f>
        <v>290037803.336306</v>
      </c>
      <c r="D125" s="319" t="n">
        <f aca="false">D120+D115</f>
        <v>290037803.336306</v>
      </c>
      <c r="E125" s="319" t="n">
        <f aca="false">E120+E115</f>
        <v>96765271.0550821</v>
      </c>
      <c r="F125" s="313"/>
      <c r="G125" s="314"/>
      <c r="H125" s="319" t="n">
        <f aca="false">H120+H115</f>
        <v>-2049114.63820295</v>
      </c>
      <c r="I125" s="319" t="n">
        <f aca="false">I120+I115</f>
        <v>15294989.8934339</v>
      </c>
      <c r="J125" s="319" t="n">
        <f aca="false">J120+J115</f>
        <v>94654.1160262919</v>
      </c>
      <c r="K125" s="319" t="n">
        <f aca="false">K120+K115</f>
        <v>17249450.4156106</v>
      </c>
      <c r="L125" s="319" t="n">
        <f aca="false">L120+L115</f>
        <v>17249450.4156106</v>
      </c>
      <c r="M125" s="319" t="n">
        <f aca="false">M120+M115</f>
        <v>210521982.696834</v>
      </c>
      <c r="N125" s="319" t="n">
        <f aca="false">N120+N115</f>
        <v>210521982.696834</v>
      </c>
      <c r="O125" s="51" t="n">
        <f aca="false">M125/'Test Year 2001 Sales and Revs.'!$F125</f>
        <v>0.0589855783871892</v>
      </c>
      <c r="P125" s="51" t="n">
        <f aca="false">N125/'Test Year 2001 Sales and Revs.'!$F125</f>
        <v>0.0589855783871892</v>
      </c>
    </row>
    <row r="126" customFormat="false" ht="12.75" hidden="false" customHeight="false" outlineLevel="0" collapsed="false">
      <c r="A126" s="298" t="s">
        <v>492</v>
      </c>
      <c r="B126" s="304"/>
      <c r="C126" s="313" t="n">
        <f aca="false">C123+C124+C125</f>
        <v>1063514344.57564</v>
      </c>
      <c r="D126" s="313" t="n">
        <f aca="false">D123+D124+D125</f>
        <v>1063514344.57564</v>
      </c>
      <c r="E126" s="313" t="n">
        <f aca="false">E123+E124+E125</f>
        <v>276729167.725304</v>
      </c>
      <c r="F126" s="313"/>
      <c r="G126" s="314"/>
      <c r="H126" s="313" t="n">
        <f aca="false">H123+H124+H125</f>
        <v>-46478857.959872</v>
      </c>
      <c r="I126" s="313" t="n">
        <f aca="false">I123+I124+I125</f>
        <v>72779315.7345242</v>
      </c>
      <c r="J126" s="313" t="n">
        <f aca="false">J123+J124+J125</f>
        <v>478209.492235259</v>
      </c>
      <c r="K126" s="313" t="n">
        <f aca="false">K123+K124+K125</f>
        <v>118779964.202161</v>
      </c>
      <c r="L126" s="313" t="n">
        <f aca="false">L123+L124+L125</f>
        <v>118779964.202161</v>
      </c>
      <c r="M126" s="313" t="n">
        <f aca="false">M123+M124+M125</f>
        <v>905565141.052495</v>
      </c>
      <c r="N126" s="313" t="n">
        <f aca="false">N123+N124+N125</f>
        <v>905565141.052495</v>
      </c>
      <c r="O126" s="51" t="n">
        <f aca="false">M126/'Test Year 2001 Sales and Revs.'!$F126</f>
        <v>0.0525439062389984</v>
      </c>
      <c r="P126" s="51" t="n">
        <f aca="false">N126/'Test Year 2001 Sales and Revs.'!$F126</f>
        <v>0.0525439062389984</v>
      </c>
    </row>
    <row r="127" customFormat="false" ht="13.5" hidden="false" customHeight="true" outlineLevel="0" collapsed="false">
      <c r="A127" s="298"/>
      <c r="B127" s="304"/>
      <c r="M127" s="50"/>
      <c r="N127" s="50"/>
    </row>
    <row r="128" customFormat="false" ht="12.75" hidden="false" customHeight="false" outlineLevel="0" collapsed="false">
      <c r="A128" s="298"/>
      <c r="B128" s="304"/>
      <c r="M128" s="50"/>
      <c r="N128" s="50"/>
    </row>
    <row r="129" customFormat="false" ht="12.75" hidden="false" customHeight="false" outlineLevel="0" collapsed="false">
      <c r="A129" s="298"/>
      <c r="B129" s="304"/>
      <c r="M129" s="50"/>
      <c r="N129" s="50"/>
    </row>
    <row r="130" customFormat="false" ht="12.75" hidden="false" customHeight="false" outlineLevel="0" collapsed="false">
      <c r="A130" s="298" t="s">
        <v>493</v>
      </c>
      <c r="B130" s="304"/>
      <c r="C130" s="313" t="n">
        <f aca="false">ROUND(C13+C22+C29+C54+C56+C73+C94+C126,0)</f>
        <v>7717960462</v>
      </c>
      <c r="D130" s="313" t="n">
        <f aca="false">ROUND(D13+D22+D29+D54+D56+D73+D94+D126,0)</f>
        <v>8167947241</v>
      </c>
      <c r="E130" s="313" t="n">
        <f aca="false">ROUND(E13+E22+E29+E54+E56+E73+E94+E126,0)</f>
        <v>3071548987</v>
      </c>
      <c r="F130" s="313" t="n">
        <f aca="false">ROUND(F13+F22+F29+F54+F56+F73+F94+F126,0)</f>
        <v>383967030</v>
      </c>
      <c r="G130" s="314" t="n">
        <f aca="false">ROUND(G13+G22+G29+G54+G56+G73+G94+G126,0)</f>
        <v>-449986779</v>
      </c>
      <c r="H130" s="313" t="n">
        <f aca="false">ROUND(H13+H22+H29+H54+H56+H73+H94+H126,0)</f>
        <v>-47251245</v>
      </c>
      <c r="I130" s="313" t="n">
        <f aca="false">I13+I22+I29+I54+I56+I72+I94+I126</f>
        <v>72779315.7345242</v>
      </c>
      <c r="J130" s="313" t="n">
        <f aca="false">J13+J22+J29+J54+J56+J72+J94+J126</f>
        <v>2818414.84903224</v>
      </c>
      <c r="K130" s="313" t="n">
        <f aca="false">K13+K22+K29+K54+K56+K72+K94+K126</f>
        <v>117212146.291189</v>
      </c>
      <c r="L130" s="313" t="n">
        <f aca="false">L13+L22+L29+L54+L56+L72+L94+L126</f>
        <v>183231894.75212</v>
      </c>
      <c r="M130" s="313" t="n">
        <f aca="false">ROUND(M13+M22+M29+M54+M56+M73+M94+M126,0)</f>
        <v>4763623622</v>
      </c>
      <c r="N130" s="313" t="n">
        <f aca="false">ROUND(N13+N22+N29+N54+N56+N73+N94+N126,0)</f>
        <v>4829643370</v>
      </c>
      <c r="O130" s="51" t="n">
        <f aca="false">M130/'Test Year 2001 Sales and Revs.'!$F132</f>
        <v>0.058099368359002</v>
      </c>
      <c r="P130" s="51" t="n">
        <f aca="false">N130/'Test Year 2001 Sales and Revs.'!$F132</f>
        <v>0.0589045758989735</v>
      </c>
    </row>
    <row r="131" customFormat="false" ht="12.75" hidden="false" customHeight="false" outlineLevel="0" collapsed="false">
      <c r="A131" s="298" t="s">
        <v>355</v>
      </c>
      <c r="B131" s="304"/>
      <c r="E131" s="305" t="n">
        <f aca="false">SUM('Revenue Allocation'!E130:I130)</f>
        <v>3071549086.94756</v>
      </c>
      <c r="F131" s="305" t="n">
        <f aca="false">'Revenue Allocation'!K131</f>
        <v>383967030.498144</v>
      </c>
      <c r="H131" s="305" t="n">
        <f aca="false">'Test Year 2001 Sales and Revs.'!L133</f>
        <v>-47251245</v>
      </c>
      <c r="M131" s="305"/>
      <c r="N131" s="305"/>
    </row>
    <row r="132" customFormat="false" ht="12.75" hidden="false" customHeight="false" outlineLevel="0" collapsed="false">
      <c r="B132" s="111"/>
    </row>
    <row r="133" customFormat="false" ht="12.75" hidden="false" customHeight="false" outlineLevel="0" collapsed="false">
      <c r="B133" s="111"/>
    </row>
    <row r="134" customFormat="false" ht="12.75" hidden="false" customHeight="false" outlineLevel="0" collapsed="false">
      <c r="B134" s="111"/>
    </row>
    <row r="135" customFormat="false" ht="12.75" hidden="false" customHeight="false" outlineLevel="0" collapsed="false">
      <c r="B135" s="111"/>
    </row>
    <row r="136" customFormat="false" ht="12.75" hidden="false" customHeight="false" outlineLevel="0" collapsed="false">
      <c r="B136" s="111"/>
    </row>
    <row r="137" customFormat="false" ht="12.75" hidden="false" customHeight="false" outlineLevel="0" collapsed="false">
      <c r="B137" s="111"/>
    </row>
    <row r="138" customFormat="false" ht="12.75" hidden="false" customHeight="false" outlineLevel="0" collapsed="false">
      <c r="B138" s="111"/>
    </row>
    <row r="139" customFormat="false" ht="12.75" hidden="false" customHeight="false" outlineLevel="0" collapsed="false">
      <c r="B139" s="111"/>
    </row>
    <row r="140" customFormat="false" ht="12.75" hidden="false" customHeight="false" outlineLevel="0" collapsed="false">
      <c r="B140" s="111"/>
    </row>
    <row r="141" customFormat="false" ht="12.75" hidden="false" customHeight="false" outlineLevel="0" collapsed="false">
      <c r="B141" s="111"/>
    </row>
    <row r="142" customFormat="false" ht="12.75" hidden="false" customHeight="false" outlineLevel="0" collapsed="false">
      <c r="B142" s="111"/>
    </row>
    <row r="143" customFormat="false" ht="12.75" hidden="false" customHeight="false" outlineLevel="0" collapsed="false">
      <c r="B143" s="111"/>
    </row>
    <row r="144" customFormat="false" ht="12.75" hidden="false" customHeight="false" outlineLevel="0" collapsed="false">
      <c r="B144" s="111"/>
    </row>
    <row r="145" customFormat="false" ht="12.75" hidden="false" customHeight="false" outlineLevel="0" collapsed="false">
      <c r="B145" s="111"/>
    </row>
    <row r="146" customFormat="false" ht="12.75" hidden="false" customHeight="false" outlineLevel="0" collapsed="false">
      <c r="B146" s="111"/>
    </row>
    <row r="147" customFormat="false" ht="12.75" hidden="false" customHeight="false" outlineLevel="0" collapsed="false">
      <c r="B147" s="111"/>
    </row>
    <row r="148" customFormat="false" ht="12.75" hidden="false" customHeight="false" outlineLevel="0" collapsed="false">
      <c r="A148" s="320"/>
      <c r="B148" s="106"/>
    </row>
    <row r="149" customFormat="false" ht="12.75" hidden="false" customHeight="false" outlineLevel="0" collapsed="false">
      <c r="A149" s="105"/>
      <c r="B149" s="106"/>
    </row>
    <row r="150" customFormat="false" ht="12.75" hidden="false" customHeight="false" outlineLevel="0" collapsed="false">
      <c r="A150" s="321"/>
      <c r="B150" s="106"/>
    </row>
    <row r="151" customFormat="false" ht="12.75" hidden="false" customHeight="false" outlineLevel="0" collapsed="false">
      <c r="A151" s="322"/>
      <c r="B151" s="323"/>
    </row>
    <row r="152" customFormat="false" ht="12.75" hidden="false" customHeight="false" outlineLevel="0" collapsed="false">
      <c r="A152" s="322"/>
      <c r="B152" s="323"/>
    </row>
    <row r="153" customFormat="false" ht="12.75" hidden="false" customHeight="false" outlineLevel="0" collapsed="false">
      <c r="A153" s="322"/>
      <c r="B153" s="323"/>
    </row>
    <row r="154" customFormat="false" ht="12.75" hidden="false" customHeight="false" outlineLevel="0" collapsed="false">
      <c r="A154" s="105"/>
      <c r="B154" s="323"/>
    </row>
    <row r="155" customFormat="false" ht="12.75" hidden="false" customHeight="false" outlineLevel="0" collapsed="false">
      <c r="A155" s="321"/>
      <c r="B155" s="323"/>
    </row>
    <row r="156" customFormat="false" ht="12.75" hidden="false" customHeight="false" outlineLevel="0" collapsed="false">
      <c r="A156" s="322"/>
      <c r="B156" s="323"/>
    </row>
    <row r="157" customFormat="false" ht="12.75" hidden="false" customHeight="false" outlineLevel="0" collapsed="false">
      <c r="A157" s="322"/>
      <c r="B157" s="323"/>
    </row>
    <row r="158" customFormat="false" ht="12.75" hidden="false" customHeight="false" outlineLevel="0" collapsed="false">
      <c r="A158" s="322"/>
      <c r="B158" s="323"/>
    </row>
    <row r="159" customFormat="false" ht="12.75" hidden="false" customHeight="false" outlineLevel="0" collapsed="false">
      <c r="A159" s="322"/>
      <c r="B159" s="323"/>
    </row>
    <row r="160" customFormat="false" ht="12.75" hidden="false" customHeight="false" outlineLevel="0" collapsed="false">
      <c r="A160" s="105"/>
      <c r="B160" s="105"/>
    </row>
    <row r="161" customFormat="false" ht="12.75" hidden="false" customHeight="false" outlineLevel="0" collapsed="false">
      <c r="A161" s="321"/>
      <c r="B161" s="102"/>
    </row>
    <row r="162" customFormat="false" ht="12.75" hidden="false" customHeight="false" outlineLevel="0" collapsed="false">
      <c r="A162" s="322"/>
      <c r="B162" s="323"/>
    </row>
    <row r="163" customFormat="false" ht="12.75" hidden="false" customHeight="false" outlineLevel="0" collapsed="false">
      <c r="A163" s="322"/>
      <c r="B163" s="106"/>
    </row>
    <row r="164" customFormat="false" ht="12.75" hidden="false" customHeight="false" outlineLevel="0" collapsed="false">
      <c r="A164" s="322"/>
      <c r="B164" s="323"/>
    </row>
    <row r="165" customFormat="false" ht="12.75" hidden="false" customHeight="false" outlineLevel="0" collapsed="false">
      <c r="A165" s="105"/>
      <c r="B165" s="106"/>
    </row>
    <row r="166" customFormat="false" ht="12.75" hidden="false" customHeight="false" outlineLevel="0" collapsed="false">
      <c r="A166" s="321"/>
      <c r="B166" s="106"/>
    </row>
    <row r="167" customFormat="false" ht="12.75" hidden="false" customHeight="false" outlineLevel="0" collapsed="false">
      <c r="A167" s="322"/>
      <c r="B167" s="106"/>
    </row>
    <row r="168" customFormat="false" ht="12.75" hidden="false" customHeight="false" outlineLevel="0" collapsed="false">
      <c r="A168" s="322"/>
      <c r="B168" s="106"/>
    </row>
    <row r="169" customFormat="false" ht="12.75" hidden="false" customHeight="false" outlineLevel="0" collapsed="false">
      <c r="A169" s="322"/>
      <c r="B169" s="106"/>
    </row>
    <row r="170" customFormat="false" ht="12.75" hidden="false" customHeight="false" outlineLevel="0" collapsed="false">
      <c r="A170" s="322"/>
      <c r="B170" s="106"/>
    </row>
    <row r="171" customFormat="false" ht="12.75" hidden="false" customHeight="false" outlineLevel="0" collapsed="false">
      <c r="A171" s="322"/>
      <c r="B171" s="106"/>
    </row>
    <row r="172" customFormat="false" ht="12.75" hidden="false" customHeight="false" outlineLevel="0" collapsed="false">
      <c r="A172" s="322"/>
      <c r="B172" s="106"/>
    </row>
    <row r="173" customFormat="false" ht="12.75" hidden="false" customHeight="false" outlineLevel="0" collapsed="false">
      <c r="A173" s="322"/>
      <c r="B173" s="106"/>
    </row>
    <row r="174" customFormat="false" ht="12.75" hidden="false" customHeight="false" outlineLevel="0" collapsed="false">
      <c r="A174" s="322"/>
      <c r="B174" s="106"/>
    </row>
    <row r="175" customFormat="false" ht="12.75" hidden="false" customHeight="false" outlineLevel="0" collapsed="false">
      <c r="A175" s="322"/>
      <c r="B175" s="106"/>
    </row>
    <row r="176" customFormat="false" ht="12.75" hidden="false" customHeight="false" outlineLevel="0" collapsed="false">
      <c r="A176" s="324"/>
      <c r="B176" s="106"/>
    </row>
    <row r="177" customFormat="false" ht="12.75" hidden="false" customHeight="false" outlineLevel="0" collapsed="false">
      <c r="A177" s="324"/>
      <c r="B177" s="106"/>
    </row>
    <row r="178" customFormat="false" ht="12.75" hidden="false" customHeight="false" outlineLevel="0" collapsed="false">
      <c r="A178" s="321"/>
      <c r="B178" s="323"/>
    </row>
    <row r="179" customFormat="false" ht="12.75" hidden="false" customHeight="false" outlineLevel="0" collapsed="false">
      <c r="A179" s="105"/>
      <c r="B179" s="106"/>
    </row>
    <row r="180" customFormat="false" ht="12.75" hidden="false" customHeight="false" outlineLevel="0" collapsed="false">
      <c r="A180" s="321"/>
      <c r="B180" s="106"/>
    </row>
    <row r="181" customFormat="false" ht="12.75" hidden="false" customHeight="false" outlineLevel="0" collapsed="false">
      <c r="A181" s="322"/>
      <c r="B181" s="106"/>
    </row>
    <row r="182" customFormat="false" ht="12.75" hidden="false" customHeight="false" outlineLevel="0" collapsed="false">
      <c r="A182" s="322"/>
      <c r="B182" s="106"/>
    </row>
    <row r="183" customFormat="false" ht="12.75" hidden="false" customHeight="false" outlineLevel="0" collapsed="false">
      <c r="A183" s="322"/>
      <c r="B183" s="106"/>
    </row>
    <row r="184" customFormat="false" ht="12.75" hidden="false" customHeight="false" outlineLevel="0" collapsed="false">
      <c r="A184" s="105"/>
      <c r="B184" s="106"/>
    </row>
    <row r="185" customFormat="false" ht="12.75" hidden="false" customHeight="false" outlineLevel="0" collapsed="false">
      <c r="A185" s="325"/>
      <c r="B185" s="106"/>
    </row>
    <row r="186" customFormat="false" ht="12.75" hidden="false" customHeight="false" outlineLevel="0" collapsed="false">
      <c r="A186" s="322"/>
      <c r="B186" s="102"/>
    </row>
    <row r="187" customFormat="false" ht="12.75" hidden="false" customHeight="false" outlineLevel="0" collapsed="false">
      <c r="A187" s="322"/>
      <c r="B187" s="102"/>
    </row>
    <row r="188" customFormat="false" ht="12.75" hidden="false" customHeight="false" outlineLevel="0" collapsed="false">
      <c r="A188" s="322"/>
      <c r="B188" s="102"/>
    </row>
    <row r="189" customFormat="false" ht="12.75" hidden="false" customHeight="false" outlineLevel="0" collapsed="false">
      <c r="A189" s="322"/>
      <c r="B189" s="102"/>
    </row>
    <row r="190" customFormat="false" ht="12.75" hidden="false" customHeight="false" outlineLevel="0" collapsed="false">
      <c r="A190" s="322"/>
      <c r="B190" s="102"/>
    </row>
    <row r="191" customFormat="false" ht="12.75" hidden="false" customHeight="false" outlineLevel="0" collapsed="false">
      <c r="A191" s="322"/>
      <c r="B191" s="102"/>
    </row>
    <row r="192" customFormat="false" ht="12.75" hidden="false" customHeight="false" outlineLevel="0" collapsed="false">
      <c r="A192" s="322"/>
      <c r="B192" s="102"/>
    </row>
    <row r="193" customFormat="false" ht="12.75" hidden="false" customHeight="false" outlineLevel="0" collapsed="false">
      <c r="A193" s="322"/>
      <c r="B193" s="102"/>
    </row>
    <row r="194" customFormat="false" ht="12.75" hidden="false" customHeight="false" outlineLevel="0" collapsed="false">
      <c r="A194" s="322"/>
      <c r="B194" s="102"/>
    </row>
    <row r="195" customFormat="false" ht="12.75" hidden="false" customHeight="false" outlineLevel="0" collapsed="false">
      <c r="A195" s="322"/>
      <c r="B195" s="102"/>
    </row>
    <row r="196" customFormat="false" ht="12.75" hidden="false" customHeight="false" outlineLevel="0" collapsed="false">
      <c r="A196" s="322"/>
      <c r="B196" s="102"/>
    </row>
    <row r="197" customFormat="false" ht="12.75" hidden="false" customHeight="false" outlineLevel="0" collapsed="false">
      <c r="A197" s="322"/>
      <c r="B197" s="102"/>
    </row>
    <row r="198" customFormat="false" ht="12.75" hidden="false" customHeight="false" outlineLevel="0" collapsed="false">
      <c r="A198" s="322"/>
      <c r="B198" s="104"/>
    </row>
    <row r="199" customFormat="false" ht="12.75" hidden="false" customHeight="false" outlineLevel="0" collapsed="false">
      <c r="A199" s="322"/>
      <c r="B199" s="102"/>
    </row>
    <row r="200" customFormat="false" ht="12.75" hidden="false" customHeight="false" outlineLevel="0" collapsed="false">
      <c r="A200" s="105"/>
      <c r="B200" s="106"/>
    </row>
    <row r="201" customFormat="false" ht="12.75" hidden="false" customHeight="false" outlineLevel="0" collapsed="false">
      <c r="A201" s="321"/>
      <c r="B201" s="106"/>
    </row>
    <row r="202" customFormat="false" ht="12.75" hidden="false" customHeight="false" outlineLevel="0" collapsed="false">
      <c r="A202" s="322"/>
      <c r="B202" s="106"/>
    </row>
    <row r="203" customFormat="false" ht="12.75" hidden="false" customHeight="false" outlineLevel="0" collapsed="false">
      <c r="A203" s="322"/>
      <c r="B203" s="106"/>
    </row>
    <row r="204" customFormat="false" ht="12.75" hidden="false" customHeight="false" outlineLevel="0" collapsed="false">
      <c r="A204" s="322"/>
      <c r="B204" s="106"/>
    </row>
    <row r="205" customFormat="false" ht="12.75" hidden="false" customHeight="false" outlineLevel="0" collapsed="false">
      <c r="A205" s="322"/>
      <c r="B205" s="106"/>
    </row>
    <row r="206" customFormat="false" ht="12.75" hidden="false" customHeight="false" outlineLevel="0" collapsed="false">
      <c r="A206" s="322"/>
      <c r="B206" s="106"/>
    </row>
    <row r="207" customFormat="false" ht="12.75" hidden="false" customHeight="false" outlineLevel="0" collapsed="false">
      <c r="A207" s="322"/>
      <c r="B207" s="106"/>
    </row>
    <row r="208" customFormat="false" ht="12.75" hidden="false" customHeight="false" outlineLevel="0" collapsed="false">
      <c r="A208" s="322"/>
      <c r="B208" s="106"/>
    </row>
    <row r="209" customFormat="false" ht="12.75" hidden="false" customHeight="false" outlineLevel="0" collapsed="false">
      <c r="A209" s="322"/>
      <c r="B209" s="106"/>
    </row>
    <row r="210" customFormat="false" ht="12.75" hidden="false" customHeight="false" outlineLevel="0" collapsed="false">
      <c r="A210" s="324"/>
      <c r="B210" s="106"/>
    </row>
    <row r="211" customFormat="false" ht="12.75" hidden="false" customHeight="false" outlineLevel="0" collapsed="false">
      <c r="A211" s="325"/>
      <c r="B211" s="106"/>
    </row>
    <row r="212" customFormat="false" ht="12.75" hidden="false" customHeight="false" outlineLevel="0" collapsed="false">
      <c r="A212" s="324"/>
      <c r="B212" s="106"/>
    </row>
    <row r="213" customFormat="false" ht="12.75" hidden="false" customHeight="false" outlineLevel="0" collapsed="false">
      <c r="A213" s="324"/>
      <c r="B213" s="106"/>
    </row>
    <row r="214" customFormat="false" ht="12.75" hidden="false" customHeight="false" outlineLevel="0" collapsed="false">
      <c r="A214" s="324"/>
      <c r="B214" s="106"/>
    </row>
    <row r="215" customFormat="false" ht="12.75" hidden="false" customHeight="false" outlineLevel="0" collapsed="false">
      <c r="A215" s="105"/>
      <c r="B215" s="106"/>
    </row>
    <row r="216" customFormat="false" ht="12.75" hidden="false" customHeight="false" outlineLevel="0" collapsed="false">
      <c r="A216" s="326"/>
      <c r="B216" s="106"/>
    </row>
    <row r="217" customFormat="false" ht="12.75" hidden="false" customHeight="false" outlineLevel="0" collapsed="false">
      <c r="A217" s="42"/>
      <c r="B217" s="327"/>
    </row>
    <row r="218" customFormat="false" ht="12.75" hidden="false" customHeight="false" outlineLevel="0" collapsed="false">
      <c r="A218" s="42"/>
      <c r="B218" s="327"/>
    </row>
    <row r="219" customFormat="false" ht="12.75" hidden="false" customHeight="false" outlineLevel="0" collapsed="false">
      <c r="B219" s="111"/>
    </row>
    <row r="220" customFormat="false" ht="12.75" hidden="false" customHeight="false" outlineLevel="0" collapsed="false">
      <c r="B220" s="111"/>
    </row>
    <row r="221" customFormat="false" ht="12.75" hidden="false" customHeight="false" outlineLevel="0" collapsed="false">
      <c r="B221" s="111"/>
    </row>
    <row r="222" customFormat="false" ht="12.75" hidden="false" customHeight="false" outlineLevel="0" collapsed="false">
      <c r="B222" s="111"/>
    </row>
    <row r="223" customFormat="false" ht="12.75" hidden="false" customHeight="false" outlineLevel="0" collapsed="false">
      <c r="B223" s="111"/>
    </row>
    <row r="224" customFormat="false" ht="12.75" hidden="false" customHeight="false" outlineLevel="0" collapsed="false">
      <c r="B224" s="111"/>
    </row>
    <row r="225" customFormat="false" ht="12.75" hidden="false" customHeight="false" outlineLevel="0" collapsed="false">
      <c r="B225" s="111"/>
    </row>
    <row r="226" customFormat="false" ht="12.75" hidden="false" customHeight="false" outlineLevel="0" collapsed="false">
      <c r="B226" s="111"/>
    </row>
    <row r="227" customFormat="false" ht="12.75" hidden="false" customHeight="false" outlineLevel="0" collapsed="false">
      <c r="B227" s="111"/>
    </row>
    <row r="228" customFormat="false" ht="12.75" hidden="false" customHeight="false" outlineLevel="0" collapsed="false">
      <c r="B228" s="111"/>
    </row>
    <row r="229" customFormat="false" ht="12.75" hidden="false" customHeight="false" outlineLevel="0" collapsed="false">
      <c r="B229" s="111"/>
    </row>
    <row r="230" customFormat="false" ht="12.75" hidden="false" customHeight="false" outlineLevel="0" collapsed="false">
      <c r="B230" s="111"/>
    </row>
    <row r="231" customFormat="false" ht="12.75" hidden="false" customHeight="false" outlineLevel="0" collapsed="false">
      <c r="B231" s="111"/>
    </row>
    <row r="232" customFormat="false" ht="12.75" hidden="false" customHeight="false" outlineLevel="0" collapsed="false">
      <c r="B232" s="111"/>
    </row>
    <row r="233" customFormat="false" ht="12.75" hidden="false" customHeight="false" outlineLevel="0" collapsed="false">
      <c r="B233" s="111"/>
    </row>
    <row r="234" customFormat="false" ht="12.75" hidden="false" customHeight="false" outlineLevel="0" collapsed="false">
      <c r="B234" s="111"/>
    </row>
    <row r="235" customFormat="false" ht="12.75" hidden="false" customHeight="false" outlineLevel="0" collapsed="false">
      <c r="B235" s="111"/>
    </row>
    <row r="236" customFormat="false" ht="12.75" hidden="false" customHeight="false" outlineLevel="0" collapsed="false">
      <c r="B236" s="111"/>
    </row>
    <row r="237" customFormat="false" ht="12.75" hidden="false" customHeight="false" outlineLevel="0" collapsed="false">
      <c r="B237" s="111"/>
    </row>
    <row r="238" customFormat="false" ht="12.75" hidden="false" customHeight="false" outlineLevel="0" collapsed="false">
      <c r="B238" s="111"/>
    </row>
    <row r="239" customFormat="false" ht="12.75" hidden="false" customHeight="false" outlineLevel="0" collapsed="false">
      <c r="B239" s="111"/>
    </row>
    <row r="240" customFormat="false" ht="12.75" hidden="false" customHeight="false" outlineLevel="0" collapsed="false">
      <c r="B240" s="111"/>
    </row>
    <row r="241" customFormat="false" ht="12.75" hidden="false" customHeight="false" outlineLevel="0" collapsed="false">
      <c r="B241" s="111"/>
    </row>
    <row r="242" customFormat="false" ht="12.75" hidden="false" customHeight="false" outlineLevel="0" collapsed="false">
      <c r="B242" s="111"/>
    </row>
    <row r="243" customFormat="false" ht="12.75" hidden="false" customHeight="false" outlineLevel="0" collapsed="false">
      <c r="B243" s="111"/>
    </row>
    <row r="244" customFormat="false" ht="12.75" hidden="false" customHeight="false" outlineLevel="0" collapsed="false">
      <c r="B244" s="111"/>
    </row>
    <row r="245" customFormat="false" ht="12.75" hidden="false" customHeight="false" outlineLevel="0" collapsed="false">
      <c r="B245" s="111"/>
    </row>
    <row r="246" customFormat="false" ht="12.75" hidden="false" customHeight="false" outlineLevel="0" collapsed="false">
      <c r="B246" s="111"/>
    </row>
    <row r="247" customFormat="false" ht="12.75" hidden="false" customHeight="false" outlineLevel="0" collapsed="false">
      <c r="B247" s="111"/>
    </row>
    <row r="248" customFormat="false" ht="12.75" hidden="false" customHeight="false" outlineLevel="0" collapsed="false">
      <c r="B248" s="111"/>
    </row>
    <row r="249" customFormat="false" ht="12.75" hidden="false" customHeight="false" outlineLevel="0" collapsed="false">
      <c r="B249" s="111"/>
    </row>
    <row r="250" customFormat="false" ht="12.75" hidden="false" customHeight="false" outlineLevel="0" collapsed="false">
      <c r="B250" s="111"/>
    </row>
    <row r="251" customFormat="false" ht="12.75" hidden="false" customHeight="false" outlineLevel="0" collapsed="false">
      <c r="B251" s="111"/>
    </row>
    <row r="252" customFormat="false" ht="12.75" hidden="false" customHeight="false" outlineLevel="0" collapsed="false">
      <c r="B252" s="111"/>
    </row>
    <row r="253" customFormat="false" ht="12.75" hidden="false" customHeight="false" outlineLevel="0" collapsed="false">
      <c r="B253" s="111"/>
    </row>
    <row r="254" customFormat="false" ht="12.75" hidden="false" customHeight="false" outlineLevel="0" collapsed="false">
      <c r="B254" s="111"/>
    </row>
    <row r="255" customFormat="false" ht="12.75" hidden="false" customHeight="false" outlineLevel="0" collapsed="false">
      <c r="B255" s="111"/>
    </row>
    <row r="256" customFormat="false" ht="12.75" hidden="false" customHeight="false" outlineLevel="0" collapsed="false">
      <c r="B256" s="111"/>
    </row>
    <row r="257" customFormat="false" ht="12.75" hidden="false" customHeight="false" outlineLevel="0" collapsed="false">
      <c r="B257" s="111"/>
    </row>
    <row r="258" customFormat="false" ht="12.75" hidden="false" customHeight="false" outlineLevel="0" collapsed="false">
      <c r="B258" s="111"/>
    </row>
    <row r="259" customFormat="false" ht="12.75" hidden="false" customHeight="false" outlineLevel="0" collapsed="false">
      <c r="B259" s="111"/>
    </row>
    <row r="260" customFormat="false" ht="12.75" hidden="false" customHeight="false" outlineLevel="0" collapsed="false">
      <c r="B260" s="111"/>
    </row>
    <row r="261" customFormat="false" ht="12.75" hidden="false" customHeight="false" outlineLevel="0" collapsed="false">
      <c r="B261" s="111"/>
    </row>
    <row r="262" customFormat="false" ht="12.75" hidden="false" customHeight="false" outlineLevel="0" collapsed="false">
      <c r="B262" s="111"/>
    </row>
    <row r="263" customFormat="false" ht="12.75" hidden="false" customHeight="false" outlineLevel="0" collapsed="false">
      <c r="B263" s="111"/>
    </row>
    <row r="264" customFormat="false" ht="12.75" hidden="false" customHeight="false" outlineLevel="0" collapsed="false">
      <c r="B264" s="111"/>
    </row>
    <row r="265" customFormat="false" ht="12.75" hidden="false" customHeight="false" outlineLevel="0" collapsed="false">
      <c r="B265" s="111"/>
    </row>
    <row r="266" customFormat="false" ht="12.75" hidden="false" customHeight="false" outlineLevel="0" collapsed="false">
      <c r="B266" s="111"/>
    </row>
    <row r="267" customFormat="false" ht="12.75" hidden="false" customHeight="false" outlineLevel="0" collapsed="false">
      <c r="B267" s="111"/>
    </row>
    <row r="268" customFormat="false" ht="12.75" hidden="false" customHeight="false" outlineLevel="0" collapsed="false">
      <c r="B268" s="111"/>
    </row>
    <row r="269" customFormat="false" ht="12.75" hidden="false" customHeight="false" outlineLevel="0" collapsed="false">
      <c r="B269" s="111"/>
    </row>
    <row r="270" customFormat="false" ht="12.75" hidden="false" customHeight="false" outlineLevel="0" collapsed="false">
      <c r="B270" s="111"/>
    </row>
    <row r="271" customFormat="false" ht="12.75" hidden="false" customHeight="false" outlineLevel="0" collapsed="false">
      <c r="B271" s="111"/>
    </row>
    <row r="272" customFormat="false" ht="12.75" hidden="false" customHeight="false" outlineLevel="0" collapsed="false">
      <c r="B272" s="111"/>
    </row>
    <row r="273" customFormat="false" ht="12.75" hidden="false" customHeight="false" outlineLevel="0" collapsed="false">
      <c r="B273" s="111"/>
    </row>
    <row r="274" customFormat="false" ht="12.75" hidden="false" customHeight="false" outlineLevel="0" collapsed="false">
      <c r="B274" s="111"/>
    </row>
    <row r="275" customFormat="false" ht="12.75" hidden="false" customHeight="false" outlineLevel="0" collapsed="false">
      <c r="B275" s="111"/>
    </row>
    <row r="276" customFormat="false" ht="12.75" hidden="false" customHeight="false" outlineLevel="0" collapsed="false">
      <c r="B276" s="111"/>
    </row>
    <row r="277" customFormat="false" ht="12.75" hidden="false" customHeight="false" outlineLevel="0" collapsed="false">
      <c r="B277" s="111"/>
    </row>
    <row r="278" customFormat="false" ht="12.75" hidden="false" customHeight="false" outlineLevel="0" collapsed="false">
      <c r="B278" s="111"/>
    </row>
    <row r="279" customFormat="false" ht="12.75" hidden="false" customHeight="false" outlineLevel="0" collapsed="false">
      <c r="B279" s="111"/>
    </row>
    <row r="280" customFormat="false" ht="12.75" hidden="false" customHeight="false" outlineLevel="0" collapsed="false">
      <c r="B280" s="111"/>
    </row>
    <row r="281" customFormat="false" ht="12.75" hidden="false" customHeight="false" outlineLevel="0" collapsed="false">
      <c r="B281" s="111"/>
    </row>
    <row r="282" customFormat="false" ht="12.75" hidden="false" customHeight="false" outlineLevel="0" collapsed="false">
      <c r="B282" s="111"/>
    </row>
    <row r="283" customFormat="false" ht="12.75" hidden="false" customHeight="false" outlineLevel="0" collapsed="false">
      <c r="B283" s="111"/>
    </row>
    <row r="284" customFormat="false" ht="12.75" hidden="false" customHeight="false" outlineLevel="0" collapsed="false">
      <c r="B284" s="111"/>
    </row>
    <row r="285" customFormat="false" ht="12.75" hidden="false" customHeight="false" outlineLevel="0" collapsed="false">
      <c r="B285" s="111"/>
    </row>
    <row r="286" customFormat="false" ht="12.75" hidden="false" customHeight="false" outlineLevel="0" collapsed="false">
      <c r="B286" s="111"/>
    </row>
    <row r="287" customFormat="false" ht="12.75" hidden="false" customHeight="false" outlineLevel="0" collapsed="false">
      <c r="B287" s="111"/>
    </row>
    <row r="288" customFormat="false" ht="12.75" hidden="false" customHeight="false" outlineLevel="0" collapsed="false">
      <c r="B288" s="111"/>
    </row>
    <row r="289" customFormat="false" ht="12.75" hidden="false" customHeight="false" outlineLevel="0" collapsed="false">
      <c r="B289" s="111"/>
    </row>
    <row r="290" customFormat="false" ht="12.75" hidden="false" customHeight="false" outlineLevel="0" collapsed="false">
      <c r="B290" s="111"/>
    </row>
    <row r="291" customFormat="false" ht="12.75" hidden="false" customHeight="false" outlineLevel="0" collapsed="false">
      <c r="B291" s="111"/>
    </row>
    <row r="292" customFormat="false" ht="12.75" hidden="false" customHeight="false" outlineLevel="0" collapsed="false">
      <c r="B292" s="111"/>
    </row>
    <row r="293" customFormat="false" ht="12.75" hidden="false" customHeight="false" outlineLevel="0" collapsed="false">
      <c r="B293" s="111"/>
    </row>
    <row r="294" customFormat="false" ht="12.75" hidden="false" customHeight="false" outlineLevel="0" collapsed="false">
      <c r="B294" s="111"/>
    </row>
    <row r="295" customFormat="false" ht="12.75" hidden="false" customHeight="false" outlineLevel="0" collapsed="false">
      <c r="B295" s="111"/>
    </row>
    <row r="296" customFormat="false" ht="12.75" hidden="false" customHeight="false" outlineLevel="0" collapsed="false">
      <c r="B296" s="111"/>
    </row>
    <row r="297" customFormat="false" ht="12.75" hidden="false" customHeight="false" outlineLevel="0" collapsed="false">
      <c r="B297" s="111"/>
    </row>
    <row r="298" customFormat="false" ht="12.75" hidden="false" customHeight="false" outlineLevel="0" collapsed="false">
      <c r="B298" s="111"/>
    </row>
    <row r="299" customFormat="false" ht="12.75" hidden="false" customHeight="false" outlineLevel="0" collapsed="false">
      <c r="B299" s="111"/>
    </row>
    <row r="300" customFormat="false" ht="12.75" hidden="false" customHeight="false" outlineLevel="0" collapsed="false">
      <c r="B300" s="111"/>
    </row>
    <row r="301" customFormat="false" ht="12.75" hidden="false" customHeight="false" outlineLevel="0" collapsed="false">
      <c r="B301" s="111"/>
    </row>
    <row r="302" customFormat="false" ht="12.75" hidden="false" customHeight="false" outlineLevel="0" collapsed="false">
      <c r="B302" s="111"/>
    </row>
    <row r="303" customFormat="false" ht="12.75" hidden="false" customHeight="false" outlineLevel="0" collapsed="false">
      <c r="B303" s="111"/>
    </row>
    <row r="304" customFormat="false" ht="12.75" hidden="false" customHeight="false" outlineLevel="0" collapsed="false">
      <c r="B304" s="111"/>
    </row>
    <row r="305" customFormat="false" ht="12.75" hidden="false" customHeight="false" outlineLevel="0" collapsed="false">
      <c r="B305" s="111"/>
    </row>
    <row r="306" customFormat="false" ht="12.75" hidden="false" customHeight="false" outlineLevel="0" collapsed="false">
      <c r="B306" s="111"/>
    </row>
    <row r="307" customFormat="false" ht="12.75" hidden="false" customHeight="false" outlineLevel="0" collapsed="false">
      <c r="B307" s="111"/>
    </row>
    <row r="308" customFormat="false" ht="12.75" hidden="false" customHeight="false" outlineLevel="0" collapsed="false">
      <c r="B308" s="111"/>
    </row>
    <row r="309" customFormat="false" ht="12.75" hidden="false" customHeight="false" outlineLevel="0" collapsed="false">
      <c r="B309" s="111"/>
    </row>
    <row r="310" customFormat="false" ht="12.75" hidden="false" customHeight="false" outlineLevel="0" collapsed="false">
      <c r="B310" s="111"/>
    </row>
    <row r="311" customFormat="false" ht="12.75" hidden="false" customHeight="false" outlineLevel="0" collapsed="false">
      <c r="B311" s="111"/>
    </row>
    <row r="312" customFormat="false" ht="12.75" hidden="false" customHeight="false" outlineLevel="0" collapsed="false">
      <c r="B312" s="111"/>
    </row>
    <row r="313" customFormat="false" ht="12.75" hidden="false" customHeight="false" outlineLevel="0" collapsed="false">
      <c r="B313" s="111"/>
    </row>
    <row r="314" customFormat="false" ht="12.75" hidden="false" customHeight="false" outlineLevel="0" collapsed="false">
      <c r="B314" s="111"/>
    </row>
    <row r="315" customFormat="false" ht="12.75" hidden="false" customHeight="false" outlineLevel="0" collapsed="false">
      <c r="B315" s="111"/>
    </row>
    <row r="316" customFormat="false" ht="12.75" hidden="false" customHeight="false" outlineLevel="0" collapsed="false">
      <c r="B316" s="111"/>
    </row>
    <row r="317" customFormat="false" ht="12.75" hidden="false" customHeight="false" outlineLevel="0" collapsed="false">
      <c r="B317" s="111"/>
    </row>
    <row r="318" customFormat="false" ht="12.75" hidden="false" customHeight="false" outlineLevel="0" collapsed="false">
      <c r="B318" s="111"/>
    </row>
    <row r="319" customFormat="false" ht="12.75" hidden="false" customHeight="false" outlineLevel="0" collapsed="false">
      <c r="B319" s="111"/>
    </row>
    <row r="320" customFormat="false" ht="12.75" hidden="false" customHeight="false" outlineLevel="0" collapsed="false">
      <c r="B320" s="111"/>
    </row>
    <row r="321" customFormat="false" ht="12.75" hidden="false" customHeight="false" outlineLevel="0" collapsed="false">
      <c r="B321" s="111"/>
    </row>
    <row r="322" customFormat="false" ht="12.75" hidden="false" customHeight="false" outlineLevel="0" collapsed="false">
      <c r="B322" s="111"/>
    </row>
    <row r="323" customFormat="false" ht="12.75" hidden="false" customHeight="false" outlineLevel="0" collapsed="false">
      <c r="B323" s="111"/>
    </row>
    <row r="324" customFormat="false" ht="12.75" hidden="false" customHeight="false" outlineLevel="0" collapsed="false">
      <c r="B324" s="111"/>
    </row>
    <row r="325" customFormat="false" ht="12.75" hidden="false" customHeight="false" outlineLevel="0" collapsed="false">
      <c r="B325" s="111"/>
    </row>
    <row r="326" customFormat="false" ht="12.75" hidden="false" customHeight="false" outlineLevel="0" collapsed="false">
      <c r="B326" s="111"/>
    </row>
    <row r="327" customFormat="false" ht="12.75" hidden="false" customHeight="false" outlineLevel="0" collapsed="false">
      <c r="B327" s="111"/>
    </row>
    <row r="328" customFormat="false" ht="12.75" hidden="false" customHeight="false" outlineLevel="0" collapsed="false">
      <c r="B328" s="111"/>
    </row>
    <row r="329" customFormat="false" ht="12.75" hidden="false" customHeight="false" outlineLevel="0" collapsed="false">
      <c r="B329" s="111"/>
    </row>
    <row r="330" customFormat="false" ht="12.75" hidden="false" customHeight="false" outlineLevel="0" collapsed="false">
      <c r="B330" s="111"/>
    </row>
    <row r="331" customFormat="false" ht="12.75" hidden="false" customHeight="false" outlineLevel="0" collapsed="false">
      <c r="B331" s="111"/>
    </row>
    <row r="332" customFormat="false" ht="12.75" hidden="false" customHeight="false" outlineLevel="0" collapsed="false">
      <c r="B332" s="111"/>
    </row>
    <row r="333" customFormat="false" ht="12.75" hidden="false" customHeight="false" outlineLevel="0" collapsed="false">
      <c r="B333" s="111"/>
    </row>
    <row r="334" customFormat="false" ht="12.75" hidden="false" customHeight="false" outlineLevel="0" collapsed="false">
      <c r="B334" s="111"/>
    </row>
    <row r="335" customFormat="false" ht="12.75" hidden="false" customHeight="false" outlineLevel="0" collapsed="false">
      <c r="B335" s="111"/>
    </row>
    <row r="336" customFormat="false" ht="12.75" hidden="false" customHeight="false" outlineLevel="0" collapsed="false">
      <c r="B336" s="111"/>
    </row>
    <row r="337" customFormat="false" ht="12.75" hidden="false" customHeight="false" outlineLevel="0" collapsed="false">
      <c r="B337" s="111"/>
    </row>
    <row r="338" customFormat="false" ht="12.75" hidden="false" customHeight="false" outlineLevel="0" collapsed="false">
      <c r="B338" s="111"/>
    </row>
    <row r="339" customFormat="false" ht="12.75" hidden="false" customHeight="false" outlineLevel="0" collapsed="false">
      <c r="B339" s="111"/>
    </row>
    <row r="340" customFormat="false" ht="12.75" hidden="false" customHeight="false" outlineLevel="0" collapsed="false">
      <c r="B340" s="111"/>
    </row>
    <row r="341" customFormat="false" ht="12.75" hidden="false" customHeight="false" outlineLevel="0" collapsed="false">
      <c r="B341" s="111"/>
    </row>
    <row r="342" customFormat="false" ht="12.75" hidden="false" customHeight="false" outlineLevel="0" collapsed="false">
      <c r="B342" s="111"/>
    </row>
    <row r="343" customFormat="false" ht="12.75" hidden="false" customHeight="false" outlineLevel="0" collapsed="false">
      <c r="B343" s="111"/>
    </row>
    <row r="344" customFormat="false" ht="12.75" hidden="false" customHeight="false" outlineLevel="0" collapsed="false">
      <c r="B344" s="111"/>
    </row>
    <row r="345" customFormat="false" ht="12.75" hidden="false" customHeight="false" outlineLevel="0" collapsed="false">
      <c r="B345" s="111"/>
    </row>
    <row r="346" customFormat="false" ht="12.75" hidden="false" customHeight="false" outlineLevel="0" collapsed="false">
      <c r="B346" s="111"/>
    </row>
    <row r="347" customFormat="false" ht="12.75" hidden="false" customHeight="false" outlineLevel="0" collapsed="false">
      <c r="B347" s="111"/>
    </row>
    <row r="348" customFormat="false" ht="12.75" hidden="false" customHeight="false" outlineLevel="0" collapsed="false">
      <c r="B348" s="111"/>
    </row>
    <row r="349" customFormat="false" ht="12.75" hidden="false" customHeight="false" outlineLevel="0" collapsed="false">
      <c r="B349" s="111"/>
    </row>
    <row r="350" customFormat="false" ht="12.75" hidden="false" customHeight="false" outlineLevel="0" collapsed="false">
      <c r="B350" s="111"/>
    </row>
    <row r="351" customFormat="false" ht="12.75" hidden="false" customHeight="false" outlineLevel="0" collapsed="false">
      <c r="B351" s="111"/>
    </row>
    <row r="352" customFormat="false" ht="12.75" hidden="false" customHeight="false" outlineLevel="0" collapsed="false">
      <c r="B352" s="111"/>
    </row>
    <row r="353" customFormat="false" ht="12.75" hidden="false" customHeight="false" outlineLevel="0" collapsed="false">
      <c r="B353" s="111"/>
    </row>
    <row r="354" customFormat="false" ht="12.75" hidden="false" customHeight="false" outlineLevel="0" collapsed="false">
      <c r="B354" s="111"/>
    </row>
    <row r="355" customFormat="false" ht="12.75" hidden="false" customHeight="false" outlineLevel="0" collapsed="false">
      <c r="B355" s="111"/>
    </row>
    <row r="356" customFormat="false" ht="12.75" hidden="false" customHeight="false" outlineLevel="0" collapsed="false">
      <c r="B356" s="111"/>
    </row>
    <row r="357" customFormat="false" ht="12.75" hidden="false" customHeight="false" outlineLevel="0" collapsed="false">
      <c r="B357" s="111"/>
    </row>
    <row r="358" customFormat="false" ht="12.75" hidden="false" customHeight="false" outlineLevel="0" collapsed="false">
      <c r="B358" s="111"/>
    </row>
    <row r="359" customFormat="false" ht="12.75" hidden="false" customHeight="false" outlineLevel="0" collapsed="false">
      <c r="B359" s="111"/>
    </row>
    <row r="360" customFormat="false" ht="12.75" hidden="false" customHeight="false" outlineLevel="0" collapsed="false">
      <c r="B360" s="111"/>
    </row>
    <row r="361" customFormat="false" ht="12.75" hidden="false" customHeight="false" outlineLevel="0" collapsed="false">
      <c r="B361" s="111"/>
    </row>
    <row r="362" customFormat="false" ht="12.75" hidden="false" customHeight="false" outlineLevel="0" collapsed="false">
      <c r="B362" s="111"/>
    </row>
    <row r="363" customFormat="false" ht="12.75" hidden="false" customHeight="false" outlineLevel="0" collapsed="false">
      <c r="B363" s="111"/>
    </row>
    <row r="364" customFormat="false" ht="12.75" hidden="false" customHeight="false" outlineLevel="0" collapsed="false">
      <c r="B364" s="111"/>
    </row>
    <row r="365" customFormat="false" ht="12.75" hidden="false" customHeight="false" outlineLevel="0" collapsed="false">
      <c r="B365" s="111"/>
    </row>
    <row r="366" customFormat="false" ht="12.75" hidden="false" customHeight="false" outlineLevel="0" collapsed="false">
      <c r="B366" s="111"/>
    </row>
    <row r="367" customFormat="false" ht="12.75" hidden="false" customHeight="false" outlineLevel="0" collapsed="false">
      <c r="B367" s="111"/>
    </row>
    <row r="368" customFormat="false" ht="12.75" hidden="false" customHeight="false" outlineLevel="0" collapsed="false">
      <c r="B368" s="111"/>
    </row>
    <row r="369" customFormat="false" ht="12.75" hidden="false" customHeight="false" outlineLevel="0" collapsed="false">
      <c r="B369" s="111"/>
    </row>
    <row r="370" customFormat="false" ht="12.75" hidden="false" customHeight="false" outlineLevel="0" collapsed="false">
      <c r="B370" s="111"/>
    </row>
    <row r="371" customFormat="false" ht="12.75" hidden="false" customHeight="false" outlineLevel="0" collapsed="false">
      <c r="B371" s="111"/>
    </row>
    <row r="372" customFormat="false" ht="12.75" hidden="false" customHeight="false" outlineLevel="0" collapsed="false">
      <c r="B372" s="111"/>
    </row>
    <row r="373" customFormat="false" ht="12.75" hidden="false" customHeight="false" outlineLevel="0" collapsed="false">
      <c r="B373" s="111"/>
    </row>
    <row r="374" customFormat="false" ht="12.75" hidden="false" customHeight="false" outlineLevel="0" collapsed="false">
      <c r="B374" s="111"/>
    </row>
    <row r="375" customFormat="false" ht="12.75" hidden="false" customHeight="false" outlineLevel="0" collapsed="false">
      <c r="B375" s="111"/>
    </row>
    <row r="376" customFormat="false" ht="12.75" hidden="false" customHeight="false" outlineLevel="0" collapsed="false">
      <c r="B376" s="111"/>
    </row>
    <row r="377" customFormat="false" ht="12.75" hidden="false" customHeight="false" outlineLevel="0" collapsed="false">
      <c r="B377" s="111"/>
    </row>
    <row r="378" customFormat="false" ht="12.75" hidden="false" customHeight="false" outlineLevel="0" collapsed="false">
      <c r="B378" s="111"/>
    </row>
    <row r="379" customFormat="false" ht="12.75" hidden="false" customHeight="false" outlineLevel="0" collapsed="false">
      <c r="B379" s="111"/>
    </row>
    <row r="380" customFormat="false" ht="12.75" hidden="false" customHeight="false" outlineLevel="0" collapsed="false">
      <c r="B380" s="111"/>
    </row>
    <row r="381" customFormat="false" ht="12.75" hidden="false" customHeight="false" outlineLevel="0" collapsed="false">
      <c r="B381" s="111"/>
    </row>
    <row r="382" customFormat="false" ht="12.75" hidden="false" customHeight="false" outlineLevel="0" collapsed="false">
      <c r="B382" s="111"/>
    </row>
    <row r="383" customFormat="false" ht="12.75" hidden="false" customHeight="false" outlineLevel="0" collapsed="false">
      <c r="B383" s="111"/>
    </row>
    <row r="384" customFormat="false" ht="12.75" hidden="false" customHeight="false" outlineLevel="0" collapsed="false">
      <c r="B384" s="111"/>
    </row>
    <row r="385" customFormat="false" ht="12.75" hidden="false" customHeight="false" outlineLevel="0" collapsed="false">
      <c r="B385" s="111"/>
    </row>
    <row r="386" customFormat="false" ht="12.75" hidden="false" customHeight="false" outlineLevel="0" collapsed="false">
      <c r="B386" s="111"/>
    </row>
    <row r="387" customFormat="false" ht="12.75" hidden="false" customHeight="false" outlineLevel="0" collapsed="false">
      <c r="B387" s="111"/>
    </row>
    <row r="388" customFormat="false" ht="12.75" hidden="false" customHeight="false" outlineLevel="0" collapsed="false">
      <c r="B388" s="111"/>
    </row>
    <row r="389" customFormat="false" ht="12.75" hidden="false" customHeight="false" outlineLevel="0" collapsed="false">
      <c r="B389" s="111"/>
    </row>
    <row r="390" customFormat="false" ht="12.75" hidden="false" customHeight="false" outlineLevel="0" collapsed="false">
      <c r="B390" s="111"/>
    </row>
    <row r="391" customFormat="false" ht="12.75" hidden="false" customHeight="false" outlineLevel="0" collapsed="false">
      <c r="B391" s="111"/>
    </row>
    <row r="392" customFormat="false" ht="12.75" hidden="false" customHeight="false" outlineLevel="0" collapsed="false">
      <c r="B392" s="111"/>
    </row>
    <row r="393" customFormat="false" ht="12.75" hidden="false" customHeight="false" outlineLevel="0" collapsed="false">
      <c r="B393" s="111"/>
    </row>
    <row r="394" customFormat="false" ht="12.75" hidden="false" customHeight="false" outlineLevel="0" collapsed="false">
      <c r="B394" s="111"/>
    </row>
    <row r="395" customFormat="false" ht="12.75" hidden="false" customHeight="false" outlineLevel="0" collapsed="false">
      <c r="B395" s="111"/>
    </row>
    <row r="396" customFormat="false" ht="12.75" hidden="false" customHeight="false" outlineLevel="0" collapsed="false">
      <c r="B396" s="111"/>
    </row>
    <row r="397" customFormat="false" ht="12.75" hidden="false" customHeight="false" outlineLevel="0" collapsed="false">
      <c r="B397" s="111"/>
    </row>
    <row r="398" customFormat="false" ht="12.75" hidden="false" customHeight="false" outlineLevel="0" collapsed="false">
      <c r="B398" s="111"/>
    </row>
    <row r="399" customFormat="false" ht="12.75" hidden="false" customHeight="false" outlineLevel="0" collapsed="false">
      <c r="B399" s="111"/>
    </row>
    <row r="400" customFormat="false" ht="12.75" hidden="false" customHeight="false" outlineLevel="0" collapsed="false">
      <c r="B400" s="111"/>
    </row>
    <row r="401" customFormat="false" ht="12.75" hidden="false" customHeight="false" outlineLevel="0" collapsed="false">
      <c r="B401" s="111"/>
    </row>
    <row r="402" customFormat="false" ht="12.75" hidden="false" customHeight="false" outlineLevel="0" collapsed="false">
      <c r="B402" s="111"/>
    </row>
    <row r="403" customFormat="false" ht="12.75" hidden="false" customHeight="false" outlineLevel="0" collapsed="false">
      <c r="B403" s="111"/>
    </row>
    <row r="404" customFormat="false" ht="12.75" hidden="false" customHeight="false" outlineLevel="0" collapsed="false">
      <c r="B404" s="111"/>
    </row>
    <row r="405" customFormat="false" ht="12.75" hidden="false" customHeight="false" outlineLevel="0" collapsed="false">
      <c r="B405" s="111"/>
    </row>
    <row r="406" customFormat="false" ht="12.75" hidden="false" customHeight="false" outlineLevel="0" collapsed="false">
      <c r="B406" s="111"/>
    </row>
    <row r="407" customFormat="false" ht="12.75" hidden="false" customHeight="false" outlineLevel="0" collapsed="false">
      <c r="B407" s="111"/>
    </row>
    <row r="408" customFormat="false" ht="12.75" hidden="false" customHeight="false" outlineLevel="0" collapsed="false">
      <c r="B408" s="111"/>
    </row>
    <row r="409" customFormat="false" ht="12.75" hidden="false" customHeight="false" outlineLevel="0" collapsed="false">
      <c r="B409" s="111"/>
    </row>
    <row r="410" customFormat="false" ht="12.75" hidden="false" customHeight="false" outlineLevel="0" collapsed="false">
      <c r="B410" s="111"/>
    </row>
    <row r="411" customFormat="false" ht="12.75" hidden="false" customHeight="false" outlineLevel="0" collapsed="false">
      <c r="B411" s="111"/>
    </row>
    <row r="412" customFormat="false" ht="12.75" hidden="false" customHeight="false" outlineLevel="0" collapsed="false">
      <c r="B412" s="111"/>
    </row>
    <row r="413" customFormat="false" ht="12.75" hidden="false" customHeight="false" outlineLevel="0" collapsed="false">
      <c r="B413" s="111"/>
    </row>
    <row r="414" customFormat="false" ht="12.75" hidden="false" customHeight="false" outlineLevel="0" collapsed="false">
      <c r="B414" s="111"/>
    </row>
    <row r="415" customFormat="false" ht="12.75" hidden="false" customHeight="false" outlineLevel="0" collapsed="false">
      <c r="B415" s="111"/>
    </row>
    <row r="416" customFormat="false" ht="12.75" hidden="false" customHeight="false" outlineLevel="0" collapsed="false">
      <c r="B416" s="111"/>
    </row>
    <row r="417" customFormat="false" ht="12.75" hidden="false" customHeight="false" outlineLevel="0" collapsed="false">
      <c r="B417" s="111"/>
    </row>
    <row r="418" customFormat="false" ht="12.75" hidden="false" customHeight="false" outlineLevel="0" collapsed="false">
      <c r="B418" s="111"/>
    </row>
    <row r="419" customFormat="false" ht="12.75" hidden="false" customHeight="false" outlineLevel="0" collapsed="false">
      <c r="B419" s="111"/>
    </row>
    <row r="420" customFormat="false" ht="12.75" hidden="false" customHeight="false" outlineLevel="0" collapsed="false">
      <c r="B420" s="111"/>
    </row>
    <row r="421" customFormat="false" ht="12.75" hidden="false" customHeight="false" outlineLevel="0" collapsed="false">
      <c r="B421" s="111"/>
    </row>
    <row r="422" customFormat="false" ht="12.75" hidden="false" customHeight="false" outlineLevel="0" collapsed="false">
      <c r="B422" s="111"/>
    </row>
    <row r="423" customFormat="false" ht="12.75" hidden="false" customHeight="false" outlineLevel="0" collapsed="false">
      <c r="B423" s="111"/>
    </row>
    <row r="424" customFormat="false" ht="12.75" hidden="false" customHeight="false" outlineLevel="0" collapsed="false">
      <c r="B424" s="111"/>
    </row>
    <row r="425" customFormat="false" ht="12.75" hidden="false" customHeight="false" outlineLevel="0" collapsed="false">
      <c r="B425" s="111"/>
    </row>
    <row r="426" customFormat="false" ht="12.75" hidden="false" customHeight="false" outlineLevel="0" collapsed="false">
      <c r="B426" s="111"/>
    </row>
    <row r="427" customFormat="false" ht="12.75" hidden="false" customHeight="false" outlineLevel="0" collapsed="false">
      <c r="B427" s="111"/>
    </row>
    <row r="428" customFormat="false" ht="12.75" hidden="false" customHeight="false" outlineLevel="0" collapsed="false">
      <c r="B428" s="111"/>
    </row>
    <row r="429" customFormat="false" ht="12.75" hidden="false" customHeight="false" outlineLevel="0" collapsed="false">
      <c r="B429" s="111"/>
    </row>
    <row r="430" customFormat="false" ht="12.75" hidden="false" customHeight="false" outlineLevel="0" collapsed="false">
      <c r="B430" s="111"/>
    </row>
    <row r="431" customFormat="false" ht="12.75" hidden="false" customHeight="false" outlineLevel="0" collapsed="false">
      <c r="B431" s="111"/>
    </row>
    <row r="432" customFormat="false" ht="12.75" hidden="false" customHeight="false" outlineLevel="0" collapsed="false">
      <c r="B432" s="111"/>
    </row>
    <row r="433" customFormat="false" ht="12.75" hidden="false" customHeight="false" outlineLevel="0" collapsed="false">
      <c r="B433" s="111"/>
    </row>
    <row r="434" customFormat="false" ht="12.75" hidden="false" customHeight="false" outlineLevel="0" collapsed="false">
      <c r="B434" s="111"/>
    </row>
    <row r="435" customFormat="false" ht="12.75" hidden="false" customHeight="false" outlineLevel="0" collapsed="false">
      <c r="B435" s="111"/>
    </row>
    <row r="436" customFormat="false" ht="12.75" hidden="false" customHeight="false" outlineLevel="0" collapsed="false">
      <c r="B436" s="111"/>
    </row>
    <row r="437" customFormat="false" ht="12.75" hidden="false" customHeight="false" outlineLevel="0" collapsed="false">
      <c r="B437" s="111"/>
    </row>
    <row r="438" customFormat="false" ht="12.75" hidden="false" customHeight="false" outlineLevel="0" collapsed="false">
      <c r="B438" s="111"/>
    </row>
    <row r="439" customFormat="false" ht="12.75" hidden="false" customHeight="false" outlineLevel="0" collapsed="false">
      <c r="B439" s="111"/>
    </row>
    <row r="440" customFormat="false" ht="12.75" hidden="false" customHeight="false" outlineLevel="0" collapsed="false">
      <c r="B440" s="111"/>
    </row>
    <row r="441" customFormat="false" ht="12.75" hidden="false" customHeight="false" outlineLevel="0" collapsed="false">
      <c r="B441" s="111"/>
    </row>
    <row r="442" customFormat="false" ht="12.75" hidden="false" customHeight="false" outlineLevel="0" collapsed="false">
      <c r="B442" s="111"/>
    </row>
    <row r="443" customFormat="false" ht="12.75" hidden="false" customHeight="false" outlineLevel="0" collapsed="false">
      <c r="B443" s="111"/>
    </row>
    <row r="444" customFormat="false" ht="12.75" hidden="false" customHeight="false" outlineLevel="0" collapsed="false">
      <c r="B444" s="111"/>
    </row>
    <row r="445" customFormat="false" ht="12.75" hidden="false" customHeight="false" outlineLevel="0" collapsed="false">
      <c r="B445" s="111"/>
    </row>
    <row r="446" customFormat="false" ht="12.75" hidden="false" customHeight="false" outlineLevel="0" collapsed="false">
      <c r="B446" s="111"/>
    </row>
    <row r="447" customFormat="false" ht="12.75" hidden="false" customHeight="false" outlineLevel="0" collapsed="false">
      <c r="B447" s="111"/>
    </row>
    <row r="448" customFormat="false" ht="12.75" hidden="false" customHeight="false" outlineLevel="0" collapsed="false">
      <c r="B448" s="111"/>
    </row>
    <row r="449" customFormat="false" ht="12.75" hidden="false" customHeight="false" outlineLevel="0" collapsed="false">
      <c r="B449" s="111"/>
    </row>
    <row r="450" customFormat="false" ht="12.75" hidden="false" customHeight="false" outlineLevel="0" collapsed="false">
      <c r="B450" s="111"/>
    </row>
    <row r="451" customFormat="false" ht="12.75" hidden="false" customHeight="false" outlineLevel="0" collapsed="false">
      <c r="B451" s="111"/>
    </row>
    <row r="452" customFormat="false" ht="12.75" hidden="false" customHeight="false" outlineLevel="0" collapsed="false">
      <c r="B452" s="111"/>
    </row>
    <row r="453" customFormat="false" ht="12.75" hidden="false" customHeight="false" outlineLevel="0" collapsed="false">
      <c r="B453" s="111"/>
    </row>
    <row r="454" customFormat="false" ht="12.75" hidden="false" customHeight="false" outlineLevel="0" collapsed="false">
      <c r="B454" s="111"/>
    </row>
    <row r="455" customFormat="false" ht="12.75" hidden="false" customHeight="false" outlineLevel="0" collapsed="false">
      <c r="B455" s="111"/>
    </row>
    <row r="456" customFormat="false" ht="12.75" hidden="false" customHeight="false" outlineLevel="0" collapsed="false">
      <c r="B456" s="111"/>
    </row>
    <row r="457" customFormat="false" ht="12.75" hidden="false" customHeight="false" outlineLevel="0" collapsed="false">
      <c r="B457" s="111"/>
    </row>
    <row r="458" customFormat="false" ht="12.75" hidden="false" customHeight="false" outlineLevel="0" collapsed="false">
      <c r="B458" s="111"/>
    </row>
    <row r="459" customFormat="false" ht="12.75" hidden="false" customHeight="false" outlineLevel="0" collapsed="false">
      <c r="B459" s="111"/>
    </row>
    <row r="460" customFormat="false" ht="12.75" hidden="false" customHeight="false" outlineLevel="0" collapsed="false">
      <c r="B460" s="111"/>
    </row>
    <row r="461" customFormat="false" ht="12.75" hidden="false" customHeight="false" outlineLevel="0" collapsed="false">
      <c r="B461" s="111"/>
    </row>
    <row r="462" customFormat="false" ht="12.75" hidden="false" customHeight="false" outlineLevel="0" collapsed="false">
      <c r="B462" s="111"/>
    </row>
    <row r="463" customFormat="false" ht="12.75" hidden="false" customHeight="false" outlineLevel="0" collapsed="false">
      <c r="B463" s="111"/>
    </row>
    <row r="464" customFormat="false" ht="12.75" hidden="false" customHeight="false" outlineLevel="0" collapsed="false">
      <c r="B464" s="111"/>
    </row>
    <row r="465" customFormat="false" ht="12.75" hidden="false" customHeight="false" outlineLevel="0" collapsed="false">
      <c r="B465" s="111"/>
    </row>
    <row r="466" customFormat="false" ht="12.75" hidden="false" customHeight="false" outlineLevel="0" collapsed="false">
      <c r="B466" s="111"/>
    </row>
    <row r="467" customFormat="false" ht="12.75" hidden="false" customHeight="false" outlineLevel="0" collapsed="false">
      <c r="B467" s="111"/>
    </row>
    <row r="468" customFormat="false" ht="12.75" hidden="false" customHeight="false" outlineLevel="0" collapsed="false">
      <c r="B468" s="111"/>
    </row>
    <row r="469" customFormat="false" ht="12.75" hidden="false" customHeight="false" outlineLevel="0" collapsed="false">
      <c r="B469" s="111"/>
    </row>
    <row r="470" customFormat="false" ht="12.75" hidden="false" customHeight="false" outlineLevel="0" collapsed="false">
      <c r="B470" s="111"/>
    </row>
    <row r="471" customFormat="false" ht="12.75" hidden="false" customHeight="false" outlineLevel="0" collapsed="false">
      <c r="B471" s="111"/>
    </row>
    <row r="472" customFormat="false" ht="12.75" hidden="false" customHeight="false" outlineLevel="0" collapsed="false">
      <c r="B472" s="111"/>
    </row>
    <row r="473" customFormat="false" ht="12.75" hidden="false" customHeight="false" outlineLevel="0" collapsed="false">
      <c r="B473" s="111"/>
    </row>
    <row r="474" customFormat="false" ht="12.75" hidden="false" customHeight="false" outlineLevel="0" collapsed="false">
      <c r="B474" s="111"/>
    </row>
    <row r="475" customFormat="false" ht="12.75" hidden="false" customHeight="false" outlineLevel="0" collapsed="false">
      <c r="B475" s="111"/>
    </row>
    <row r="476" customFormat="false" ht="12.75" hidden="false" customHeight="false" outlineLevel="0" collapsed="false">
      <c r="B476" s="111"/>
    </row>
    <row r="477" customFormat="false" ht="12.75" hidden="false" customHeight="false" outlineLevel="0" collapsed="false">
      <c r="B477" s="111"/>
    </row>
    <row r="478" customFormat="false" ht="12.75" hidden="false" customHeight="false" outlineLevel="0" collapsed="false">
      <c r="B478" s="111"/>
    </row>
    <row r="479" customFormat="false" ht="12.75" hidden="false" customHeight="false" outlineLevel="0" collapsed="false">
      <c r="B479" s="111"/>
    </row>
    <row r="480" customFormat="false" ht="12.75" hidden="false" customHeight="false" outlineLevel="0" collapsed="false">
      <c r="B480" s="111"/>
    </row>
    <row r="481" customFormat="false" ht="12.75" hidden="false" customHeight="false" outlineLevel="0" collapsed="false">
      <c r="B481" s="111"/>
    </row>
    <row r="482" customFormat="false" ht="12.75" hidden="false" customHeight="false" outlineLevel="0" collapsed="false">
      <c r="B482" s="111"/>
    </row>
    <row r="483" customFormat="false" ht="12.75" hidden="false" customHeight="false" outlineLevel="0" collapsed="false">
      <c r="B483" s="111"/>
    </row>
    <row r="484" customFormat="false" ht="12.75" hidden="false" customHeight="false" outlineLevel="0" collapsed="false">
      <c r="B484" s="111"/>
    </row>
    <row r="485" customFormat="false" ht="12.75" hidden="false" customHeight="false" outlineLevel="0" collapsed="false">
      <c r="B485" s="111"/>
    </row>
    <row r="486" customFormat="false" ht="12.75" hidden="false" customHeight="false" outlineLevel="0" collapsed="false">
      <c r="B486" s="111"/>
    </row>
    <row r="487" customFormat="false" ht="12.75" hidden="false" customHeight="false" outlineLevel="0" collapsed="false">
      <c r="B487" s="111"/>
    </row>
    <row r="488" customFormat="false" ht="12.75" hidden="false" customHeight="false" outlineLevel="0" collapsed="false">
      <c r="B488" s="111"/>
    </row>
    <row r="489" customFormat="false" ht="12.75" hidden="false" customHeight="false" outlineLevel="0" collapsed="false">
      <c r="B489" s="111"/>
    </row>
    <row r="490" customFormat="false" ht="12.75" hidden="false" customHeight="false" outlineLevel="0" collapsed="false">
      <c r="B490" s="111"/>
    </row>
    <row r="491" customFormat="false" ht="12.75" hidden="false" customHeight="false" outlineLevel="0" collapsed="false">
      <c r="B491" s="111"/>
    </row>
    <row r="492" customFormat="false" ht="12.75" hidden="false" customHeight="false" outlineLevel="0" collapsed="false">
      <c r="B492" s="111"/>
    </row>
    <row r="493" customFormat="false" ht="12.75" hidden="false" customHeight="false" outlineLevel="0" collapsed="false">
      <c r="B493" s="111"/>
    </row>
    <row r="494" customFormat="false" ht="12.75" hidden="false" customHeight="false" outlineLevel="0" collapsed="false">
      <c r="B494" s="111"/>
    </row>
    <row r="495" customFormat="false" ht="12.75" hidden="false" customHeight="false" outlineLevel="0" collapsed="false">
      <c r="B495" s="111"/>
    </row>
    <row r="496" customFormat="false" ht="12.75" hidden="false" customHeight="false" outlineLevel="0" collapsed="false">
      <c r="B496" s="111"/>
    </row>
    <row r="497" customFormat="false" ht="12.75" hidden="false" customHeight="false" outlineLevel="0" collapsed="false">
      <c r="B497" s="111"/>
    </row>
    <row r="498" customFormat="false" ht="12.75" hidden="false" customHeight="false" outlineLevel="0" collapsed="false">
      <c r="B498" s="111"/>
    </row>
    <row r="499" customFormat="false" ht="12.75" hidden="false" customHeight="false" outlineLevel="0" collapsed="false">
      <c r="B499" s="111"/>
    </row>
    <row r="500" customFormat="false" ht="12.75" hidden="false" customHeight="false" outlineLevel="0" collapsed="false">
      <c r="B500" s="111"/>
    </row>
    <row r="501" customFormat="false" ht="12.75" hidden="false" customHeight="false" outlineLevel="0" collapsed="false">
      <c r="B501" s="111"/>
    </row>
    <row r="502" customFormat="false" ht="12.75" hidden="false" customHeight="false" outlineLevel="0" collapsed="false">
      <c r="B502" s="111"/>
    </row>
    <row r="503" customFormat="false" ht="12.75" hidden="false" customHeight="false" outlineLevel="0" collapsed="false">
      <c r="B503" s="111"/>
    </row>
    <row r="504" customFormat="false" ht="12.75" hidden="false" customHeight="false" outlineLevel="0" collapsed="false">
      <c r="B504" s="111"/>
    </row>
    <row r="505" customFormat="false" ht="12.75" hidden="false" customHeight="false" outlineLevel="0" collapsed="false">
      <c r="B505" s="111"/>
    </row>
    <row r="506" customFormat="false" ht="12.75" hidden="false" customHeight="false" outlineLevel="0" collapsed="false">
      <c r="B506" s="111"/>
    </row>
    <row r="507" customFormat="false" ht="12.75" hidden="false" customHeight="false" outlineLevel="0" collapsed="false">
      <c r="B507" s="111"/>
    </row>
    <row r="508" customFormat="false" ht="12.75" hidden="false" customHeight="false" outlineLevel="0" collapsed="false">
      <c r="B508" s="111"/>
    </row>
    <row r="509" customFormat="false" ht="12.75" hidden="false" customHeight="false" outlineLevel="0" collapsed="false">
      <c r="B509" s="111"/>
    </row>
    <row r="510" customFormat="false" ht="12.75" hidden="false" customHeight="false" outlineLevel="0" collapsed="false">
      <c r="B510" s="111"/>
    </row>
    <row r="511" customFormat="false" ht="12.75" hidden="false" customHeight="false" outlineLevel="0" collapsed="false">
      <c r="B511" s="111"/>
    </row>
    <row r="512" customFormat="false" ht="12.75" hidden="false" customHeight="false" outlineLevel="0" collapsed="false">
      <c r="B512" s="111"/>
    </row>
    <row r="513" customFormat="false" ht="12.75" hidden="false" customHeight="false" outlineLevel="0" collapsed="false">
      <c r="B513" s="111"/>
    </row>
    <row r="514" customFormat="false" ht="12.75" hidden="false" customHeight="false" outlineLevel="0" collapsed="false">
      <c r="B514" s="111"/>
    </row>
    <row r="515" customFormat="false" ht="12.75" hidden="false" customHeight="false" outlineLevel="0" collapsed="false">
      <c r="B515" s="111"/>
    </row>
    <row r="516" customFormat="false" ht="12.75" hidden="false" customHeight="false" outlineLevel="0" collapsed="false">
      <c r="B516" s="111"/>
    </row>
    <row r="517" customFormat="false" ht="12.75" hidden="false" customHeight="false" outlineLevel="0" collapsed="false">
      <c r="B517" s="111"/>
    </row>
    <row r="518" customFormat="false" ht="12.75" hidden="false" customHeight="false" outlineLevel="0" collapsed="false">
      <c r="B518" s="111"/>
    </row>
    <row r="519" customFormat="false" ht="12.75" hidden="false" customHeight="false" outlineLevel="0" collapsed="false">
      <c r="B519" s="111"/>
    </row>
    <row r="520" customFormat="false" ht="12.75" hidden="false" customHeight="false" outlineLevel="0" collapsed="false">
      <c r="B520" s="111"/>
    </row>
    <row r="521" customFormat="false" ht="12.75" hidden="false" customHeight="false" outlineLevel="0" collapsed="false">
      <c r="B521" s="111"/>
    </row>
    <row r="522" customFormat="false" ht="12.75" hidden="false" customHeight="false" outlineLevel="0" collapsed="false">
      <c r="B522" s="111"/>
    </row>
    <row r="523" customFormat="false" ht="12.75" hidden="false" customHeight="false" outlineLevel="0" collapsed="false">
      <c r="B523" s="111"/>
    </row>
    <row r="524" customFormat="false" ht="12.75" hidden="false" customHeight="false" outlineLevel="0" collapsed="false">
      <c r="B524" s="111"/>
    </row>
    <row r="525" customFormat="false" ht="12.75" hidden="false" customHeight="false" outlineLevel="0" collapsed="false">
      <c r="B525" s="111"/>
    </row>
    <row r="526" customFormat="false" ht="12.75" hidden="false" customHeight="false" outlineLevel="0" collapsed="false">
      <c r="B526" s="111"/>
    </row>
  </sheetData>
  <mergeCells count="5">
    <mergeCell ref="K2:L2"/>
    <mergeCell ref="C3:D3"/>
    <mergeCell ref="K3:L3"/>
    <mergeCell ref="M3:N3"/>
    <mergeCell ref="O3:P3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>&amp;CPacific Gas and Electric Company
Derivation of Total Generation Revenues</oddHeader>
    <oddFooter>&amp;L&amp;D
&amp;T&amp;Cpage &amp;P&amp;R&amp;F
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2.49"/>
    <col collapsed="false" customWidth="true" hidden="false" outlineLevel="0" max="4" min="3" style="0" width="13.82"/>
    <col collapsed="false" customWidth="true" hidden="false" outlineLevel="0" max="5" min="5" style="0" width="18.15"/>
    <col collapsed="false" customWidth="true" hidden="false" outlineLevel="0" max="7" min="6" style="0" width="13.82"/>
    <col collapsed="false" customWidth="true" hidden="false" outlineLevel="0" max="8" min="8" style="0" width="14.49"/>
    <col collapsed="false" customWidth="true" hidden="false" outlineLevel="0" max="10" min="9" style="0" width="13.82"/>
    <col collapsed="false" customWidth="true" hidden="false" outlineLevel="0" max="12" min="11" style="0" width="17.49"/>
    <col collapsed="false" customWidth="true" hidden="false" outlineLevel="0" max="13" min="13" style="0" width="13.82"/>
    <col collapsed="false" customWidth="true" hidden="false" outlineLevel="0" max="14" min="14" style="50" width="12.15"/>
    <col collapsed="false" customWidth="true" hidden="false" outlineLevel="0" max="16" min="15" style="0" width="18.32"/>
  </cols>
  <sheetData>
    <row r="1" customFormat="false" ht="12.75" hidden="false" customHeight="false" outlineLevel="0" collapsed="false">
      <c r="A1" s="328" t="s">
        <v>494</v>
      </c>
      <c r="B1" s="329" t="s">
        <v>277</v>
      </c>
      <c r="C1" s="297"/>
      <c r="D1" s="329" t="s">
        <v>495</v>
      </c>
      <c r="E1" s="329" t="s">
        <v>496</v>
      </c>
      <c r="F1" s="329" t="s">
        <v>344</v>
      </c>
      <c r="G1" s="330"/>
      <c r="H1" s="330"/>
      <c r="I1" s="331"/>
      <c r="J1" s="332"/>
      <c r="K1" s="111"/>
      <c r="L1" s="111"/>
      <c r="O1" s="333" t="s">
        <v>497</v>
      </c>
      <c r="P1" s="334" t="n">
        <v>0.0100983</v>
      </c>
    </row>
    <row r="2" customFormat="false" ht="15" hidden="false" customHeight="false" outlineLevel="0" collapsed="false">
      <c r="A2" s="335"/>
      <c r="B2" s="329" t="s">
        <v>282</v>
      </c>
      <c r="C2" s="297"/>
      <c r="D2" s="329" t="s">
        <v>498</v>
      </c>
      <c r="E2" s="329" t="s">
        <v>498</v>
      </c>
      <c r="F2" s="329" t="s">
        <v>498</v>
      </c>
      <c r="G2" s="336" t="s">
        <v>499</v>
      </c>
      <c r="H2" s="336" t="s">
        <v>499</v>
      </c>
      <c r="I2" s="331" t="s">
        <v>500</v>
      </c>
      <c r="J2" s="337" t="s">
        <v>228</v>
      </c>
      <c r="K2" s="338" t="n">
        <f aca="false">EPS</f>
        <v>0.01</v>
      </c>
      <c r="L2" s="111"/>
      <c r="M2" s="111" t="s">
        <v>402</v>
      </c>
      <c r="N2" s="301"/>
      <c r="O2" s="333" t="s">
        <v>501</v>
      </c>
      <c r="P2" s="339" t="n">
        <v>0.0105558</v>
      </c>
    </row>
    <row r="3" customFormat="false" ht="12.75" hidden="false" customHeight="false" outlineLevel="0" collapsed="false">
      <c r="A3" s="335"/>
      <c r="B3" s="329" t="s">
        <v>288</v>
      </c>
      <c r="C3" s="329" t="s">
        <v>502</v>
      </c>
      <c r="D3" s="329" t="s">
        <v>503</v>
      </c>
      <c r="E3" s="329" t="s">
        <v>503</v>
      </c>
      <c r="F3" s="329" t="s">
        <v>503</v>
      </c>
      <c r="G3" s="336" t="s">
        <v>504</v>
      </c>
      <c r="H3" s="336" t="s">
        <v>505</v>
      </c>
      <c r="I3" s="331" t="s">
        <v>506</v>
      </c>
      <c r="J3" s="337" t="s">
        <v>507</v>
      </c>
      <c r="K3" s="15" t="s">
        <v>508</v>
      </c>
      <c r="L3" s="297"/>
      <c r="M3" s="111" t="s">
        <v>427</v>
      </c>
      <c r="N3" s="301" t="s">
        <v>410</v>
      </c>
    </row>
    <row r="4" customFormat="false" ht="12.75" hidden="false" customHeight="false" outlineLevel="0" collapsed="false">
      <c r="A4" s="340" t="s">
        <v>287</v>
      </c>
      <c r="B4" s="340" t="s">
        <v>236</v>
      </c>
      <c r="C4" s="340" t="s">
        <v>509</v>
      </c>
      <c r="D4" s="340" t="s">
        <v>510</v>
      </c>
      <c r="E4" s="340" t="s">
        <v>510</v>
      </c>
      <c r="F4" s="329" t="s">
        <v>510</v>
      </c>
      <c r="G4" s="341" t="s">
        <v>417</v>
      </c>
      <c r="H4" s="341" t="s">
        <v>417</v>
      </c>
      <c r="I4" s="342" t="s">
        <v>228</v>
      </c>
      <c r="J4" s="343" t="s">
        <v>511</v>
      </c>
      <c r="K4" s="83" t="s">
        <v>412</v>
      </c>
      <c r="L4" s="340" t="s">
        <v>119</v>
      </c>
      <c r="M4" s="111" t="s">
        <v>228</v>
      </c>
      <c r="N4" s="301" t="s">
        <v>388</v>
      </c>
    </row>
    <row r="5" customFormat="false" ht="12.75" hidden="false" customHeight="false" outlineLevel="0" collapsed="false">
      <c r="A5" s="298"/>
      <c r="B5" s="297"/>
      <c r="C5" s="86"/>
      <c r="D5" s="86"/>
      <c r="E5" s="86"/>
      <c r="F5" s="86"/>
      <c r="G5" s="344"/>
      <c r="H5" s="344"/>
      <c r="I5" s="345"/>
      <c r="J5" s="346"/>
    </row>
    <row r="6" customFormat="false" ht="12.75" hidden="false" customHeight="false" outlineLevel="0" collapsed="false">
      <c r="A6" s="298" t="s">
        <v>477</v>
      </c>
      <c r="B6" s="297"/>
      <c r="C6" s="86"/>
      <c r="D6" s="86"/>
      <c r="E6" s="86"/>
      <c r="F6" s="86"/>
      <c r="G6" s="344"/>
      <c r="H6" s="344"/>
      <c r="I6" s="345"/>
      <c r="J6" s="346"/>
    </row>
    <row r="7" customFormat="false" ht="12.75" hidden="false" customHeight="false" outlineLevel="0" collapsed="false">
      <c r="A7" s="86" t="s">
        <v>294</v>
      </c>
      <c r="B7" s="304" t="s">
        <v>231</v>
      </c>
      <c r="C7" s="347" t="n">
        <v>43357524.9458441</v>
      </c>
      <c r="D7" s="347" t="n">
        <v>11529762079</v>
      </c>
      <c r="E7" s="347" t="n">
        <v>11837688306.9106</v>
      </c>
      <c r="F7" s="348" t="n">
        <f aca="false">D7+E7</f>
        <v>23367450385.9106</v>
      </c>
      <c r="G7" s="349" t="n">
        <v>2581981586.01532</v>
      </c>
      <c r="H7" s="349" t="n">
        <v>2868868428.90592</v>
      </c>
      <c r="I7" s="350" t="n">
        <v>0</v>
      </c>
      <c r="J7" s="351" t="n">
        <f aca="false">F7-I7</f>
        <v>23367450385.9106</v>
      </c>
      <c r="K7" s="317" t="n">
        <f aca="false">$K$2*J7</f>
        <v>233674503.859106</v>
      </c>
      <c r="L7" s="317"/>
      <c r="M7" s="69" t="n">
        <f aca="false">F7</f>
        <v>23367450385.9106</v>
      </c>
      <c r="N7" s="50" t="n">
        <f aca="false">M7*$P$1</f>
        <v>235971524.232041</v>
      </c>
    </row>
    <row r="8" customFormat="false" ht="12.75" hidden="false" customHeight="false" outlineLevel="0" collapsed="false">
      <c r="A8" s="86" t="s">
        <v>295</v>
      </c>
      <c r="B8" s="304"/>
      <c r="C8" s="347" t="n">
        <v>3666381.3935986</v>
      </c>
      <c r="D8" s="347" t="n">
        <v>989322076</v>
      </c>
      <c r="E8" s="347" t="n">
        <v>933073324.481783</v>
      </c>
      <c r="F8" s="348" t="n">
        <f aca="false">D8+E8</f>
        <v>1922395400.48178</v>
      </c>
      <c r="G8" s="349" t="n">
        <v>168120011.16367</v>
      </c>
      <c r="H8" s="349" t="n">
        <v>186800012.404078</v>
      </c>
      <c r="I8" s="350" t="n">
        <v>1922395400.48178</v>
      </c>
      <c r="J8" s="351" t="n">
        <f aca="false">F8-I8</f>
        <v>0</v>
      </c>
      <c r="K8" s="317" t="n">
        <f aca="false">$K$2*J8</f>
        <v>0</v>
      </c>
      <c r="L8" s="317"/>
      <c r="M8" s="69" t="n">
        <f aca="false">F8</f>
        <v>1922395400.48178</v>
      </c>
      <c r="N8" s="50" t="n">
        <f aca="false">M8*$P$1</f>
        <v>19412925.4726852</v>
      </c>
    </row>
    <row r="9" customFormat="false" ht="12.75" hidden="false" customHeight="false" outlineLevel="0" collapsed="false">
      <c r="A9" s="86" t="s">
        <v>296</v>
      </c>
      <c r="B9" s="304" t="s">
        <v>231</v>
      </c>
      <c r="C9" s="347" t="n">
        <v>1153339.84</v>
      </c>
      <c r="D9" s="347" t="n">
        <v>573047232</v>
      </c>
      <c r="E9" s="347" t="n">
        <v>639809674.466626</v>
      </c>
      <c r="F9" s="348" t="n">
        <f aca="false">D9+E9</f>
        <v>1212856906.46663</v>
      </c>
      <c r="G9" s="349" t="n">
        <v>110620380.015856</v>
      </c>
      <c r="H9" s="349" t="n">
        <v>122911533.350951</v>
      </c>
      <c r="I9" s="350" t="n">
        <v>13845847</v>
      </c>
      <c r="J9" s="351" t="n">
        <f aca="false">F9-I9</f>
        <v>1199011059.46663</v>
      </c>
      <c r="K9" s="317" t="n">
        <f aca="false">$K$2*J9</f>
        <v>11990110.5946663</v>
      </c>
      <c r="L9" s="317"/>
      <c r="M9" s="69" t="n">
        <f aca="false">F9</f>
        <v>1212856906.46663</v>
      </c>
      <c r="N9" s="50" t="n">
        <f aca="false">M9*$P$1</f>
        <v>12247792.8985719</v>
      </c>
    </row>
    <row r="10" customFormat="false" ht="12.75" hidden="false" customHeight="false" outlineLevel="0" collapsed="false">
      <c r="A10" s="86" t="s">
        <v>297</v>
      </c>
      <c r="B10" s="304" t="s">
        <v>231</v>
      </c>
      <c r="C10" s="347" t="n">
        <v>1367271.095356</v>
      </c>
      <c r="D10" s="347" t="n">
        <v>1108352630</v>
      </c>
      <c r="E10" s="347" t="n">
        <v>1139758621.35793</v>
      </c>
      <c r="F10" s="348" t="n">
        <f aca="false">D10+E10</f>
        <v>2248111251.35793</v>
      </c>
      <c r="G10" s="349" t="n">
        <v>211472700.499817</v>
      </c>
      <c r="H10" s="349" t="n">
        <v>234969667.222018</v>
      </c>
      <c r="I10" s="350" t="n">
        <v>0</v>
      </c>
      <c r="J10" s="351" t="n">
        <f aca="false">F10-I10</f>
        <v>2248111251.35793</v>
      </c>
      <c r="K10" s="317" t="n">
        <f aca="false">$K$2*J10</f>
        <v>22481112.5135793</v>
      </c>
      <c r="L10" s="317"/>
      <c r="M10" s="69" t="n">
        <f aca="false">F10</f>
        <v>2248111251.35793</v>
      </c>
      <c r="N10" s="50" t="n">
        <f aca="false">M10*$P$1</f>
        <v>22702101.8495878</v>
      </c>
    </row>
    <row r="11" customFormat="false" ht="12.75" hidden="false" customHeight="false" outlineLevel="0" collapsed="false">
      <c r="A11" s="86" t="s">
        <v>298</v>
      </c>
      <c r="B11" s="304"/>
      <c r="C11" s="347" t="n">
        <v>69215.8873106705</v>
      </c>
      <c r="D11" s="347" t="n">
        <v>48130908</v>
      </c>
      <c r="E11" s="347" t="n">
        <v>48681464.189346</v>
      </c>
      <c r="F11" s="348" t="n">
        <f aca="false">D11+E11</f>
        <v>96812372.189346</v>
      </c>
      <c r="G11" s="349" t="n">
        <v>7831339.59778284</v>
      </c>
      <c r="H11" s="349" t="n">
        <v>8701488.44198094</v>
      </c>
      <c r="I11" s="350" t="n">
        <v>96812372.1893459</v>
      </c>
      <c r="J11" s="351" t="n">
        <f aca="false">F11-I11</f>
        <v>0</v>
      </c>
      <c r="K11" s="317" t="n">
        <f aca="false">$K$2*J11</f>
        <v>0</v>
      </c>
      <c r="L11" s="317"/>
      <c r="M11" s="69" t="n">
        <f aca="false">F11</f>
        <v>96812372.189346</v>
      </c>
      <c r="N11" s="50" t="n">
        <f aca="false">M11*$P$1</f>
        <v>977640.378079672</v>
      </c>
    </row>
    <row r="12" customFormat="false" ht="12.75" hidden="false" customHeight="false" outlineLevel="0" collapsed="false">
      <c r="A12" s="298"/>
      <c r="B12" s="304"/>
      <c r="C12" s="352"/>
      <c r="D12" s="352"/>
      <c r="E12" s="352"/>
      <c r="F12" s="352"/>
      <c r="G12" s="313"/>
      <c r="H12" s="313"/>
      <c r="I12" s="352"/>
      <c r="J12" s="353"/>
    </row>
    <row r="13" customFormat="false" ht="12.75" hidden="false" customHeight="false" outlineLevel="0" collapsed="false">
      <c r="A13" s="298" t="s">
        <v>299</v>
      </c>
      <c r="B13" s="304"/>
      <c r="C13" s="348" t="n">
        <f aca="false">SUM(C7:C11)</f>
        <v>49613733.1621094</v>
      </c>
      <c r="D13" s="348" t="n">
        <f aca="false">SUM(D7:D11)</f>
        <v>14248614925</v>
      </c>
      <c r="E13" s="348" t="n">
        <f aca="false">SUM(E7:E11)</f>
        <v>14599011391.4062</v>
      </c>
      <c r="F13" s="348" t="n">
        <f aca="false">SUM(F7:F11)</f>
        <v>28847626316.4062</v>
      </c>
      <c r="G13" s="348" t="n">
        <f aca="false">SUM(G7:G11)</f>
        <v>3080026017.29245</v>
      </c>
      <c r="H13" s="348" t="n">
        <f aca="false">SUM(H7:H11)</f>
        <v>3422251130.32494</v>
      </c>
      <c r="I13" s="348" t="n">
        <f aca="false">SUM(I7:I11)</f>
        <v>2033053619.67113</v>
      </c>
      <c r="J13" s="348" t="n">
        <f aca="false">SUM(J7:J11)</f>
        <v>26814572696.7351</v>
      </c>
      <c r="K13" s="50" t="n">
        <f aca="false">SUM(K7:K10)</f>
        <v>268145726.967351</v>
      </c>
      <c r="L13" s="50"/>
      <c r="M13" s="69" t="n">
        <f aca="false">SUM(M7:M11)</f>
        <v>28847626316.4062</v>
      </c>
      <c r="N13" s="50" t="n">
        <f aca="false">SUM(N7:N11)</f>
        <v>291311984.830965</v>
      </c>
    </row>
    <row r="14" customFormat="false" ht="12.75" hidden="false" customHeight="false" outlineLevel="0" collapsed="false">
      <c r="A14" s="298"/>
      <c r="B14" s="304"/>
      <c r="C14" s="352"/>
      <c r="D14" s="352"/>
      <c r="E14" s="352"/>
      <c r="F14" s="352"/>
      <c r="G14" s="313"/>
      <c r="H14" s="354"/>
      <c r="I14" s="352"/>
      <c r="J14" s="353"/>
    </row>
    <row r="15" customFormat="false" ht="12.75" hidden="false" customHeight="false" outlineLevel="0" collapsed="false">
      <c r="A15" s="298" t="s">
        <v>300</v>
      </c>
      <c r="B15" s="304"/>
      <c r="C15" s="352"/>
      <c r="D15" s="352"/>
      <c r="E15" s="352"/>
      <c r="F15" s="352"/>
      <c r="G15" s="313"/>
      <c r="H15" s="313"/>
      <c r="I15" s="352"/>
      <c r="J15" s="353"/>
    </row>
    <row r="16" customFormat="false" ht="12.75" hidden="false" customHeight="false" outlineLevel="0" collapsed="false">
      <c r="A16" s="86" t="s">
        <v>301</v>
      </c>
      <c r="B16" s="297" t="s">
        <v>231</v>
      </c>
      <c r="C16" s="355" t="n">
        <v>4548946.14568679</v>
      </c>
      <c r="D16" s="355" t="n">
        <v>3064293997.94957</v>
      </c>
      <c r="E16" s="355" t="n">
        <v>2842096343.71183</v>
      </c>
      <c r="F16" s="348" t="n">
        <f aca="false">D16+E16</f>
        <v>5906390341.6614</v>
      </c>
      <c r="G16" s="349" t="n">
        <v>710376092.783493</v>
      </c>
      <c r="H16" s="349" t="n">
        <v>789311522.537214</v>
      </c>
      <c r="I16" s="356" t="n">
        <v>4588709</v>
      </c>
      <c r="J16" s="353" t="n">
        <f aca="false">F16-I16</f>
        <v>5901801632.6614</v>
      </c>
      <c r="K16" s="317" t="n">
        <f aca="false">$K$2*J16</f>
        <v>59018016.326614</v>
      </c>
      <c r="L16" s="317"/>
      <c r="M16" s="69" t="n">
        <f aca="false">F16</f>
        <v>5906390341.6614</v>
      </c>
      <c r="N16" s="50" t="n">
        <f aca="false">M16*$P$2</f>
        <v>62346675.1685094</v>
      </c>
    </row>
    <row r="17" customFormat="false" ht="12" hidden="false" customHeight="true" outlineLevel="0" collapsed="false">
      <c r="A17" s="86" t="s">
        <v>302</v>
      </c>
      <c r="B17" s="297" t="s">
        <v>231</v>
      </c>
      <c r="C17" s="355" t="n">
        <v>341737.75</v>
      </c>
      <c r="D17" s="355" t="n">
        <v>1087030635.55126</v>
      </c>
      <c r="E17" s="355" t="n">
        <v>886409912.548395</v>
      </c>
      <c r="F17" s="348" t="n">
        <f aca="false">D17+E17</f>
        <v>1973440548.09966</v>
      </c>
      <c r="G17" s="349" t="n">
        <v>175710435.729645</v>
      </c>
      <c r="H17" s="349" t="n">
        <v>195230150.921828</v>
      </c>
      <c r="I17" s="356" t="n">
        <v>569261</v>
      </c>
      <c r="J17" s="353" t="n">
        <f aca="false">F17-I17</f>
        <v>1972871287.09966</v>
      </c>
      <c r="K17" s="317" t="n">
        <f aca="false">$K$2*J17</f>
        <v>19728712.8709966</v>
      </c>
      <c r="L17" s="317"/>
      <c r="M17" s="69" t="n">
        <f aca="false">F17</f>
        <v>1973440548.09966</v>
      </c>
      <c r="N17" s="50" t="n">
        <f aca="false">M17*$P$2</f>
        <v>20831243.7376304</v>
      </c>
    </row>
    <row r="18" customFormat="false" ht="12.75" hidden="false" customHeight="false" outlineLevel="0" collapsed="false">
      <c r="A18" s="86" t="s">
        <v>478</v>
      </c>
      <c r="B18" s="297"/>
      <c r="C18" s="357"/>
      <c r="D18" s="357"/>
      <c r="E18" s="357"/>
      <c r="F18" s="348"/>
      <c r="G18" s="349"/>
      <c r="H18" s="349"/>
      <c r="I18" s="356"/>
      <c r="J18" s="353"/>
      <c r="K18" s="317"/>
      <c r="L18" s="317"/>
    </row>
    <row r="19" customFormat="false" ht="12.75" hidden="false" customHeight="false" outlineLevel="0" collapsed="false">
      <c r="A19" s="86" t="s">
        <v>303</v>
      </c>
      <c r="B19" s="297" t="s">
        <v>231</v>
      </c>
      <c r="C19" s="347" t="n">
        <v>10272</v>
      </c>
      <c r="D19" s="347" t="n">
        <v>661848</v>
      </c>
      <c r="E19" s="347" t="n">
        <v>661848</v>
      </c>
      <c r="F19" s="348" t="n">
        <f aca="false">D19+E19</f>
        <v>1323696</v>
      </c>
      <c r="G19" s="358" t="n">
        <v>378012.213375161</v>
      </c>
      <c r="H19" s="349" t="n">
        <v>378012.213375161</v>
      </c>
      <c r="I19" s="356" t="n">
        <v>0</v>
      </c>
      <c r="J19" s="353" t="n">
        <f aca="false">F19-I19</f>
        <v>1323696</v>
      </c>
      <c r="K19" s="317" t="n">
        <f aca="false">$K$2*F19</f>
        <v>13236.96</v>
      </c>
      <c r="L19" s="317"/>
    </row>
    <row r="20" customFormat="false" ht="12.75" hidden="false" customHeight="false" outlineLevel="0" collapsed="false">
      <c r="A20" s="86" t="s">
        <v>304</v>
      </c>
      <c r="B20" s="297" t="s">
        <v>231</v>
      </c>
      <c r="C20" s="347" t="n">
        <v>133157.962799569</v>
      </c>
      <c r="D20" s="347" t="n">
        <v>60667065.2301713</v>
      </c>
      <c r="E20" s="347" t="n">
        <v>60667065.2301713</v>
      </c>
      <c r="F20" s="348" t="n">
        <f aca="false">D20+E20</f>
        <v>121334130.460343</v>
      </c>
      <c r="G20" s="358" t="n">
        <v>13370632.6153714</v>
      </c>
      <c r="H20" s="358" t="n">
        <v>13370632.6153714</v>
      </c>
      <c r="I20" s="356" t="n">
        <v>121334130.460343</v>
      </c>
      <c r="J20" s="353" t="n">
        <f aca="false">F20-I20</f>
        <v>0</v>
      </c>
      <c r="K20" s="317" t="n">
        <f aca="false">$K$2*F20</f>
        <v>1213341.30460343</v>
      </c>
      <c r="L20" s="317"/>
    </row>
    <row r="21" customFormat="false" ht="12.75" hidden="false" customHeight="false" outlineLevel="0" collapsed="false">
      <c r="A21" s="298"/>
      <c r="B21" s="304"/>
      <c r="C21" s="352"/>
      <c r="D21" s="352"/>
      <c r="E21" s="352"/>
      <c r="F21" s="352"/>
      <c r="G21" s="313"/>
      <c r="H21" s="313"/>
      <c r="I21" s="352"/>
      <c r="J21" s="353"/>
    </row>
    <row r="22" customFormat="false" ht="12.75" hidden="false" customHeight="false" outlineLevel="0" collapsed="false">
      <c r="A22" s="298" t="s">
        <v>305</v>
      </c>
      <c r="B22" s="304"/>
      <c r="C22" s="348" t="n">
        <f aca="false">SUM(C16:C20)</f>
        <v>5034113.85848636</v>
      </c>
      <c r="D22" s="348" t="n">
        <f aca="false">SUM(D16:D20)</f>
        <v>4212653546.731</v>
      </c>
      <c r="E22" s="348" t="n">
        <f aca="false">SUM(E16:E20)</f>
        <v>3789835169.49039</v>
      </c>
      <c r="F22" s="348" t="n">
        <f aca="false">SUM(F16:F20)</f>
        <v>8002488716.2214</v>
      </c>
      <c r="G22" s="317" t="n">
        <f aca="false">SUM(G16:G20)</f>
        <v>899835173.341884</v>
      </c>
      <c r="H22" s="317" t="n">
        <f aca="false">SUM(H16:H20)</f>
        <v>998290318.287789</v>
      </c>
      <c r="I22" s="352" t="n">
        <f aca="false">SUM(I16:I20)</f>
        <v>126492100.460343</v>
      </c>
      <c r="J22" s="352" t="n">
        <f aca="false">SUM(J16:J20)</f>
        <v>7875996615.76105</v>
      </c>
      <c r="K22" s="50" t="n">
        <f aca="false">SUM(K16:K20)</f>
        <v>79973307.462214</v>
      </c>
      <c r="L22" s="50"/>
      <c r="M22" s="69" t="n">
        <f aca="false">SUM(M16:M17)</f>
        <v>7879830889.76105</v>
      </c>
      <c r="N22" s="50" t="n">
        <f aca="false">SUM(N16:N17)</f>
        <v>83177918.9061397</v>
      </c>
    </row>
    <row r="23" customFormat="false" ht="12.75" hidden="false" customHeight="false" outlineLevel="0" collapsed="false">
      <c r="A23" s="298"/>
      <c r="B23" s="304"/>
      <c r="C23" s="352"/>
      <c r="D23" s="352"/>
      <c r="E23" s="352"/>
      <c r="F23" s="352"/>
      <c r="G23" s="313"/>
      <c r="H23" s="313"/>
      <c r="I23" s="352"/>
      <c r="J23" s="353"/>
    </row>
    <row r="24" customFormat="false" ht="12.75" hidden="false" customHeight="false" outlineLevel="0" collapsed="false">
      <c r="A24" s="298" t="s">
        <v>306</v>
      </c>
      <c r="B24" s="304"/>
      <c r="C24" s="352"/>
      <c r="D24" s="352"/>
      <c r="E24" s="352"/>
      <c r="F24" s="352"/>
      <c r="G24" s="313"/>
      <c r="H24" s="313"/>
      <c r="I24" s="352"/>
      <c r="J24" s="353"/>
    </row>
    <row r="25" customFormat="false" ht="12.75" hidden="false" customHeight="false" outlineLevel="0" collapsed="false">
      <c r="A25" s="86" t="s">
        <v>307</v>
      </c>
      <c r="B25" s="297" t="s">
        <v>236</v>
      </c>
      <c r="C25" s="347" t="n">
        <v>36</v>
      </c>
      <c r="D25" s="347" t="n">
        <v>319326.690844489</v>
      </c>
      <c r="E25" s="347" t="n">
        <v>171622.096649259</v>
      </c>
      <c r="F25" s="348" t="n">
        <f aca="false">ROUND(D25+E25,0)</f>
        <v>490949</v>
      </c>
      <c r="G25" s="358" t="n">
        <v>48697.44009307</v>
      </c>
      <c r="H25" s="358" t="n">
        <v>48697.44009307</v>
      </c>
      <c r="I25" s="355" t="n">
        <v>0</v>
      </c>
      <c r="J25" s="353" t="n">
        <f aca="false">F25-I25</f>
        <v>490949</v>
      </c>
      <c r="K25" s="317" t="n">
        <f aca="false">$K$2*F25</f>
        <v>4909.49</v>
      </c>
      <c r="L25" s="317"/>
    </row>
    <row r="26" customFormat="false" ht="15" hidden="false" customHeight="false" outlineLevel="0" collapsed="false">
      <c r="A26" s="86" t="s">
        <v>307</v>
      </c>
      <c r="B26" s="0" t="s">
        <v>234</v>
      </c>
      <c r="C26" s="347" t="n">
        <v>1694</v>
      </c>
      <c r="D26" s="347" t="n">
        <v>45315928.0946963</v>
      </c>
      <c r="E26" s="347" t="n">
        <v>44840499.2209629</v>
      </c>
      <c r="F26" s="348" t="n">
        <f aca="false">ROUND(D26+E26,0)</f>
        <v>90156427</v>
      </c>
      <c r="G26" s="358" t="n">
        <v>8432291.2903225</v>
      </c>
      <c r="H26" s="358" t="n">
        <v>8442848.94024363</v>
      </c>
      <c r="I26" s="355" t="n">
        <v>0</v>
      </c>
      <c r="J26" s="353" t="n">
        <f aca="false">F26-I26</f>
        <v>90156427</v>
      </c>
      <c r="K26" s="317" t="n">
        <f aca="false">$K$2*F26</f>
        <v>901564.27</v>
      </c>
      <c r="L26" s="317"/>
      <c r="M26" s="359" t="n">
        <v>1069441.28600389</v>
      </c>
      <c r="N26" s="50" t="n">
        <f aca="false">M26*$P$2</f>
        <v>11288.8083267999</v>
      </c>
    </row>
    <row r="27" customFormat="false" ht="15" hidden="false" customHeight="false" outlineLevel="0" collapsed="false">
      <c r="A27" s="86" t="s">
        <v>307</v>
      </c>
      <c r="B27" s="297" t="s">
        <v>231</v>
      </c>
      <c r="C27" s="347" t="n">
        <v>648449.872</v>
      </c>
      <c r="D27" s="347" t="n">
        <v>6780013777.41047</v>
      </c>
      <c r="E27" s="347" t="n">
        <v>6079837475.17191</v>
      </c>
      <c r="F27" s="348" t="n">
        <f aca="false">D27+E27</f>
        <v>12859851252.5824</v>
      </c>
      <c r="G27" s="358" t="n">
        <v>1272618916.98408</v>
      </c>
      <c r="H27" s="358" t="n">
        <v>1280842457.14572</v>
      </c>
      <c r="I27" s="355" t="n">
        <v>0</v>
      </c>
      <c r="J27" s="353" t="n">
        <f aca="false">F27-I27</f>
        <v>12859851252.5824</v>
      </c>
      <c r="K27" s="317" t="n">
        <f aca="false">$K$2*F27</f>
        <v>128598512.525824</v>
      </c>
      <c r="L27" s="317"/>
      <c r="M27" s="359" t="n">
        <v>781692090.799015</v>
      </c>
      <c r="N27" s="50" t="n">
        <f aca="false">M27*$P$2</f>
        <v>8251385.37205624</v>
      </c>
    </row>
    <row r="28" customFormat="false" ht="12.75" hidden="false" customHeight="false" outlineLevel="0" collapsed="false">
      <c r="A28" s="311"/>
      <c r="B28" s="297"/>
      <c r="C28" s="352"/>
      <c r="D28" s="352"/>
      <c r="E28" s="352"/>
      <c r="F28" s="352"/>
      <c r="G28" s="313"/>
      <c r="H28" s="313"/>
      <c r="I28" s="352"/>
      <c r="J28" s="353"/>
    </row>
    <row r="29" customFormat="false" ht="12.75" hidden="false" customHeight="false" outlineLevel="0" collapsed="false">
      <c r="A29" s="298" t="s">
        <v>308</v>
      </c>
      <c r="B29" s="304"/>
      <c r="C29" s="348" t="n">
        <f aca="false">SUM(C25:C27)</f>
        <v>650179.872</v>
      </c>
      <c r="D29" s="348" t="n">
        <f aca="false">SUM(D25:D27)</f>
        <v>6825649032.19601</v>
      </c>
      <c r="E29" s="348" t="n">
        <f aca="false">SUM(E25:E27)</f>
        <v>6124849596.48952</v>
      </c>
      <c r="F29" s="348" t="n">
        <f aca="false">SUM(F25:F27)</f>
        <v>12950498628.5824</v>
      </c>
      <c r="G29" s="348" t="n">
        <f aca="false">SUM(G25:G27)</f>
        <v>1281099905.7145</v>
      </c>
      <c r="H29" s="348" t="n">
        <f aca="false">SUM(H25:H27)</f>
        <v>1289334003.52606</v>
      </c>
      <c r="I29" s="348" t="n">
        <f aca="false">SUM(I25:I27)</f>
        <v>0</v>
      </c>
      <c r="J29" s="348" t="n">
        <f aca="false">SUM(J25:J27)</f>
        <v>12950498628.5824</v>
      </c>
      <c r="K29" s="50" t="n">
        <f aca="false">SUM(K25:K27)</f>
        <v>129504986.285824</v>
      </c>
      <c r="L29" s="50"/>
      <c r="M29" s="69" t="n">
        <f aca="false">SUM(M25:M27)</f>
        <v>782761532.085019</v>
      </c>
      <c r="N29" s="50" t="n">
        <f aca="false">SUM(N25:N27)</f>
        <v>8262674.18038304</v>
      </c>
    </row>
    <row r="30" customFormat="false" ht="12.75" hidden="false" customHeight="false" outlineLevel="0" collapsed="false">
      <c r="A30" s="298"/>
      <c r="B30" s="304"/>
      <c r="C30" s="360"/>
      <c r="D30" s="360"/>
      <c r="E30" s="360"/>
      <c r="F30" s="360"/>
      <c r="G30" s="361"/>
      <c r="H30" s="361"/>
      <c r="I30" s="352"/>
      <c r="J30" s="353"/>
    </row>
    <row r="31" customFormat="false" ht="12.75" hidden="false" customHeight="false" outlineLevel="0" collapsed="false">
      <c r="A31" s="298" t="s">
        <v>309</v>
      </c>
      <c r="B31" s="304"/>
      <c r="C31" s="352"/>
      <c r="D31" s="352"/>
      <c r="E31" s="352"/>
      <c r="F31" s="352"/>
      <c r="G31" s="313"/>
      <c r="H31" s="313"/>
      <c r="I31" s="362"/>
      <c r="J31" s="353"/>
    </row>
    <row r="32" customFormat="false" ht="12.75" hidden="false" customHeight="false" outlineLevel="0" collapsed="false">
      <c r="A32" s="86" t="s">
        <v>310</v>
      </c>
      <c r="B32" s="297" t="s">
        <v>236</v>
      </c>
      <c r="C32" s="347" t="n">
        <v>24</v>
      </c>
      <c r="D32" s="347" t="n">
        <v>5057084.49284278</v>
      </c>
      <c r="E32" s="347" t="n">
        <v>3652907.2758159</v>
      </c>
      <c r="F32" s="348" t="n">
        <f aca="false">D32+E32</f>
        <v>8709991.76865869</v>
      </c>
      <c r="G32" s="358" t="n">
        <v>740267.477385463</v>
      </c>
      <c r="H32" s="349" t="n">
        <v>740267.477385463</v>
      </c>
      <c r="I32" s="362"/>
      <c r="J32" s="353" t="n">
        <f aca="false">F32-I32</f>
        <v>8709991.76865869</v>
      </c>
      <c r="K32" s="317" t="n">
        <f aca="false">$K$2*F32</f>
        <v>87099.9176865869</v>
      </c>
      <c r="L32" s="317"/>
    </row>
    <row r="33" customFormat="false" ht="12.75" hidden="false" customHeight="false" outlineLevel="0" collapsed="false">
      <c r="A33" s="86" t="s">
        <v>311</v>
      </c>
      <c r="B33" s="297" t="s">
        <v>236</v>
      </c>
      <c r="C33" s="347" t="n">
        <v>24</v>
      </c>
      <c r="D33" s="347" t="n">
        <v>982017.42910746</v>
      </c>
      <c r="E33" s="347" t="n">
        <v>1156260.98485034</v>
      </c>
      <c r="F33" s="348" t="n">
        <f aca="false">D33+E33</f>
        <v>2138278.4139578</v>
      </c>
      <c r="G33" s="358" t="n">
        <v>175856.716813805</v>
      </c>
      <c r="H33" s="358" t="n">
        <v>175856.716813805</v>
      </c>
      <c r="I33" s="356" t="n">
        <v>0</v>
      </c>
      <c r="J33" s="353" t="n">
        <f aca="false">F33-I33</f>
        <v>2138278.4139578</v>
      </c>
      <c r="K33" s="317" t="n">
        <f aca="false">$K$2*F33</f>
        <v>21382.784139578</v>
      </c>
      <c r="L33" s="317"/>
    </row>
    <row r="34" customFormat="false" ht="12.75" hidden="false" customHeight="false" outlineLevel="0" collapsed="false">
      <c r="A34" s="86" t="s">
        <v>312</v>
      </c>
      <c r="B34" s="297" t="s">
        <v>236</v>
      </c>
      <c r="C34" s="347" t="n">
        <v>0</v>
      </c>
      <c r="D34" s="347" t="n">
        <v>0</v>
      </c>
      <c r="E34" s="347" t="n">
        <v>0</v>
      </c>
      <c r="F34" s="348" t="n">
        <f aca="false">D34+E34</f>
        <v>0</v>
      </c>
      <c r="G34" s="358" t="n">
        <v>0</v>
      </c>
      <c r="H34" s="349" t="n">
        <v>0</v>
      </c>
      <c r="I34" s="362"/>
      <c r="J34" s="353" t="n">
        <f aca="false">F34-I34</f>
        <v>0</v>
      </c>
    </row>
    <row r="35" customFormat="false" ht="12.75" hidden="false" customHeight="false" outlineLevel="0" collapsed="false">
      <c r="A35" s="298" t="s">
        <v>313</v>
      </c>
      <c r="B35" s="297" t="s">
        <v>236</v>
      </c>
      <c r="C35" s="348" t="n">
        <f aca="false">SUM(C32:C34)</f>
        <v>48</v>
      </c>
      <c r="D35" s="348" t="n">
        <f aca="false">SUM(D32:D34)</f>
        <v>6039101.92195024</v>
      </c>
      <c r="E35" s="348" t="n">
        <f aca="false">SUM(E32:E34)</f>
        <v>4809168.26066624</v>
      </c>
      <c r="F35" s="348" t="n">
        <f aca="false">SUM(F32:F34)</f>
        <v>10848270.1826165</v>
      </c>
      <c r="G35" s="317" t="n">
        <f aca="false">SUM(G32:G34)</f>
        <v>916124.194199268</v>
      </c>
      <c r="H35" s="317" t="n">
        <f aca="false">SUM(H32:H34)</f>
        <v>916124.194199268</v>
      </c>
      <c r="I35" s="352" t="n">
        <f aca="false">SUM(I32:I34)</f>
        <v>0</v>
      </c>
      <c r="J35" s="353" t="n">
        <f aca="false">F35-I35</f>
        <v>10848270.1826165</v>
      </c>
      <c r="K35" s="50" t="n">
        <f aca="false">SUM(K32:K34)</f>
        <v>108482.701826165</v>
      </c>
      <c r="L35" s="50" t="n">
        <f aca="false">L34</f>
        <v>0</v>
      </c>
    </row>
    <row r="36" customFormat="false" ht="12.75" hidden="false" customHeight="false" outlineLevel="0" collapsed="false">
      <c r="A36" s="298"/>
      <c r="B36" s="304"/>
      <c r="C36" s="352"/>
      <c r="D36" s="352"/>
      <c r="E36" s="352"/>
      <c r="F36" s="352"/>
      <c r="G36" s="313"/>
      <c r="H36" s="313"/>
      <c r="I36" s="363"/>
      <c r="J36" s="364"/>
    </row>
    <row r="37" customFormat="false" ht="12.75" hidden="false" customHeight="false" outlineLevel="0" collapsed="false">
      <c r="A37" s="298" t="s">
        <v>310</v>
      </c>
      <c r="B37" s="297" t="s">
        <v>234</v>
      </c>
      <c r="C37" s="347" t="n">
        <v>2088</v>
      </c>
      <c r="D37" s="347" t="n">
        <v>334380023.601374</v>
      </c>
      <c r="E37" s="347" t="n">
        <v>297625187.386176</v>
      </c>
      <c r="F37" s="348" t="n">
        <f aca="false">D37+E37</f>
        <v>632005210.98755</v>
      </c>
      <c r="G37" s="358" t="n">
        <v>49241569.4128643</v>
      </c>
      <c r="H37" s="349" t="n">
        <v>49241569.4128643</v>
      </c>
      <c r="I37" s="362"/>
      <c r="J37" s="353" t="n">
        <f aca="false">F37-I37</f>
        <v>632005210.98755</v>
      </c>
      <c r="K37" s="317" t="n">
        <f aca="false">$K$2*F37</f>
        <v>6320052.1098755</v>
      </c>
      <c r="L37" s="317"/>
    </row>
    <row r="38" customFormat="false" ht="12.75" hidden="false" customHeight="true" outlineLevel="0" collapsed="false">
      <c r="A38" s="86" t="s">
        <v>311</v>
      </c>
      <c r="B38" s="297" t="s">
        <v>234</v>
      </c>
      <c r="C38" s="347" t="n">
        <v>1296</v>
      </c>
      <c r="D38" s="347" t="n">
        <v>57222127.8681783</v>
      </c>
      <c r="E38" s="347" t="n">
        <v>52139496.0804456</v>
      </c>
      <c r="F38" s="348" t="n">
        <f aca="false">D38+E38</f>
        <v>109361623.948624</v>
      </c>
      <c r="G38" s="358" t="n">
        <v>8600971.53485724</v>
      </c>
      <c r="H38" s="358" t="n">
        <v>8601649.3158657</v>
      </c>
      <c r="I38" s="356" t="n">
        <v>0</v>
      </c>
      <c r="J38" s="353" t="n">
        <f aca="false">F38-I38</f>
        <v>109361623.948624</v>
      </c>
      <c r="K38" s="317" t="n">
        <f aca="false">$K$2*F38</f>
        <v>1093616.23948624</v>
      </c>
      <c r="L38" s="349"/>
      <c r="M38" s="359" t="n">
        <v>85750.4434820259</v>
      </c>
      <c r="N38" s="50" t="n">
        <f aca="false">M38*$P$2</f>
        <v>905.164531307569</v>
      </c>
    </row>
    <row r="39" customFormat="false" ht="12.75" hidden="false" customHeight="false" outlineLevel="0" collapsed="false">
      <c r="A39" s="86" t="s">
        <v>312</v>
      </c>
      <c r="B39" s="297" t="s">
        <v>234</v>
      </c>
      <c r="C39" s="347" t="n">
        <v>108</v>
      </c>
      <c r="D39" s="347" t="n">
        <v>22002080.6148584</v>
      </c>
      <c r="E39" s="347" t="n">
        <v>20584388.969919</v>
      </c>
      <c r="F39" s="348" t="n">
        <f aca="false">D39+E39</f>
        <v>42586469.5847774</v>
      </c>
      <c r="G39" s="358" t="n">
        <v>2712151.19325783</v>
      </c>
      <c r="H39" s="349" t="n">
        <v>2712151.19325783</v>
      </c>
      <c r="I39" s="362"/>
      <c r="J39" s="353" t="n">
        <f aca="false">F39-I39</f>
        <v>42586469.5847774</v>
      </c>
      <c r="K39" s="317" t="n">
        <f aca="false">$K$2*F39</f>
        <v>425864.695847774</v>
      </c>
      <c r="L39" s="349" t="n">
        <v>-480325.583984666</v>
      </c>
      <c r="M39" s="365"/>
    </row>
    <row r="40" customFormat="false" ht="12.75" hidden="false" customHeight="false" outlineLevel="0" collapsed="false">
      <c r="A40" s="298" t="s">
        <v>313</v>
      </c>
      <c r="B40" s="297" t="s">
        <v>234</v>
      </c>
      <c r="C40" s="348" t="n">
        <f aca="false">SUM(C37:C39)</f>
        <v>3492</v>
      </c>
      <c r="D40" s="348" t="n">
        <f aca="false">SUM(D37:D39)</f>
        <v>413604232.084411</v>
      </c>
      <c r="E40" s="348" t="n">
        <f aca="false">SUM(E37:E39)</f>
        <v>370349072.43654</v>
      </c>
      <c r="F40" s="348" t="n">
        <f aca="false">SUM(F37:F39)</f>
        <v>783953304.520951</v>
      </c>
      <c r="G40" s="317" t="n">
        <f aca="false">SUM(G37:G39)</f>
        <v>60554692.1409793</v>
      </c>
      <c r="H40" s="317" t="n">
        <f aca="false">SUM(H37:H39)</f>
        <v>60555369.9219878</v>
      </c>
      <c r="I40" s="352" t="n">
        <f aca="false">SUM(I38:I39)</f>
        <v>0</v>
      </c>
      <c r="J40" s="353" t="n">
        <f aca="false">F40-I40</f>
        <v>783953304.520951</v>
      </c>
      <c r="K40" s="50" t="n">
        <f aca="false">SUM(K37:K39)</f>
        <v>7839533.04520951</v>
      </c>
      <c r="L40" s="50" t="n">
        <f aca="false">L39</f>
        <v>-480325.583984666</v>
      </c>
      <c r="M40" s="348" t="n">
        <f aca="false">SUM(M37:M39)</f>
        <v>85750.4434820259</v>
      </c>
      <c r="N40" s="317" t="n">
        <f aca="false">SUM(N37:N39)</f>
        <v>905.164531307569</v>
      </c>
    </row>
    <row r="41" customFormat="false" ht="12.75" hidden="false" customHeight="false" outlineLevel="0" collapsed="false">
      <c r="A41" s="298"/>
      <c r="B41" s="304"/>
      <c r="C41" s="352"/>
      <c r="D41" s="345"/>
      <c r="E41" s="345"/>
      <c r="F41" s="352"/>
      <c r="G41" s="313"/>
      <c r="H41" s="313"/>
      <c r="I41" s="363"/>
      <c r="J41" s="364"/>
    </row>
    <row r="42" customFormat="false" ht="12.75" hidden="false" customHeight="false" outlineLevel="0" collapsed="false">
      <c r="A42" s="298" t="s">
        <v>310</v>
      </c>
      <c r="B42" s="297" t="s">
        <v>231</v>
      </c>
      <c r="C42" s="347" t="n">
        <v>21817</v>
      </c>
      <c r="D42" s="347" t="n">
        <v>2530313923.0841</v>
      </c>
      <c r="E42" s="347" t="n">
        <v>2224295112.05933</v>
      </c>
      <c r="F42" s="348" t="n">
        <f aca="false">D42+E42</f>
        <v>4754609035.14343</v>
      </c>
      <c r="G42" s="358" t="n">
        <v>431805371.238501</v>
      </c>
      <c r="H42" s="349" t="n">
        <v>431805371.238501</v>
      </c>
      <c r="I42" s="362"/>
      <c r="J42" s="353" t="n">
        <f aca="false">F42-I42</f>
        <v>4754609035.14343</v>
      </c>
      <c r="K42" s="317" t="n">
        <f aca="false">$K$2*F42</f>
        <v>47546090.3514343</v>
      </c>
      <c r="L42" s="317"/>
    </row>
    <row r="43" customFormat="false" ht="15" hidden="false" customHeight="false" outlineLevel="0" collapsed="false">
      <c r="A43" s="86" t="s">
        <v>311</v>
      </c>
      <c r="B43" s="297" t="s">
        <v>231</v>
      </c>
      <c r="C43" s="347" t="n">
        <v>104219</v>
      </c>
      <c r="D43" s="347" t="n">
        <v>2811649562.61628</v>
      </c>
      <c r="E43" s="347" t="n">
        <v>2583682066.96037</v>
      </c>
      <c r="F43" s="348" t="n">
        <f aca="false">D43+E43</f>
        <v>5395331629.57665</v>
      </c>
      <c r="G43" s="358" t="n">
        <v>462134549.108205</v>
      </c>
      <c r="H43" s="358" t="n">
        <v>463206294.496314</v>
      </c>
      <c r="I43" s="356" t="n">
        <v>0</v>
      </c>
      <c r="J43" s="353" t="n">
        <f aca="false">F43-I43</f>
        <v>5395331629.57665</v>
      </c>
      <c r="K43" s="317" t="n">
        <f aca="false">$K$2*F43</f>
        <v>53953316.2957666</v>
      </c>
      <c r="L43" s="349"/>
      <c r="M43" s="359" t="n">
        <v>114964987.601537</v>
      </c>
      <c r="N43" s="50" t="n">
        <f aca="false">M43*$P$2</f>
        <v>1213547.41612431</v>
      </c>
    </row>
    <row r="44" customFormat="false" ht="12.75" hidden="false" customHeight="false" outlineLevel="0" collapsed="false">
      <c r="A44" s="86" t="s">
        <v>312</v>
      </c>
      <c r="B44" s="297" t="s">
        <v>231</v>
      </c>
      <c r="C44" s="347" t="n">
        <v>84</v>
      </c>
      <c r="D44" s="347" t="n">
        <v>12706578.5683181</v>
      </c>
      <c r="E44" s="347" t="n">
        <v>11802404.6924908</v>
      </c>
      <c r="F44" s="348" t="n">
        <f aca="false">D44+E44</f>
        <v>24508983.2608089</v>
      </c>
      <c r="G44" s="358" t="n">
        <v>1868731.8864175</v>
      </c>
      <c r="H44" s="349" t="n">
        <v>1868731.8864175</v>
      </c>
      <c r="I44" s="362"/>
      <c r="J44" s="353" t="n">
        <f aca="false">F44-I44</f>
        <v>24508983.2608089</v>
      </c>
      <c r="K44" s="317" t="n">
        <f aca="false">$K$2*F44</f>
        <v>245089.832608089</v>
      </c>
      <c r="L44" s="349" t="n">
        <v>-292061.861840781</v>
      </c>
      <c r="M44" s="365"/>
    </row>
    <row r="45" customFormat="false" ht="12.75" hidden="false" customHeight="false" outlineLevel="0" collapsed="false">
      <c r="A45" s="298" t="s">
        <v>313</v>
      </c>
      <c r="B45" s="297" t="s">
        <v>231</v>
      </c>
      <c r="C45" s="348" t="n">
        <f aca="false">SUM(C42:C44)</f>
        <v>126120</v>
      </c>
      <c r="D45" s="348" t="n">
        <f aca="false">SUM(D42:D44)</f>
        <v>5354670064.2687</v>
      </c>
      <c r="E45" s="348" t="n">
        <f aca="false">SUM(E42:E44)</f>
        <v>4819779583.71219</v>
      </c>
      <c r="F45" s="348" t="n">
        <f aca="false">SUM(F42:F44)</f>
        <v>10174449647.9809</v>
      </c>
      <c r="G45" s="317" t="n">
        <f aca="false">SUM(G42:G44)</f>
        <v>895808652.233123</v>
      </c>
      <c r="H45" s="317" t="n">
        <f aca="false">SUM(H42:H44)</f>
        <v>896880397.621232</v>
      </c>
      <c r="I45" s="352" t="n">
        <f aca="false">SUM(I43:I44)</f>
        <v>0</v>
      </c>
      <c r="J45" s="353" t="n">
        <f aca="false">F45-I45</f>
        <v>10174449647.9809</v>
      </c>
      <c r="K45" s="50" t="n">
        <f aca="false">SUM(K42:K44)</f>
        <v>101744496.479809</v>
      </c>
      <c r="L45" s="50" t="n">
        <f aca="false">L44</f>
        <v>-292061.861840781</v>
      </c>
      <c r="M45" s="348" t="n">
        <f aca="false">SUM(M42:M44)</f>
        <v>114964987.601537</v>
      </c>
      <c r="N45" s="317" t="n">
        <f aca="false">SUM(N42:N44)</f>
        <v>1213547.41612431</v>
      </c>
    </row>
    <row r="46" customFormat="false" ht="12.75" hidden="false" customHeight="false" outlineLevel="0" collapsed="false">
      <c r="A46" s="298"/>
      <c r="B46" s="304"/>
      <c r="C46" s="348"/>
      <c r="D46" s="348"/>
      <c r="E46" s="348"/>
      <c r="F46" s="348"/>
      <c r="G46" s="317"/>
      <c r="H46" s="317"/>
      <c r="I46" s="366"/>
      <c r="J46" s="367"/>
    </row>
    <row r="47" customFormat="false" ht="12.75" hidden="false" customHeight="false" outlineLevel="0" collapsed="false">
      <c r="A47" s="86" t="s">
        <v>314</v>
      </c>
      <c r="B47" s="297" t="s">
        <v>231</v>
      </c>
      <c r="C47" s="347" t="n">
        <v>192</v>
      </c>
      <c r="D47" s="347" t="n">
        <v>20178472</v>
      </c>
      <c r="E47" s="347" t="n">
        <v>25948472</v>
      </c>
      <c r="F47" s="348" t="n">
        <f aca="false">D47+E47</f>
        <v>46126944</v>
      </c>
      <c r="G47" s="358" t="n">
        <v>3103936.42460821</v>
      </c>
      <c r="H47" s="349" t="n">
        <v>3103936.42460821</v>
      </c>
      <c r="I47" s="352"/>
      <c r="J47" s="353" t="n">
        <f aca="false">F47-I47</f>
        <v>46126944</v>
      </c>
      <c r="K47" s="317" t="n">
        <f aca="false">$K$2*F47</f>
        <v>461269.44</v>
      </c>
      <c r="L47" s="317"/>
    </row>
    <row r="48" customFormat="false" ht="12.75" hidden="false" customHeight="false" outlineLevel="0" collapsed="false">
      <c r="A48" s="298" t="s">
        <v>315</v>
      </c>
      <c r="B48" s="304"/>
      <c r="C48" s="348" t="n">
        <f aca="false">SUM(C47)</f>
        <v>192</v>
      </c>
      <c r="D48" s="348" t="n">
        <f aca="false">SUM(D47)</f>
        <v>20178472</v>
      </c>
      <c r="E48" s="348" t="n">
        <f aca="false">SUM(E47)</f>
        <v>25948472</v>
      </c>
      <c r="F48" s="348" t="n">
        <f aca="false">SUM(F47)</f>
        <v>46126944</v>
      </c>
      <c r="G48" s="317" t="n">
        <f aca="false">G47</f>
        <v>3103936.42460821</v>
      </c>
      <c r="H48" s="317" t="n">
        <f aca="false">H47</f>
        <v>3103936.42460821</v>
      </c>
      <c r="I48" s="352"/>
      <c r="J48" s="353" t="n">
        <f aca="false">F48-I48</f>
        <v>46126944</v>
      </c>
      <c r="K48" s="317" t="n">
        <f aca="false">$K$2*F48</f>
        <v>461269.44</v>
      </c>
      <c r="L48" s="317"/>
    </row>
    <row r="49" customFormat="false" ht="12.75" hidden="true" customHeight="false" outlineLevel="0" collapsed="false">
      <c r="A49" s="298"/>
      <c r="B49" s="304"/>
      <c r="C49" s="348"/>
      <c r="D49" s="348"/>
      <c r="E49" s="348"/>
      <c r="F49" s="348"/>
      <c r="G49" s="317"/>
      <c r="H49" s="317"/>
      <c r="I49" s="352"/>
      <c r="J49" s="353"/>
    </row>
    <row r="50" customFormat="false" ht="12.75" hidden="false" customHeight="false" outlineLevel="0" collapsed="false">
      <c r="A50" s="298"/>
      <c r="B50" s="304"/>
      <c r="C50" s="348"/>
      <c r="D50" s="348"/>
      <c r="E50" s="348"/>
      <c r="F50" s="348"/>
      <c r="G50" s="317"/>
      <c r="H50" s="317"/>
      <c r="I50" s="352"/>
      <c r="J50" s="353"/>
    </row>
    <row r="51" customFormat="false" ht="12.75" hidden="false" customHeight="false" outlineLevel="0" collapsed="false">
      <c r="A51" s="86" t="s">
        <v>316</v>
      </c>
      <c r="B51" s="297" t="s">
        <v>236</v>
      </c>
      <c r="C51" s="348" t="n">
        <f aca="false">C35</f>
        <v>48</v>
      </c>
      <c r="D51" s="348" t="n">
        <f aca="false">D35</f>
        <v>6039101.92195024</v>
      </c>
      <c r="E51" s="348" t="n">
        <f aca="false">E35</f>
        <v>4809168.26066624</v>
      </c>
      <c r="F51" s="348" t="n">
        <f aca="false">F35</f>
        <v>10848270.1826165</v>
      </c>
      <c r="G51" s="317" t="n">
        <f aca="false">G35</f>
        <v>916124.194199268</v>
      </c>
      <c r="H51" s="317" t="n">
        <f aca="false">H35</f>
        <v>916124.194199268</v>
      </c>
      <c r="I51" s="348" t="n">
        <f aca="false">I35</f>
        <v>0</v>
      </c>
      <c r="J51" s="348" t="n">
        <f aca="false">J35</f>
        <v>10848270.1826165</v>
      </c>
      <c r="K51" s="317" t="n">
        <f aca="false">K35</f>
        <v>108482.701826165</v>
      </c>
      <c r="L51" s="317" t="n">
        <f aca="false">L35</f>
        <v>0</v>
      </c>
      <c r="M51" s="348" t="n">
        <f aca="false">M35</f>
        <v>0</v>
      </c>
      <c r="N51" s="317" t="n">
        <f aca="false">N35</f>
        <v>0</v>
      </c>
    </row>
    <row r="52" customFormat="false" ht="12.75" hidden="false" customHeight="false" outlineLevel="0" collapsed="false">
      <c r="A52" s="86" t="s">
        <v>316</v>
      </c>
      <c r="B52" s="297" t="s">
        <v>234</v>
      </c>
      <c r="C52" s="348" t="n">
        <f aca="false">C40</f>
        <v>3492</v>
      </c>
      <c r="D52" s="348" t="n">
        <f aca="false">D40</f>
        <v>413604232.084411</v>
      </c>
      <c r="E52" s="348" t="n">
        <f aca="false">E40</f>
        <v>370349072.43654</v>
      </c>
      <c r="F52" s="348" t="n">
        <f aca="false">F40</f>
        <v>783953304.520951</v>
      </c>
      <c r="G52" s="317" t="n">
        <f aca="false">G40</f>
        <v>60554692.1409793</v>
      </c>
      <c r="H52" s="317" t="n">
        <f aca="false">H40</f>
        <v>60555369.9219878</v>
      </c>
      <c r="I52" s="348" t="n">
        <f aca="false">I40</f>
        <v>0</v>
      </c>
      <c r="J52" s="348" t="n">
        <f aca="false">J40</f>
        <v>783953304.520951</v>
      </c>
      <c r="K52" s="317" t="n">
        <f aca="false">K40</f>
        <v>7839533.04520951</v>
      </c>
      <c r="L52" s="317" t="n">
        <f aca="false">L40</f>
        <v>-480325.583984666</v>
      </c>
      <c r="M52" s="348" t="n">
        <f aca="false">M40</f>
        <v>85750.4434820259</v>
      </c>
      <c r="N52" s="317" t="n">
        <f aca="false">N40</f>
        <v>905.164531307569</v>
      </c>
    </row>
    <row r="53" customFormat="false" ht="12.75" hidden="false" customHeight="false" outlineLevel="0" collapsed="false">
      <c r="A53" s="86" t="s">
        <v>316</v>
      </c>
      <c r="B53" s="297" t="s">
        <v>231</v>
      </c>
      <c r="C53" s="348" t="n">
        <f aca="false">C45+C47</f>
        <v>126312</v>
      </c>
      <c r="D53" s="348" t="n">
        <f aca="false">D45+D47</f>
        <v>5374848536.2687</v>
      </c>
      <c r="E53" s="348" t="n">
        <f aca="false">E45+E47</f>
        <v>4845728055.71219</v>
      </c>
      <c r="F53" s="348" t="n">
        <f aca="false">F45+F47</f>
        <v>10220576591.9809</v>
      </c>
      <c r="G53" s="317" t="n">
        <f aca="false">G45+G47</f>
        <v>898912588.657731</v>
      </c>
      <c r="H53" s="317" t="n">
        <f aca="false">H45+H47</f>
        <v>899984334.045841</v>
      </c>
      <c r="I53" s="348" t="n">
        <f aca="false">I45+I47</f>
        <v>0</v>
      </c>
      <c r="J53" s="348" t="n">
        <f aca="false">J45+J47</f>
        <v>10220576591.9809</v>
      </c>
      <c r="K53" s="317" t="n">
        <f aca="false">K45+K47</f>
        <v>102205765.919809</v>
      </c>
      <c r="L53" s="317" t="n">
        <f aca="false">L45+L47</f>
        <v>-292061.861840781</v>
      </c>
      <c r="M53" s="348" t="n">
        <f aca="false">M45+M47</f>
        <v>114964987.601537</v>
      </c>
      <c r="N53" s="317" t="n">
        <f aca="false">N45+N47</f>
        <v>1213547.41612431</v>
      </c>
    </row>
    <row r="54" customFormat="false" ht="12.75" hidden="false" customHeight="false" outlineLevel="0" collapsed="false">
      <c r="A54" s="298" t="s">
        <v>479</v>
      </c>
      <c r="B54" s="304"/>
      <c r="C54" s="348" t="n">
        <f aca="false">SUM(C51:C53)</f>
        <v>129852</v>
      </c>
      <c r="D54" s="348" t="n">
        <f aca="false">SUM(D51:D53)</f>
        <v>5794491870.27506</v>
      </c>
      <c r="E54" s="348" t="n">
        <f aca="false">SUM(E51:E53)</f>
        <v>5220886296.4094</v>
      </c>
      <c r="F54" s="348" t="n">
        <f aca="false">SUM(F51:F53)</f>
        <v>11015378166.6845</v>
      </c>
      <c r="G54" s="317" t="n">
        <f aca="false">SUM(G51:G53)</f>
        <v>960383404.99291</v>
      </c>
      <c r="H54" s="317" t="n">
        <f aca="false">SUM(H51:H53)</f>
        <v>961455828.162028</v>
      </c>
      <c r="I54" s="348" t="n">
        <f aca="false">SUM(I51:I53)</f>
        <v>0</v>
      </c>
      <c r="J54" s="348" t="n">
        <f aca="false">SUM(J51:J53)</f>
        <v>11015378166.6845</v>
      </c>
      <c r="K54" s="317" t="n">
        <f aca="false">SUM(K51:K53)</f>
        <v>110153781.666845</v>
      </c>
      <c r="L54" s="317" t="n">
        <f aca="false">SUM(L51:L53)</f>
        <v>-772387.445825447</v>
      </c>
      <c r="M54" s="348" t="n">
        <f aca="false">SUM(M51:M53)</f>
        <v>115050738.045019</v>
      </c>
      <c r="N54" s="317" t="n">
        <f aca="false">SUM(N51:N53)</f>
        <v>1214452.58065562</v>
      </c>
    </row>
    <row r="55" customFormat="false" ht="12.75" hidden="false" customHeight="false" outlineLevel="0" collapsed="false">
      <c r="A55" s="298"/>
      <c r="B55" s="297"/>
      <c r="C55" s="348"/>
      <c r="D55" s="348"/>
      <c r="E55" s="348"/>
      <c r="F55" s="348"/>
      <c r="G55" s="317"/>
      <c r="H55" s="317"/>
      <c r="I55" s="352"/>
      <c r="J55" s="353"/>
    </row>
    <row r="56" customFormat="false" ht="13.5" hidden="false" customHeight="true" outlineLevel="0" collapsed="false">
      <c r="A56" s="298" t="s">
        <v>317</v>
      </c>
      <c r="B56" s="297" t="s">
        <v>231</v>
      </c>
      <c r="C56" s="347" t="n">
        <v>377877.521466763</v>
      </c>
      <c r="D56" s="348" t="n">
        <f aca="false">F56*0.443</f>
        <v>155622291.690241</v>
      </c>
      <c r="E56" s="348" t="n">
        <f aca="false">F56*0.557</f>
        <v>195669563.141003</v>
      </c>
      <c r="F56" s="347" t="n">
        <v>351291854.831243</v>
      </c>
      <c r="G56" s="358" t="n">
        <v>42969466.2021123</v>
      </c>
      <c r="H56" s="358" t="n">
        <v>42969466.2021123</v>
      </c>
      <c r="I56" s="355" t="n">
        <v>337094919</v>
      </c>
      <c r="J56" s="368" t="n">
        <f aca="false">F56-I56</f>
        <v>14196935.8312433</v>
      </c>
      <c r="K56" s="317" t="n">
        <f aca="false">$K$2*F56</f>
        <v>3512918.54831243</v>
      </c>
      <c r="L56" s="317"/>
    </row>
    <row r="57" customFormat="false" ht="12.75" hidden="false" customHeight="false" outlineLevel="0" collapsed="false">
      <c r="A57" s="298"/>
      <c r="B57" s="297"/>
      <c r="C57" s="348"/>
      <c r="D57" s="348"/>
      <c r="E57" s="348"/>
      <c r="F57" s="348"/>
      <c r="G57" s="317"/>
      <c r="H57" s="317"/>
      <c r="I57" s="352"/>
      <c r="J57" s="353"/>
    </row>
    <row r="58" customFormat="false" ht="12.75" hidden="false" customHeight="false" outlineLevel="0" collapsed="false">
      <c r="A58" s="298" t="s">
        <v>318</v>
      </c>
      <c r="B58" s="297"/>
      <c r="C58" s="348"/>
      <c r="D58" s="348"/>
      <c r="E58" s="348"/>
      <c r="F58" s="348"/>
      <c r="G58" s="317"/>
      <c r="H58" s="317"/>
      <c r="I58" s="352"/>
      <c r="J58" s="353"/>
    </row>
    <row r="59" customFormat="false" ht="16.5" hidden="true" customHeight="true" outlineLevel="0" collapsed="false">
      <c r="A59" s="86" t="s">
        <v>319</v>
      </c>
      <c r="B59" s="297" t="s">
        <v>236</v>
      </c>
      <c r="C59" s="347" t="n">
        <v>336</v>
      </c>
      <c r="D59" s="357"/>
      <c r="E59" s="357"/>
      <c r="F59" s="357"/>
      <c r="G59" s="358" t="n">
        <v>582131.477377926</v>
      </c>
      <c r="H59" s="317" t="n">
        <f aca="false">G59</f>
        <v>582131.477377926</v>
      </c>
      <c r="I59" s="352"/>
      <c r="J59" s="353" t="n">
        <f aca="false">F59-I59</f>
        <v>0</v>
      </c>
    </row>
    <row r="60" customFormat="false" ht="16.5" hidden="true" customHeight="true" outlineLevel="0" collapsed="false">
      <c r="A60" s="86" t="s">
        <v>319</v>
      </c>
      <c r="B60" s="297" t="s">
        <v>234</v>
      </c>
      <c r="C60" s="347" t="n">
        <v>624</v>
      </c>
      <c r="D60" s="357"/>
      <c r="E60" s="357"/>
      <c r="F60" s="357"/>
      <c r="G60" s="358" t="n">
        <v>1712148.58367434</v>
      </c>
      <c r="H60" s="317" t="n">
        <f aca="false">G60</f>
        <v>1712148.58367434</v>
      </c>
      <c r="I60" s="352"/>
      <c r="J60" s="353" t="n">
        <f aca="false">F60-I60</f>
        <v>0</v>
      </c>
    </row>
    <row r="61" customFormat="false" ht="16.5" hidden="true" customHeight="true" outlineLevel="0" collapsed="false">
      <c r="A61" s="86" t="s">
        <v>319</v>
      </c>
      <c r="B61" s="297" t="s">
        <v>231</v>
      </c>
      <c r="C61" s="347" t="n">
        <v>216</v>
      </c>
      <c r="D61" s="357"/>
      <c r="E61" s="357"/>
      <c r="F61" s="357"/>
      <c r="G61" s="358" t="n">
        <v>717649.395655035</v>
      </c>
      <c r="H61" s="317" t="n">
        <f aca="false">G61</f>
        <v>717649.395655035</v>
      </c>
      <c r="I61" s="352"/>
      <c r="J61" s="353" t="n">
        <f aca="false">F61-I61</f>
        <v>0</v>
      </c>
    </row>
    <row r="62" customFormat="false" ht="16.5" hidden="true" customHeight="true" outlineLevel="0" collapsed="false">
      <c r="A62" s="298" t="s">
        <v>320</v>
      </c>
      <c r="B62" s="297"/>
      <c r="C62" s="357" t="n">
        <v>1176</v>
      </c>
      <c r="D62" s="357"/>
      <c r="E62" s="357"/>
      <c r="F62" s="357"/>
      <c r="G62" s="349" t="n">
        <v>3011929.4567073</v>
      </c>
      <c r="H62" s="317" t="n">
        <f aca="false">SUM(H59:H61)</f>
        <v>3011929.4567073</v>
      </c>
      <c r="I62" s="352"/>
      <c r="J62" s="353" t="n">
        <f aca="false">F62-I62</f>
        <v>0</v>
      </c>
    </row>
    <row r="63" customFormat="false" ht="16.5" hidden="true" customHeight="true" outlineLevel="0" collapsed="false">
      <c r="A63" s="298"/>
      <c r="B63" s="297"/>
      <c r="C63" s="357"/>
      <c r="D63" s="357"/>
      <c r="E63" s="357"/>
      <c r="F63" s="357"/>
      <c r="G63" s="349"/>
      <c r="H63" s="317"/>
      <c r="I63" s="352"/>
      <c r="J63" s="353"/>
    </row>
    <row r="64" customFormat="false" ht="16.5" hidden="true" customHeight="true" outlineLevel="0" collapsed="false">
      <c r="A64" s="86" t="s">
        <v>321</v>
      </c>
      <c r="B64" s="297" t="s">
        <v>236</v>
      </c>
      <c r="C64" s="347" t="n">
        <v>1188</v>
      </c>
      <c r="D64" s="357"/>
      <c r="E64" s="357"/>
      <c r="F64" s="357"/>
      <c r="G64" s="358" t="n">
        <v>11367595.7645722</v>
      </c>
      <c r="H64" s="317" t="n">
        <f aca="false">G64</f>
        <v>11367595.7645722</v>
      </c>
      <c r="I64" s="352"/>
      <c r="J64" s="353" t="n">
        <f aca="false">F64-I64</f>
        <v>0</v>
      </c>
    </row>
    <row r="65" customFormat="false" ht="16.5" hidden="true" customHeight="true" outlineLevel="0" collapsed="false">
      <c r="A65" s="86" t="s">
        <v>321</v>
      </c>
      <c r="B65" s="297" t="s">
        <v>234</v>
      </c>
      <c r="C65" s="347" t="n">
        <v>228</v>
      </c>
      <c r="D65" s="357"/>
      <c r="E65" s="357"/>
      <c r="F65" s="357"/>
      <c r="G65" s="358" t="n">
        <v>2316455.14772471</v>
      </c>
      <c r="H65" s="317" t="n">
        <f aca="false">G65</f>
        <v>2316455.14772471</v>
      </c>
      <c r="I65" s="352"/>
      <c r="J65" s="353" t="n">
        <f aca="false">F65-I65</f>
        <v>0</v>
      </c>
    </row>
    <row r="66" customFormat="false" ht="16.5" hidden="true" customHeight="true" outlineLevel="0" collapsed="false">
      <c r="A66" s="86" t="s">
        <v>321</v>
      </c>
      <c r="B66" s="297" t="s">
        <v>231</v>
      </c>
      <c r="C66" s="347" t="n">
        <v>60</v>
      </c>
      <c r="D66" s="357"/>
      <c r="E66" s="357"/>
      <c r="F66" s="357"/>
      <c r="G66" s="358" t="n">
        <v>89999.2118115265</v>
      </c>
      <c r="H66" s="317" t="n">
        <f aca="false">G66</f>
        <v>89999.2118115265</v>
      </c>
      <c r="I66" s="352"/>
      <c r="J66" s="353" t="n">
        <f aca="false">F66-I66</f>
        <v>0</v>
      </c>
    </row>
    <row r="67" customFormat="false" ht="16.5" hidden="true" customHeight="true" outlineLevel="0" collapsed="false">
      <c r="A67" s="298" t="s">
        <v>322</v>
      </c>
      <c r="B67" s="297"/>
      <c r="C67" s="348" t="n">
        <f aca="false">SUM(C64:C66)</f>
        <v>1476</v>
      </c>
      <c r="D67" s="348"/>
      <c r="E67" s="348"/>
      <c r="F67" s="348"/>
      <c r="G67" s="317" t="n">
        <f aca="false">SUM(G64:G66)</f>
        <v>13774050.1241084</v>
      </c>
      <c r="H67" s="317" t="n">
        <f aca="false">G67</f>
        <v>13774050.1241084</v>
      </c>
      <c r="I67" s="352"/>
      <c r="J67" s="353" t="n">
        <f aca="false">F67-I67</f>
        <v>0</v>
      </c>
    </row>
    <row r="68" customFormat="false" ht="16.5" hidden="true" customHeight="true" outlineLevel="0" collapsed="false">
      <c r="A68" s="298"/>
      <c r="B68" s="297"/>
      <c r="C68" s="348"/>
      <c r="D68" s="348"/>
      <c r="E68" s="348"/>
      <c r="F68" s="348"/>
      <c r="G68" s="317"/>
      <c r="H68" s="317"/>
      <c r="I68" s="352"/>
      <c r="J68" s="353"/>
    </row>
    <row r="69" customFormat="false" ht="12.75" hidden="false" customHeight="false" outlineLevel="0" collapsed="false">
      <c r="A69" s="298" t="s">
        <v>380</v>
      </c>
      <c r="B69" s="297" t="s">
        <v>236</v>
      </c>
      <c r="C69" s="348" t="n">
        <f aca="false">C64+C59</f>
        <v>1524</v>
      </c>
      <c r="D69" s="347" t="n">
        <v>49099007.6666667</v>
      </c>
      <c r="E69" s="347" t="n">
        <v>80187004.3333333</v>
      </c>
      <c r="F69" s="348" t="n">
        <f aca="false">SUM(D69:E69)</f>
        <v>129286012</v>
      </c>
      <c r="G69" s="317" t="n">
        <f aca="false">G59+G64</f>
        <v>11949727.2419501</v>
      </c>
      <c r="H69" s="317" t="n">
        <f aca="false">G69</f>
        <v>11949727.2419501</v>
      </c>
      <c r="I69" s="352"/>
      <c r="J69" s="353" t="n">
        <f aca="false">F69-I69</f>
        <v>129286012</v>
      </c>
      <c r="K69" s="317" t="n">
        <f aca="false">$K$2*F69</f>
        <v>1292860.12</v>
      </c>
      <c r="L69" s="317"/>
    </row>
    <row r="70" customFormat="false" ht="12.75" hidden="false" customHeight="false" outlineLevel="0" collapsed="false">
      <c r="A70" s="298"/>
      <c r="B70" s="297" t="s">
        <v>234</v>
      </c>
      <c r="C70" s="348" t="n">
        <f aca="false">C65+C60</f>
        <v>852</v>
      </c>
      <c r="D70" s="347" t="n">
        <v>16082197.75</v>
      </c>
      <c r="E70" s="347" t="n">
        <v>13646245.25</v>
      </c>
      <c r="F70" s="348" t="n">
        <f aca="false">SUM(D70:E70)</f>
        <v>29728443</v>
      </c>
      <c r="G70" s="317" t="n">
        <f aca="false">G60+G65</f>
        <v>4028603.73139905</v>
      </c>
      <c r="H70" s="317" t="n">
        <f aca="false">G70</f>
        <v>4028603.73139905</v>
      </c>
      <c r="I70" s="352"/>
      <c r="J70" s="353" t="n">
        <f aca="false">F70-I70</f>
        <v>29728443</v>
      </c>
      <c r="K70" s="317" t="n">
        <f aca="false">$K$2*F70</f>
        <v>297284.43</v>
      </c>
      <c r="L70" s="317"/>
    </row>
    <row r="71" customFormat="false" ht="12.75" hidden="false" customHeight="false" outlineLevel="0" collapsed="false">
      <c r="A71" s="298"/>
      <c r="B71" s="297" t="s">
        <v>231</v>
      </c>
      <c r="C71" s="348" t="n">
        <f aca="false">C66+C61</f>
        <v>276</v>
      </c>
      <c r="D71" s="347" t="n">
        <v>3589368.75</v>
      </c>
      <c r="E71" s="347" t="n">
        <v>3762716.25</v>
      </c>
      <c r="F71" s="348" t="n">
        <f aca="false">SUM(D71:E71)</f>
        <v>7352085</v>
      </c>
      <c r="G71" s="317" t="n">
        <f aca="false">G61+G66</f>
        <v>807648.607466561</v>
      </c>
      <c r="H71" s="317" t="n">
        <f aca="false">G71</f>
        <v>807648.607466561</v>
      </c>
      <c r="I71" s="352"/>
      <c r="J71" s="353" t="n">
        <f aca="false">F71-I71</f>
        <v>7352085</v>
      </c>
      <c r="K71" s="317" t="n">
        <f aca="false">$K$2*F71</f>
        <v>73520.85</v>
      </c>
      <c r="L71" s="317"/>
    </row>
    <row r="72" customFormat="false" ht="12.75" hidden="false" customHeight="false" outlineLevel="0" collapsed="false">
      <c r="A72" s="298"/>
      <c r="B72" s="297"/>
      <c r="C72" s="348"/>
      <c r="D72" s="348"/>
      <c r="E72" s="348"/>
      <c r="F72" s="348"/>
      <c r="G72" s="317"/>
      <c r="H72" s="317"/>
      <c r="I72" s="352"/>
      <c r="J72" s="353"/>
    </row>
    <row r="73" customFormat="false" ht="12.75" hidden="false" customHeight="false" outlineLevel="0" collapsed="false">
      <c r="A73" s="298" t="s">
        <v>323</v>
      </c>
      <c r="B73" s="297"/>
      <c r="C73" s="348" t="n">
        <f aca="false">C67+C62</f>
        <v>2652</v>
      </c>
      <c r="D73" s="348" t="n">
        <f aca="false">SUM(D69:D71)</f>
        <v>68770574.1666667</v>
      </c>
      <c r="E73" s="348" t="n">
        <f aca="false">SUM(E69:E71)</f>
        <v>97595965.8333333</v>
      </c>
      <c r="F73" s="348" t="n">
        <f aca="false">SUM(D73:E73)</f>
        <v>166366540</v>
      </c>
      <c r="G73" s="317" t="n">
        <f aca="false">SUM(G69:G71)</f>
        <v>16785979.5808157</v>
      </c>
      <c r="H73" s="317" t="n">
        <f aca="false">SUM(H69:H71)</f>
        <v>16785979.5808157</v>
      </c>
      <c r="I73" s="369"/>
      <c r="J73" s="368" t="n">
        <f aca="false">F73-I73</f>
        <v>166366540</v>
      </c>
      <c r="K73" s="50" t="n">
        <f aca="false">SUM(K69:K71)</f>
        <v>1663665.4</v>
      </c>
      <c r="L73" s="50"/>
    </row>
    <row r="74" customFormat="false" ht="12.75" hidden="false" customHeight="false" outlineLevel="0" collapsed="false">
      <c r="A74" s="298"/>
      <c r="B74" s="297"/>
      <c r="C74" s="348"/>
      <c r="D74" s="348"/>
      <c r="E74" s="348"/>
      <c r="F74" s="348"/>
      <c r="G74" s="317"/>
      <c r="H74" s="317"/>
      <c r="I74" s="352"/>
      <c r="J74" s="353"/>
    </row>
    <row r="75" customFormat="false" ht="12.75" hidden="false" customHeight="false" outlineLevel="0" collapsed="false">
      <c r="A75" s="86" t="s">
        <v>480</v>
      </c>
      <c r="B75" s="304" t="s">
        <v>231</v>
      </c>
      <c r="C75" s="347" t="n">
        <v>408292.287846976</v>
      </c>
      <c r="D75" s="347" t="n">
        <v>132974447.625</v>
      </c>
      <c r="E75" s="347" t="n">
        <v>46751973.5</v>
      </c>
      <c r="F75" s="348" t="n">
        <f aca="false">D75+E75</f>
        <v>179726421.125</v>
      </c>
      <c r="G75" s="358" t="n">
        <v>37890961.7857262</v>
      </c>
      <c r="H75" s="317" t="n">
        <f aca="false">G75</f>
        <v>37890961.7857262</v>
      </c>
      <c r="I75" s="352"/>
      <c r="J75" s="353" t="n">
        <f aca="false">F75-I75</f>
        <v>179726421.125</v>
      </c>
      <c r="K75" s="317" t="n">
        <f aca="false">$K$2*F75</f>
        <v>1797264.21125</v>
      </c>
      <c r="L75" s="317"/>
    </row>
    <row r="76" customFormat="false" ht="12.75" hidden="false" customHeight="false" outlineLevel="0" collapsed="false">
      <c r="A76" s="86" t="s">
        <v>325</v>
      </c>
      <c r="B76" s="304" t="s">
        <v>231</v>
      </c>
      <c r="C76" s="347" t="n">
        <v>35544</v>
      </c>
      <c r="D76" s="347" t="n">
        <v>22602539</v>
      </c>
      <c r="E76" s="347" t="n">
        <v>6154127</v>
      </c>
      <c r="F76" s="348" t="n">
        <f aca="false">D76+E76</f>
        <v>28756666</v>
      </c>
      <c r="G76" s="358" t="n">
        <v>4320739.15077903</v>
      </c>
      <c r="H76" s="317" t="n">
        <f aca="false">G76</f>
        <v>4320739.15077903</v>
      </c>
      <c r="I76" s="352"/>
      <c r="J76" s="353" t="n">
        <f aca="false">F76-I76</f>
        <v>28756666</v>
      </c>
      <c r="K76" s="317" t="n">
        <f aca="false">$K$2*F76</f>
        <v>287566.66</v>
      </c>
      <c r="L76" s="317"/>
    </row>
    <row r="77" customFormat="false" ht="12.75" hidden="false" customHeight="false" outlineLevel="0" collapsed="false">
      <c r="A77" s="86" t="s">
        <v>326</v>
      </c>
      <c r="B77" s="304" t="s">
        <v>231</v>
      </c>
      <c r="C77" s="347" t="n">
        <v>35040</v>
      </c>
      <c r="D77" s="347" t="n">
        <v>24193295</v>
      </c>
      <c r="E77" s="347" t="n">
        <v>6984381</v>
      </c>
      <c r="F77" s="348" t="n">
        <f aca="false">D77+E77</f>
        <v>31177676</v>
      </c>
      <c r="G77" s="358" t="n">
        <v>4615287.22646707</v>
      </c>
      <c r="H77" s="317" t="n">
        <f aca="false">G77</f>
        <v>4615287.22646707</v>
      </c>
      <c r="I77" s="352"/>
      <c r="J77" s="353" t="n">
        <f aca="false">F77-I77</f>
        <v>31177676</v>
      </c>
      <c r="K77" s="317" t="n">
        <f aca="false">$K$2*F77</f>
        <v>311776.76</v>
      </c>
      <c r="L77" s="317"/>
    </row>
    <row r="78" customFormat="false" ht="12.75" hidden="false" customHeight="false" outlineLevel="0" collapsed="false">
      <c r="A78" s="86" t="s">
        <v>327</v>
      </c>
      <c r="B78" s="304" t="s">
        <v>231</v>
      </c>
      <c r="C78" s="347" t="n">
        <v>144600</v>
      </c>
      <c r="D78" s="347" t="n">
        <v>107834403</v>
      </c>
      <c r="E78" s="347" t="n">
        <v>28377968</v>
      </c>
      <c r="F78" s="348" t="n">
        <f aca="false">D78+E78</f>
        <v>136212371</v>
      </c>
      <c r="G78" s="358" t="n">
        <v>19414902.0535582</v>
      </c>
      <c r="H78" s="317" t="n">
        <f aca="false">G78</f>
        <v>19414902.0535582</v>
      </c>
      <c r="I78" s="352"/>
      <c r="J78" s="353" t="n">
        <f aca="false">F78-I78</f>
        <v>136212371</v>
      </c>
      <c r="K78" s="317" t="n">
        <f aca="false">$K$2*F78</f>
        <v>1362123.71</v>
      </c>
      <c r="L78" s="317"/>
    </row>
    <row r="79" customFormat="false" ht="12.75" hidden="false" customHeight="false" outlineLevel="0" collapsed="false">
      <c r="A79" s="86" t="s">
        <v>328</v>
      </c>
      <c r="B79" s="304" t="s">
        <v>231</v>
      </c>
      <c r="C79" s="347" t="n">
        <v>37428</v>
      </c>
      <c r="D79" s="347" t="n">
        <v>59722475.5</v>
      </c>
      <c r="E79" s="347" t="n">
        <v>23831356.5</v>
      </c>
      <c r="F79" s="348" t="n">
        <f aca="false">D79+E79</f>
        <v>83553832</v>
      </c>
      <c r="G79" s="358" t="n">
        <v>9483825.39358472</v>
      </c>
      <c r="H79" s="317" t="n">
        <f aca="false">G79</f>
        <v>9483825.39358472</v>
      </c>
      <c r="I79" s="352"/>
      <c r="J79" s="353" t="n">
        <f aca="false">F79-I79</f>
        <v>83553832</v>
      </c>
      <c r="K79" s="317" t="n">
        <f aca="false">$K$2*F79</f>
        <v>835538.32</v>
      </c>
      <c r="L79" s="317"/>
    </row>
    <row r="80" customFormat="false" ht="12.75" hidden="false" customHeight="false" outlineLevel="0" collapsed="false">
      <c r="A80" s="86" t="s">
        <v>329</v>
      </c>
      <c r="B80" s="304"/>
      <c r="C80" s="347" t="n">
        <v>91575.782465524</v>
      </c>
      <c r="D80" s="347" t="n">
        <v>187429065.5</v>
      </c>
      <c r="E80" s="347" t="n">
        <v>61497214.5</v>
      </c>
      <c r="F80" s="348" t="n">
        <f aca="false">D80+E80</f>
        <v>248926280</v>
      </c>
      <c r="G80" s="358" t="n">
        <v>40438630.7631408</v>
      </c>
      <c r="H80" s="317" t="n">
        <f aca="false">G80</f>
        <v>40438630.7631408</v>
      </c>
      <c r="I80" s="352"/>
      <c r="J80" s="353" t="n">
        <f aca="false">F80-I80</f>
        <v>248926280</v>
      </c>
      <c r="K80" s="317" t="n">
        <f aca="false">$K$2*F80</f>
        <v>2489262.8</v>
      </c>
      <c r="L80" s="317"/>
    </row>
    <row r="81" customFormat="false" ht="12.75" hidden="false" customHeight="false" outlineLevel="0" collapsed="false">
      <c r="A81" s="86" t="s">
        <v>330</v>
      </c>
      <c r="B81" s="304" t="s">
        <v>231</v>
      </c>
      <c r="C81" s="347" t="n">
        <v>10176</v>
      </c>
      <c r="D81" s="347" t="n">
        <v>21101905.5</v>
      </c>
      <c r="E81" s="347" t="n">
        <v>4670884.5</v>
      </c>
      <c r="F81" s="348" t="n">
        <f aca="false">D81+E81</f>
        <v>25772790</v>
      </c>
      <c r="G81" s="358" t="n">
        <v>3626446.40480184</v>
      </c>
      <c r="H81" s="317" t="n">
        <f aca="false">G81</f>
        <v>3626446.40480184</v>
      </c>
      <c r="I81" s="352"/>
      <c r="J81" s="353" t="n">
        <f aca="false">F81-I81</f>
        <v>25772790</v>
      </c>
      <c r="K81" s="317" t="n">
        <f aca="false">$K$2*F81</f>
        <v>257727.9</v>
      </c>
      <c r="L81" s="317"/>
    </row>
    <row r="82" customFormat="false" ht="12.75" hidden="false" customHeight="false" outlineLevel="0" collapsed="false">
      <c r="A82" s="86" t="s">
        <v>331</v>
      </c>
      <c r="B82" s="304" t="s">
        <v>231</v>
      </c>
      <c r="C82" s="347" t="n">
        <v>6852</v>
      </c>
      <c r="D82" s="347" t="n">
        <v>14553225.5</v>
      </c>
      <c r="E82" s="347" t="n">
        <v>3688684.5</v>
      </c>
      <c r="F82" s="348" t="n">
        <f aca="false">D82+E82</f>
        <v>18241910</v>
      </c>
      <c r="G82" s="358" t="n">
        <v>2416368.26609974</v>
      </c>
      <c r="H82" s="317" t="n">
        <f aca="false">G82</f>
        <v>2416368.26609974</v>
      </c>
      <c r="I82" s="352"/>
      <c r="J82" s="353" t="n">
        <f aca="false">F82-I82</f>
        <v>18241910</v>
      </c>
      <c r="K82" s="317" t="n">
        <f aca="false">$K$2*F82</f>
        <v>182419.1</v>
      </c>
      <c r="L82" s="317"/>
    </row>
    <row r="83" customFormat="false" ht="12.75" hidden="false" customHeight="false" outlineLevel="0" collapsed="false">
      <c r="A83" s="86" t="s">
        <v>332</v>
      </c>
      <c r="B83" s="304" t="s">
        <v>231</v>
      </c>
      <c r="C83" s="347" t="n">
        <v>101629</v>
      </c>
      <c r="D83" s="347" t="n">
        <v>290197636.5</v>
      </c>
      <c r="E83" s="347" t="n">
        <v>84668478.5</v>
      </c>
      <c r="F83" s="348" t="n">
        <f aca="false">D83+E83</f>
        <v>374866115</v>
      </c>
      <c r="G83" s="318" t="n">
        <f aca="false">G85-G84</f>
        <v>48324506.124915</v>
      </c>
      <c r="H83" s="317" t="n">
        <f aca="false">G83</f>
        <v>48324506.124915</v>
      </c>
      <c r="I83" s="352"/>
      <c r="J83" s="353" t="n">
        <f aca="false">F83-I83</f>
        <v>374866115</v>
      </c>
      <c r="K83" s="317" t="n">
        <f aca="false">$K$2*F83</f>
        <v>3748661.15</v>
      </c>
      <c r="L83" s="317"/>
    </row>
    <row r="84" customFormat="false" ht="12.75" hidden="false" customHeight="false" outlineLevel="0" collapsed="false">
      <c r="A84" s="86" t="s">
        <v>332</v>
      </c>
      <c r="B84" s="304" t="s">
        <v>234</v>
      </c>
      <c r="C84" s="347" t="n">
        <v>11</v>
      </c>
      <c r="D84" s="347" t="n">
        <v>297113</v>
      </c>
      <c r="E84" s="347" t="n">
        <v>61509</v>
      </c>
      <c r="F84" s="348" t="n">
        <f aca="false">D84+E84</f>
        <v>358622</v>
      </c>
      <c r="G84" s="370" t="n">
        <v>35055</v>
      </c>
      <c r="H84" s="317" t="n">
        <f aca="false">G84</f>
        <v>35055</v>
      </c>
      <c r="I84" s="352"/>
      <c r="J84" s="353" t="n">
        <f aca="false">F84-I84</f>
        <v>358622</v>
      </c>
      <c r="K84" s="317" t="n">
        <f aca="false">$K$2*F84</f>
        <v>3586.22</v>
      </c>
      <c r="L84" s="317"/>
    </row>
    <row r="85" customFormat="false" ht="12.75" hidden="false" customHeight="false" outlineLevel="0" collapsed="false">
      <c r="A85" s="86" t="s">
        <v>333</v>
      </c>
      <c r="B85" s="304"/>
      <c r="C85" s="348" t="n">
        <f aca="false">SUM(C83:C84)</f>
        <v>101640</v>
      </c>
      <c r="D85" s="348" t="n">
        <f aca="false">D83+D84</f>
        <v>290494749.5</v>
      </c>
      <c r="E85" s="348" t="n">
        <f aca="false">E83+E84</f>
        <v>84729987.5</v>
      </c>
      <c r="F85" s="348" t="n">
        <f aca="false">F83+F84</f>
        <v>375224737</v>
      </c>
      <c r="G85" s="358" t="n">
        <v>48359561.124915</v>
      </c>
      <c r="H85" s="317" t="n">
        <f aca="false">G85</f>
        <v>48359561.124915</v>
      </c>
      <c r="I85" s="352"/>
      <c r="J85" s="353" t="n">
        <f aca="false">F85-I85</f>
        <v>375224737</v>
      </c>
      <c r="K85" s="317" t="n">
        <f aca="false">$K$2*F85</f>
        <v>3752247.37</v>
      </c>
      <c r="L85" s="317"/>
    </row>
    <row r="86" customFormat="false" ht="12.75" hidden="false" customHeight="false" outlineLevel="0" collapsed="false">
      <c r="A86" s="86" t="s">
        <v>334</v>
      </c>
      <c r="B86" s="304" t="s">
        <v>231</v>
      </c>
      <c r="C86" s="347" t="n">
        <v>23496</v>
      </c>
      <c r="D86" s="347" t="n">
        <v>27387242</v>
      </c>
      <c r="E86" s="347" t="n">
        <v>10065671</v>
      </c>
      <c r="F86" s="348" t="n">
        <f aca="false">D86+E86</f>
        <v>37452913</v>
      </c>
      <c r="G86" s="358" t="n">
        <v>5123187.20023047</v>
      </c>
      <c r="H86" s="317" t="n">
        <f aca="false">G86</f>
        <v>5123187.20023047</v>
      </c>
      <c r="I86" s="352"/>
      <c r="J86" s="353" t="n">
        <f aca="false">F86-I86</f>
        <v>37452913</v>
      </c>
      <c r="K86" s="317" t="n">
        <f aca="false">$K$2*F86</f>
        <v>374529.13</v>
      </c>
      <c r="L86" s="317"/>
    </row>
    <row r="87" customFormat="false" ht="12.75" hidden="false" customHeight="false" outlineLevel="0" collapsed="false">
      <c r="A87" s="86" t="s">
        <v>335</v>
      </c>
      <c r="B87" s="304" t="s">
        <v>231</v>
      </c>
      <c r="C87" s="347" t="n">
        <v>120225</v>
      </c>
      <c r="D87" s="347" t="n">
        <v>1344907911.5</v>
      </c>
      <c r="E87" s="347" t="n">
        <v>604438052.5</v>
      </c>
      <c r="F87" s="348" t="n">
        <f aca="false">D87+E87</f>
        <v>1949345964</v>
      </c>
      <c r="G87" s="318"/>
      <c r="H87" s="317"/>
      <c r="I87" s="352"/>
      <c r="J87" s="353" t="n">
        <f aca="false">F87-I87</f>
        <v>1949345964</v>
      </c>
      <c r="K87" s="317" t="n">
        <f aca="false">$K$2*F87</f>
        <v>19493459.64</v>
      </c>
      <c r="L87" s="317"/>
    </row>
    <row r="88" customFormat="false" ht="12.75" hidden="false" customHeight="false" outlineLevel="0" collapsed="false">
      <c r="A88" s="86" t="s">
        <v>335</v>
      </c>
      <c r="B88" s="312" t="s">
        <v>234</v>
      </c>
      <c r="C88" s="347" t="n">
        <v>303</v>
      </c>
      <c r="D88" s="347" t="n">
        <v>100702235</v>
      </c>
      <c r="E88" s="347" t="n">
        <v>51464449</v>
      </c>
      <c r="F88" s="348" t="n">
        <f aca="false">D88+E88</f>
        <v>152166684</v>
      </c>
      <c r="G88" s="370"/>
      <c r="H88" s="317"/>
      <c r="I88" s="352"/>
      <c r="J88" s="353" t="n">
        <f aca="false">F88-I88</f>
        <v>152166684</v>
      </c>
      <c r="K88" s="317" t="n">
        <f aca="false">$K$2*F88</f>
        <v>1521666.84</v>
      </c>
      <c r="L88" s="317"/>
    </row>
    <row r="89" customFormat="false" ht="12.75" hidden="false" customHeight="false" outlineLevel="0" collapsed="false">
      <c r="A89" s="86" t="s">
        <v>336</v>
      </c>
      <c r="B89" s="312"/>
      <c r="C89" s="348" t="n">
        <f aca="false">SUM(C87:C88)</f>
        <v>120528</v>
      </c>
      <c r="D89" s="348" t="n">
        <f aca="false">SUM(D87:D88)</f>
        <v>1445610146.5</v>
      </c>
      <c r="E89" s="348" t="n">
        <f aca="false">SUM(E87:E88)</f>
        <v>655902501.5</v>
      </c>
      <c r="F89" s="348" t="n">
        <f aca="false">SUM(F87:F88)</f>
        <v>2101512648</v>
      </c>
      <c r="G89" s="358" t="n">
        <v>184183076.653189</v>
      </c>
      <c r="H89" s="317" t="n">
        <f aca="false">G89</f>
        <v>184183076.653189</v>
      </c>
      <c r="I89" s="352"/>
      <c r="J89" s="353" t="n">
        <f aca="false">F89-I89</f>
        <v>2101512648</v>
      </c>
      <c r="K89" s="317" t="n">
        <f aca="false">$K$2*F89</f>
        <v>21015126.48</v>
      </c>
      <c r="L89" s="317"/>
    </row>
    <row r="90" customFormat="false" ht="12.75" hidden="false" customHeight="false" outlineLevel="0" collapsed="false">
      <c r="A90" s="86" t="s">
        <v>481</v>
      </c>
      <c r="B90" s="111"/>
      <c r="C90" s="347" t="n">
        <v>6408</v>
      </c>
      <c r="D90" s="347" t="n">
        <v>113979958.5</v>
      </c>
      <c r="E90" s="347" t="n">
        <v>42336000.5</v>
      </c>
      <c r="F90" s="348" t="n">
        <f aca="false">D90+E90</f>
        <v>156315959</v>
      </c>
      <c r="G90" s="358" t="n">
        <v>13473184.515867</v>
      </c>
      <c r="H90" s="317" t="n">
        <f aca="false">G90</f>
        <v>13473184.515867</v>
      </c>
      <c r="I90" s="352"/>
      <c r="J90" s="353" t="n">
        <f aca="false">F90-I90</f>
        <v>156315959</v>
      </c>
      <c r="K90" s="317" t="n">
        <f aca="false">$K$2*F90</f>
        <v>1563159.59</v>
      </c>
      <c r="L90" s="317"/>
    </row>
    <row r="91" customFormat="false" ht="12.75" hidden="false" customHeight="false" outlineLevel="0" collapsed="false">
      <c r="A91" s="298"/>
      <c r="B91" s="304"/>
      <c r="C91" s="352"/>
      <c r="D91" s="352"/>
      <c r="E91" s="352"/>
      <c r="F91" s="352"/>
      <c r="G91" s="313"/>
      <c r="H91" s="313"/>
      <c r="I91" s="371"/>
      <c r="J91" s="351"/>
    </row>
    <row r="92" customFormat="false" ht="12.75" hidden="false" customHeight="false" outlineLevel="0" collapsed="false">
      <c r="A92" s="86" t="s">
        <v>338</v>
      </c>
      <c r="B92" s="304"/>
      <c r="C92" s="352" t="n">
        <f aca="false">SUM(C75:C79)</f>
        <v>660904.287846976</v>
      </c>
      <c r="D92" s="352" t="n">
        <f aca="false">SUM(D75:D79)</f>
        <v>347327160.125</v>
      </c>
      <c r="E92" s="352" t="n">
        <f aca="false">SUM(E75:E79)</f>
        <v>112099806</v>
      </c>
      <c r="F92" s="352" t="n">
        <f aca="false">SUM(F75:F79)</f>
        <v>459426966.125</v>
      </c>
      <c r="G92" s="313" t="n">
        <f aca="false">SUM(G75:G79)</f>
        <v>75725715.6101153</v>
      </c>
      <c r="H92" s="313" t="n">
        <f aca="false">SUM(H75:H79)</f>
        <v>75725715.6101153</v>
      </c>
      <c r="I92" s="313"/>
      <c r="J92" s="313" t="n">
        <f aca="false">SUM(J75:J79)</f>
        <v>459426966.125</v>
      </c>
      <c r="K92" s="313" t="n">
        <f aca="false">SUM(K75:K79)</f>
        <v>4594269.66125</v>
      </c>
      <c r="L92" s="313"/>
    </row>
    <row r="93" customFormat="false" ht="12.75" hidden="false" customHeight="false" outlineLevel="0" collapsed="false">
      <c r="A93" s="86" t="s">
        <v>339</v>
      </c>
      <c r="B93" s="304"/>
      <c r="C93" s="352" t="n">
        <f aca="false">SUM(C80:C84,C86:C88,C90)</f>
        <v>360675.782465524</v>
      </c>
      <c r="D93" s="352" t="n">
        <f aca="false">SUM(D80:D84,D86:D88,D90)</f>
        <v>2100556293</v>
      </c>
      <c r="E93" s="352" t="n">
        <f aca="false">SUM(E80:E84,E86:E88,E90)</f>
        <v>862890944</v>
      </c>
      <c r="F93" s="352" t="n">
        <f aca="false">SUM(F80:F84,F86:F88,F90)</f>
        <v>2963447237</v>
      </c>
      <c r="G93" s="352" t="n">
        <f aca="false">SUM(G80:G84,G86,G89,G90)</f>
        <v>297620454.928244</v>
      </c>
      <c r="H93" s="352" t="n">
        <f aca="false">SUM(H80:H84,H86,H89,H90)</f>
        <v>297620454.928244</v>
      </c>
      <c r="I93" s="352"/>
      <c r="J93" s="352" t="n">
        <f aca="false">SUM(J80:J84,J86:J88,J90)</f>
        <v>2963447237</v>
      </c>
      <c r="K93" s="352" t="n">
        <f aca="false">SUM(K80:K84,K86:K88,K90)</f>
        <v>29634472.37</v>
      </c>
      <c r="L93" s="352"/>
    </row>
    <row r="94" customFormat="false" ht="12.75" hidden="false" customHeight="false" outlineLevel="0" collapsed="false">
      <c r="A94" s="298" t="s">
        <v>340</v>
      </c>
      <c r="B94" s="297"/>
      <c r="C94" s="348" t="n">
        <f aca="false">SUM(C92:C93)</f>
        <v>1021580.0703125</v>
      </c>
      <c r="D94" s="348" t="n">
        <f aca="false">SUM(D92:D93)</f>
        <v>2447883453.125</v>
      </c>
      <c r="E94" s="348" t="n">
        <f aca="false">SUM(E92:E93)</f>
        <v>974990750</v>
      </c>
      <c r="F94" s="348" t="n">
        <f aca="false">SUM(F92:F93)</f>
        <v>3422874203.125</v>
      </c>
      <c r="G94" s="317" t="n">
        <f aca="false">SUM(G92:G93)</f>
        <v>373346170.538359</v>
      </c>
      <c r="H94" s="317" t="n">
        <f aca="false">SUM(H92:H93)</f>
        <v>373346170.538359</v>
      </c>
      <c r="I94" s="317"/>
      <c r="J94" s="317" t="n">
        <f aca="false">SUM(J92:J93)</f>
        <v>3422874203.125</v>
      </c>
      <c r="K94" s="317" t="n">
        <f aca="false">SUM(K92:K93)</f>
        <v>34228742.03125</v>
      </c>
      <c r="L94" s="317"/>
    </row>
    <row r="95" customFormat="false" ht="12.75" hidden="false" customHeight="false" outlineLevel="0" collapsed="false">
      <c r="A95" s="298"/>
      <c r="B95" s="304"/>
      <c r="C95" s="352"/>
      <c r="D95" s="352"/>
      <c r="E95" s="352"/>
      <c r="F95" s="352"/>
      <c r="G95" s="313"/>
      <c r="H95" s="313"/>
      <c r="I95" s="352"/>
      <c r="J95" s="353"/>
    </row>
    <row r="96" customFormat="false" ht="12.75" hidden="false" customHeight="false" outlineLevel="0" collapsed="false">
      <c r="A96" s="298" t="s">
        <v>482</v>
      </c>
      <c r="B96" s="297"/>
      <c r="C96" s="348"/>
      <c r="D96" s="348"/>
      <c r="E96" s="348"/>
      <c r="F96" s="348"/>
      <c r="G96" s="317"/>
      <c r="H96" s="317"/>
      <c r="I96" s="352"/>
      <c r="J96" s="353"/>
    </row>
    <row r="97" customFormat="false" ht="12.75" hidden="false" customHeight="false" outlineLevel="0" collapsed="false">
      <c r="A97" s="86" t="s">
        <v>483</v>
      </c>
      <c r="B97" s="297" t="s">
        <v>236</v>
      </c>
      <c r="C97" s="347" t="n">
        <v>1099</v>
      </c>
      <c r="D97" s="347" t="n">
        <v>2115490004.09571</v>
      </c>
      <c r="E97" s="347" t="n">
        <v>1961752522.13993</v>
      </c>
      <c r="F97" s="348" t="n">
        <f aca="false">D97+E97</f>
        <v>4077242526.23564</v>
      </c>
      <c r="G97" s="358" t="n">
        <v>210910807.633659</v>
      </c>
      <c r="H97" s="317" t="n">
        <f aca="false">G97</f>
        <v>210910807.633659</v>
      </c>
      <c r="I97" s="352"/>
      <c r="J97" s="353" t="n">
        <f aca="false">F97-I97</f>
        <v>4077242526.23564</v>
      </c>
      <c r="K97" s="317" t="n">
        <f aca="false">$K$2*F97</f>
        <v>40772425.2623564</v>
      </c>
      <c r="L97" s="317"/>
    </row>
    <row r="98" customFormat="false" ht="12.75" hidden="false" customHeight="false" outlineLevel="0" collapsed="false">
      <c r="A98" s="86" t="s">
        <v>312</v>
      </c>
      <c r="B98" s="297" t="s">
        <v>236</v>
      </c>
      <c r="C98" s="347" t="n">
        <v>792</v>
      </c>
      <c r="D98" s="347" t="n">
        <v>1537085798.00715</v>
      </c>
      <c r="E98" s="347" t="n">
        <v>1427802411.7727</v>
      </c>
      <c r="F98" s="348" t="n">
        <f aca="false">D98+E98</f>
        <v>2964888209.77985</v>
      </c>
      <c r="G98" s="358" t="n">
        <v>119756012.114192</v>
      </c>
      <c r="H98" s="317" t="n">
        <f aca="false">G98</f>
        <v>119756012.114192</v>
      </c>
      <c r="I98" s="352"/>
      <c r="J98" s="353" t="n">
        <f aca="false">F98-I98</f>
        <v>2964888209.77985</v>
      </c>
      <c r="K98" s="317" t="n">
        <f aca="false">$K$2*F98</f>
        <v>29648882.0977985</v>
      </c>
      <c r="L98" s="372" t="n">
        <v>-31857082.9113344</v>
      </c>
    </row>
    <row r="99" customFormat="false" ht="12.75" hidden="false" customHeight="false" outlineLevel="0" collapsed="false">
      <c r="A99" s="298" t="s">
        <v>484</v>
      </c>
      <c r="B99" s="297"/>
      <c r="C99" s="348" t="n">
        <f aca="false">SUM(C97:C98)</f>
        <v>1891</v>
      </c>
      <c r="D99" s="348" t="n">
        <f aca="false">SUM(D97:D98)</f>
        <v>3652575802.10286</v>
      </c>
      <c r="E99" s="348" t="n">
        <f aca="false">SUM(E97:E98)</f>
        <v>3389554933.91263</v>
      </c>
      <c r="F99" s="348" t="n">
        <f aca="false">SUM(F97:F98)</f>
        <v>7042130736.01549</v>
      </c>
      <c r="G99" s="317" t="n">
        <f aca="false">SUM(G97:G98)</f>
        <v>330666819.747851</v>
      </c>
      <c r="H99" s="317" t="n">
        <f aca="false">SUM(H97:H98)</f>
        <v>330666819.747851</v>
      </c>
      <c r="I99" s="352"/>
      <c r="J99" s="353" t="n">
        <f aca="false">F99-I99</f>
        <v>7042130736.01549</v>
      </c>
      <c r="K99" s="50" t="n">
        <f aca="false">SUM(K97:K98)</f>
        <v>70421307.3601549</v>
      </c>
      <c r="L99" s="373" t="n">
        <f aca="false">SUM(L97:L98)</f>
        <v>-31857082.9113344</v>
      </c>
    </row>
    <row r="100" customFormat="false" ht="12.75" hidden="false" customHeight="false" outlineLevel="0" collapsed="false">
      <c r="A100" s="298"/>
      <c r="B100" s="304"/>
      <c r="C100" s="348"/>
      <c r="D100" s="348"/>
      <c r="E100" s="348"/>
      <c r="F100" s="348"/>
      <c r="G100" s="317"/>
      <c r="H100" s="317"/>
      <c r="I100" s="352"/>
      <c r="J100" s="353"/>
    </row>
    <row r="101" customFormat="false" ht="12.75" hidden="false" customHeight="false" outlineLevel="0" collapsed="false">
      <c r="A101" s="298" t="s">
        <v>485</v>
      </c>
      <c r="B101" s="297" t="s">
        <v>234</v>
      </c>
      <c r="C101" s="347" t="n">
        <v>4787.11047363281</v>
      </c>
      <c r="D101" s="347" t="n">
        <v>2701548075.10161</v>
      </c>
      <c r="E101" s="347" t="n">
        <v>2509748328.88462</v>
      </c>
      <c r="F101" s="348" t="n">
        <f aca="false">D101+E101</f>
        <v>5211296403.98623</v>
      </c>
      <c r="G101" s="358" t="n">
        <v>362915721.76695</v>
      </c>
      <c r="H101" s="317" t="n">
        <f aca="false">G101</f>
        <v>362915721.76695</v>
      </c>
      <c r="I101" s="352"/>
      <c r="J101" s="353" t="n">
        <f aca="false">F101-I101</f>
        <v>5211296403.98623</v>
      </c>
      <c r="K101" s="317" t="n">
        <f aca="false">$K$2*F101</f>
        <v>52112964.0398623</v>
      </c>
      <c r="L101" s="317"/>
    </row>
    <row r="102" customFormat="false" ht="12.75" hidden="false" customHeight="false" outlineLevel="0" collapsed="false">
      <c r="A102" s="86" t="s">
        <v>312</v>
      </c>
      <c r="B102" s="297" t="s">
        <v>234</v>
      </c>
      <c r="C102" s="347" t="n">
        <v>960</v>
      </c>
      <c r="D102" s="347" t="n">
        <v>546096666.177374</v>
      </c>
      <c r="E102" s="347" t="n">
        <v>503553101.480702</v>
      </c>
      <c r="F102" s="348" t="n">
        <f aca="false">D102+E102</f>
        <v>1049649767.65808</v>
      </c>
      <c r="G102" s="358" t="n">
        <v>62043108.6477908</v>
      </c>
      <c r="H102" s="317" t="n">
        <f aca="false">G102</f>
        <v>62043108.6477908</v>
      </c>
      <c r="I102" s="352"/>
      <c r="J102" s="353" t="n">
        <f aca="false">F102-I102</f>
        <v>1049649767.65808</v>
      </c>
      <c r="K102" s="317" t="n">
        <f aca="false">$K$2*F102</f>
        <v>10496497.6765808</v>
      </c>
      <c r="L102" s="372" t="n">
        <v>-12572660.4103346</v>
      </c>
    </row>
    <row r="103" customFormat="false" ht="12.75" hidden="false" customHeight="false" outlineLevel="0" collapsed="false">
      <c r="A103" s="298" t="s">
        <v>486</v>
      </c>
      <c r="B103" s="297"/>
      <c r="C103" s="348" t="n">
        <f aca="false">SUM(C101:C102)</f>
        <v>5747.11047363281</v>
      </c>
      <c r="D103" s="348" t="n">
        <f aca="false">SUM(D101:D102)</f>
        <v>3247644741.27898</v>
      </c>
      <c r="E103" s="348" t="n">
        <f aca="false">SUM(E101:E102)</f>
        <v>3013301430.36532</v>
      </c>
      <c r="F103" s="348" t="n">
        <f aca="false">SUM(F101:F102)</f>
        <v>6260946171.6443</v>
      </c>
      <c r="G103" s="317" t="n">
        <f aca="false">SUM(G101:G102)</f>
        <v>424958830.41474</v>
      </c>
      <c r="H103" s="317" t="n">
        <f aca="false">SUM(H101:H102)</f>
        <v>424958830.41474</v>
      </c>
      <c r="I103" s="352"/>
      <c r="J103" s="353" t="n">
        <f aca="false">F103-I103</f>
        <v>6260946171.6443</v>
      </c>
      <c r="K103" s="50" t="n">
        <f aca="false">SUM(K101:K102)</f>
        <v>62609461.716443</v>
      </c>
      <c r="L103" s="373" t="n">
        <f aca="false">SUM(L101:L102)</f>
        <v>-12572660.4103346</v>
      </c>
    </row>
    <row r="104" customFormat="false" ht="12.75" hidden="false" customHeight="false" outlineLevel="0" collapsed="false">
      <c r="B104" s="304"/>
      <c r="C104" s="352"/>
      <c r="D104" s="352"/>
      <c r="E104" s="352"/>
      <c r="F104" s="352"/>
      <c r="G104" s="313"/>
      <c r="H104" s="313"/>
      <c r="I104" s="360"/>
      <c r="J104" s="364"/>
    </row>
    <row r="105" customFormat="false" ht="12.75" hidden="false" customHeight="false" outlineLevel="0" collapsed="false">
      <c r="A105" s="298" t="s">
        <v>485</v>
      </c>
      <c r="B105" s="297" t="s">
        <v>231</v>
      </c>
      <c r="C105" s="347" t="n">
        <v>4513</v>
      </c>
      <c r="D105" s="347" t="n">
        <v>1569760856.72081</v>
      </c>
      <c r="E105" s="347" t="n">
        <v>1455575921.54469</v>
      </c>
      <c r="F105" s="348" t="n">
        <f aca="false">D105+E105</f>
        <v>3025336778.26551</v>
      </c>
      <c r="G105" s="358" t="n">
        <v>250994553.902674</v>
      </c>
      <c r="H105" s="358" t="n">
        <v>250994553.902674</v>
      </c>
      <c r="I105" s="352"/>
      <c r="J105" s="353" t="n">
        <f aca="false">F105-I105</f>
        <v>3025336778.26551</v>
      </c>
      <c r="K105" s="317" t="n">
        <f aca="false">$K$2*F105</f>
        <v>30253367.7826551</v>
      </c>
      <c r="L105" s="317"/>
    </row>
    <row r="106" customFormat="false" ht="12.75" hidden="false" customHeight="false" outlineLevel="0" collapsed="false">
      <c r="A106" s="86" t="s">
        <v>312</v>
      </c>
      <c r="B106" s="297" t="s">
        <v>231</v>
      </c>
      <c r="C106" s="347" t="n">
        <v>240</v>
      </c>
      <c r="D106" s="347" t="n">
        <v>84223882.8314347</v>
      </c>
      <c r="E106" s="347" t="n">
        <v>78032462.6794215</v>
      </c>
      <c r="F106" s="348" t="n">
        <f aca="false">D106+E106</f>
        <v>162256345.510856</v>
      </c>
      <c r="G106" s="358" t="n">
        <v>11798288.7444512</v>
      </c>
      <c r="H106" s="358" t="n">
        <v>11798288.7444512</v>
      </c>
      <c r="I106" s="352"/>
      <c r="J106" s="353" t="n">
        <f aca="false">F106-I106</f>
        <v>162256345.510856</v>
      </c>
      <c r="K106" s="317" t="n">
        <f aca="false">$K$2*F106</f>
        <v>1622563.45510856</v>
      </c>
      <c r="L106" s="372" t="n">
        <v>-2049114.63820295</v>
      </c>
    </row>
    <row r="107" customFormat="false" ht="12.75" hidden="false" customHeight="false" outlineLevel="0" collapsed="false">
      <c r="A107" s="298" t="s">
        <v>487</v>
      </c>
      <c r="B107" s="297"/>
      <c r="C107" s="348" t="n">
        <f aca="false">SUM(C105:C106)</f>
        <v>4753</v>
      </c>
      <c r="D107" s="348" t="n">
        <f aca="false">SUM(D105:D106)</f>
        <v>1653984739.55225</v>
      </c>
      <c r="E107" s="348" t="n">
        <f aca="false">SUM(E105:E106)</f>
        <v>1533608384.22411</v>
      </c>
      <c r="F107" s="348" t="n">
        <f aca="false">SUM(F105:F106)</f>
        <v>3187593123.77636</v>
      </c>
      <c r="G107" s="317" t="n">
        <f aca="false">SUM(G105:G106)</f>
        <v>262792842.647125</v>
      </c>
      <c r="H107" s="317" t="n">
        <f aca="false">SUM(H105:H106)</f>
        <v>262792842.647125</v>
      </c>
      <c r="I107" s="352"/>
      <c r="J107" s="353" t="n">
        <f aca="false">F107-I107</f>
        <v>3187593123.77636</v>
      </c>
      <c r="K107" s="50" t="n">
        <f aca="false">SUM(K105:K106)</f>
        <v>31875931.2377636</v>
      </c>
      <c r="L107" s="373" t="n">
        <f aca="false">SUM(L105:L106)</f>
        <v>-2049114.63820295</v>
      </c>
    </row>
    <row r="108" customFormat="false" ht="12.75" hidden="false" customHeight="false" outlineLevel="0" collapsed="false">
      <c r="A108" s="298"/>
      <c r="B108" s="304"/>
      <c r="C108" s="352"/>
      <c r="D108" s="352"/>
      <c r="E108" s="352"/>
      <c r="F108" s="352"/>
      <c r="G108" s="313"/>
      <c r="H108" s="313"/>
      <c r="I108" s="352"/>
      <c r="J108" s="353"/>
    </row>
    <row r="109" customFormat="false" ht="12.75" hidden="false" customHeight="false" outlineLevel="0" collapsed="false">
      <c r="A109" s="86" t="s">
        <v>346</v>
      </c>
      <c r="B109" s="297" t="s">
        <v>236</v>
      </c>
      <c r="C109" s="347" t="n">
        <v>12</v>
      </c>
      <c r="D109" s="347" t="n">
        <v>1740000</v>
      </c>
      <c r="E109" s="347" t="n">
        <v>1740000</v>
      </c>
      <c r="F109" s="348" t="n">
        <f aca="false">D109+E109</f>
        <v>3480000</v>
      </c>
      <c r="G109" s="358" t="n">
        <v>224444.926740492</v>
      </c>
      <c r="H109" s="317" t="n">
        <f aca="false">G109</f>
        <v>224444.926740492</v>
      </c>
      <c r="I109" s="352"/>
      <c r="J109" s="353" t="n">
        <f aca="false">F109-I109</f>
        <v>3480000</v>
      </c>
      <c r="K109" s="317" t="n">
        <f aca="false">$K$2*F109</f>
        <v>34800</v>
      </c>
      <c r="L109" s="317"/>
    </row>
    <row r="110" customFormat="false" ht="12.75" hidden="false" customHeight="false" outlineLevel="0" collapsed="false">
      <c r="A110" s="86" t="s">
        <v>488</v>
      </c>
      <c r="B110" s="297" t="s">
        <v>231</v>
      </c>
      <c r="C110" s="347" t="n">
        <v>349</v>
      </c>
      <c r="D110" s="347" t="n">
        <v>159553403.5</v>
      </c>
      <c r="E110" s="347" t="n">
        <v>193360392.5</v>
      </c>
      <c r="F110" s="348" t="n">
        <f aca="false">D110+E110</f>
        <v>352913796</v>
      </c>
      <c r="G110" s="358" t="n">
        <v>25462163.4391812</v>
      </c>
      <c r="H110" s="317" t="n">
        <f aca="false">G110</f>
        <v>25462163.4391812</v>
      </c>
      <c r="I110" s="352"/>
      <c r="J110" s="353" t="n">
        <f aca="false">F110-I110</f>
        <v>352913796</v>
      </c>
      <c r="K110" s="317" t="n">
        <f aca="false">$K$2*F110</f>
        <v>3529137.96</v>
      </c>
      <c r="L110" s="317"/>
    </row>
    <row r="111" customFormat="false" ht="12.75" hidden="false" customHeight="false" outlineLevel="0" collapsed="false">
      <c r="A111" s="298" t="s">
        <v>489</v>
      </c>
      <c r="B111" s="304"/>
      <c r="C111" s="348" t="n">
        <f aca="false">SUM(C109:C110)</f>
        <v>361</v>
      </c>
      <c r="D111" s="348" t="n">
        <f aca="false">SUM(D109:D110)</f>
        <v>161293403.5</v>
      </c>
      <c r="E111" s="348" t="n">
        <f aca="false">SUM(E109:E110)</f>
        <v>195100392.5</v>
      </c>
      <c r="F111" s="348" t="n">
        <f aca="false">SUM(F109:F110)</f>
        <v>356393796</v>
      </c>
      <c r="G111" s="317" t="n">
        <f aca="false">SUM(G109:G110)</f>
        <v>25686608.3659217</v>
      </c>
      <c r="H111" s="317" t="n">
        <f aca="false">SUM(H109:H110)</f>
        <v>25686608.3659217</v>
      </c>
      <c r="I111" s="352"/>
      <c r="J111" s="353" t="n">
        <f aca="false">F111-I111</f>
        <v>356393796</v>
      </c>
      <c r="K111" s="50" t="n">
        <f aca="false">SUM(K109:K110)</f>
        <v>3563937.96</v>
      </c>
      <c r="L111" s="373" t="n">
        <f aca="false">SUM(L109:L110)</f>
        <v>0</v>
      </c>
    </row>
    <row r="112" customFormat="false" ht="12.75" hidden="false" customHeight="false" outlineLevel="0" collapsed="false">
      <c r="A112" s="298"/>
      <c r="B112" s="304"/>
      <c r="C112" s="352"/>
      <c r="D112" s="352"/>
      <c r="E112" s="352"/>
      <c r="F112" s="352"/>
      <c r="G112" s="313"/>
      <c r="H112" s="313"/>
      <c r="I112" s="352"/>
      <c r="J112" s="353"/>
    </row>
    <row r="113" customFormat="false" ht="12.75" hidden="false" customHeight="false" outlineLevel="0" collapsed="false">
      <c r="A113" s="298" t="s">
        <v>490</v>
      </c>
      <c r="B113" s="304" t="s">
        <v>236</v>
      </c>
      <c r="C113" s="374" t="n">
        <f aca="false">C109+C99</f>
        <v>1903</v>
      </c>
      <c r="D113" s="374" t="n">
        <f aca="false">D109+D99</f>
        <v>3654315802.10286</v>
      </c>
      <c r="E113" s="374" t="n">
        <f aca="false">E109+E99</f>
        <v>3391294933.91263</v>
      </c>
      <c r="F113" s="374" t="n">
        <f aca="false">F109+F99</f>
        <v>7045610736.01549</v>
      </c>
      <c r="G113" s="317" t="n">
        <f aca="false">G99+G109</f>
        <v>330891264.674591</v>
      </c>
      <c r="H113" s="317" t="n">
        <f aca="false">H99+H109</f>
        <v>330891264.674591</v>
      </c>
      <c r="I113" s="352"/>
      <c r="J113" s="353" t="n">
        <f aca="false">F113-I113</f>
        <v>7045610736.01549</v>
      </c>
      <c r="K113" s="50" t="n">
        <f aca="false">K109+K99</f>
        <v>70456107.3601549</v>
      </c>
      <c r="L113" s="50" t="n">
        <f aca="false">L109+L99</f>
        <v>-31857082.9113344</v>
      </c>
    </row>
    <row r="114" customFormat="false" ht="12.75" hidden="false" customHeight="false" outlineLevel="0" collapsed="false">
      <c r="A114" s="298"/>
      <c r="B114" s="304" t="s">
        <v>234</v>
      </c>
      <c r="C114" s="374" t="n">
        <f aca="false">C103</f>
        <v>5747.11047363281</v>
      </c>
      <c r="D114" s="374" t="n">
        <f aca="false">D103</f>
        <v>3247644741.27898</v>
      </c>
      <c r="E114" s="374" t="n">
        <f aca="false">E103</f>
        <v>3013301430.36532</v>
      </c>
      <c r="F114" s="374" t="n">
        <f aca="false">F103</f>
        <v>6260946171.6443</v>
      </c>
      <c r="G114" s="317" t="n">
        <f aca="false">G103</f>
        <v>424958830.41474</v>
      </c>
      <c r="H114" s="317" t="n">
        <f aca="false">H103</f>
        <v>424958830.41474</v>
      </c>
      <c r="I114" s="352"/>
      <c r="J114" s="353" t="n">
        <f aca="false">J103</f>
        <v>6260946171.6443</v>
      </c>
      <c r="K114" s="50" t="n">
        <f aca="false">K103</f>
        <v>62609461.716443</v>
      </c>
      <c r="L114" s="50" t="n">
        <f aca="false">L103</f>
        <v>-12572660.4103346</v>
      </c>
    </row>
    <row r="115" customFormat="false" ht="12.75" hidden="false" customHeight="false" outlineLevel="0" collapsed="false">
      <c r="A115" s="298"/>
      <c r="B115" s="304" t="s">
        <v>231</v>
      </c>
      <c r="C115" s="348" t="n">
        <f aca="false">C110+C107</f>
        <v>5102</v>
      </c>
      <c r="D115" s="348" t="n">
        <f aca="false">D110+D107</f>
        <v>1813538143.05225</v>
      </c>
      <c r="E115" s="348" t="n">
        <f aca="false">E110+E107</f>
        <v>1726968776.72411</v>
      </c>
      <c r="F115" s="348" t="n">
        <f aca="false">F110+F107</f>
        <v>3540506919.77636</v>
      </c>
      <c r="G115" s="317" t="n">
        <f aca="false">G110+G107</f>
        <v>288255006.086306</v>
      </c>
      <c r="H115" s="317" t="n">
        <f aca="false">H107+H110</f>
        <v>288255006.086306</v>
      </c>
      <c r="I115" s="352"/>
      <c r="J115" s="353" t="n">
        <f aca="false">F115-I115</f>
        <v>3540506919.77636</v>
      </c>
      <c r="K115" s="50" t="n">
        <f aca="false">K110+K107</f>
        <v>35405069.1977636</v>
      </c>
      <c r="L115" s="50" t="n">
        <f aca="false">L110+L107</f>
        <v>-2049114.63820295</v>
      </c>
    </row>
    <row r="116" customFormat="false" ht="12.75" hidden="false" customHeight="false" outlineLevel="0" collapsed="false">
      <c r="A116" s="298" t="s">
        <v>490</v>
      </c>
      <c r="B116" s="304"/>
      <c r="C116" s="352" t="n">
        <f aca="false">C113+C114+C115</f>
        <v>12752.1104736328</v>
      </c>
      <c r="D116" s="352" t="n">
        <f aca="false">D113+D114+D115</f>
        <v>8715498686.43409</v>
      </c>
      <c r="E116" s="352" t="n">
        <f aca="false">E113+E114+E115</f>
        <v>8131565141.00206</v>
      </c>
      <c r="F116" s="352" t="n">
        <f aca="false">F113+F114+F115</f>
        <v>16847063827.4362</v>
      </c>
      <c r="G116" s="313" t="n">
        <f aca="false">SUM(G113:G115)</f>
        <v>1044105101.17564</v>
      </c>
      <c r="H116" s="313" t="n">
        <f aca="false">SUM(H113:H115)</f>
        <v>1044105101.17564</v>
      </c>
      <c r="I116" s="352"/>
      <c r="J116" s="353" t="n">
        <f aca="false">F116-I116</f>
        <v>16847063827.4362</v>
      </c>
      <c r="K116" s="50" t="n">
        <f aca="false">SUM(K113:K115)</f>
        <v>168470638.274362</v>
      </c>
      <c r="L116" s="50" t="n">
        <f aca="false">SUM(L113:L115)</f>
        <v>-46478857.959872</v>
      </c>
    </row>
    <row r="117" customFormat="false" ht="12.75" hidden="false" customHeight="false" outlineLevel="0" collapsed="false">
      <c r="A117" s="298"/>
      <c r="B117" s="304"/>
      <c r="C117" s="352"/>
      <c r="D117" s="352"/>
      <c r="E117" s="352"/>
      <c r="F117" s="352"/>
      <c r="G117" s="313"/>
      <c r="H117" s="313"/>
      <c r="I117" s="352"/>
      <c r="J117" s="353"/>
    </row>
    <row r="118" customFormat="false" ht="12.75" hidden="false" customHeight="false" outlineLevel="0" collapsed="false">
      <c r="A118" s="298" t="s">
        <v>349</v>
      </c>
      <c r="B118" s="297" t="s">
        <v>236</v>
      </c>
      <c r="C118" s="347" t="n">
        <v>12</v>
      </c>
      <c r="D118" s="347" t="n">
        <v>207024000</v>
      </c>
      <c r="E118" s="347" t="n">
        <v>151824000</v>
      </c>
      <c r="F118" s="348" t="n">
        <f aca="false">D118+E118</f>
        <v>358848000</v>
      </c>
      <c r="G118" s="358" t="n">
        <v>17626446.15</v>
      </c>
      <c r="H118" s="317" t="n">
        <f aca="false">G118</f>
        <v>17626446.15</v>
      </c>
      <c r="I118" s="352" t="n">
        <f aca="false">F118</f>
        <v>358848000</v>
      </c>
      <c r="J118" s="353" t="n">
        <f aca="false">F118-I118</f>
        <v>0</v>
      </c>
      <c r="K118" s="317" t="n">
        <f aca="false">$K$2*F118</f>
        <v>3588480</v>
      </c>
      <c r="L118" s="317"/>
    </row>
    <row r="119" customFormat="false" ht="12.75" hidden="false" customHeight="false" outlineLevel="0" collapsed="false">
      <c r="A119" s="298"/>
      <c r="B119" s="297" t="s">
        <v>234</v>
      </c>
      <c r="C119" s="347" t="n">
        <v>0</v>
      </c>
      <c r="D119" s="347" t="n">
        <v>0</v>
      </c>
      <c r="E119" s="347" t="n">
        <v>0</v>
      </c>
      <c r="F119" s="348" t="n">
        <f aca="false">D119+E119</f>
        <v>0</v>
      </c>
      <c r="G119" s="358" t="n">
        <v>0</v>
      </c>
      <c r="H119" s="317" t="n">
        <f aca="false">G119</f>
        <v>0</v>
      </c>
      <c r="I119" s="352" t="n">
        <f aca="false">F119</f>
        <v>0</v>
      </c>
      <c r="J119" s="353" t="n">
        <f aca="false">F119-I119</f>
        <v>0</v>
      </c>
      <c r="K119" s="317" t="n">
        <f aca="false">$K$2*F119</f>
        <v>0</v>
      </c>
      <c r="L119" s="317"/>
    </row>
    <row r="120" customFormat="false" ht="12.75" hidden="false" customHeight="false" outlineLevel="0" collapsed="false">
      <c r="A120" s="298"/>
      <c r="B120" s="297" t="s">
        <v>231</v>
      </c>
      <c r="C120" s="347" t="n">
        <v>36</v>
      </c>
      <c r="D120" s="347" t="n">
        <v>15007302</v>
      </c>
      <c r="E120" s="347" t="n">
        <v>13527372</v>
      </c>
      <c r="F120" s="348" t="n">
        <f aca="false">D120+E120</f>
        <v>28534674</v>
      </c>
      <c r="G120" s="358" t="n">
        <v>1782797.25</v>
      </c>
      <c r="H120" s="317" t="n">
        <f aca="false">G120</f>
        <v>1782797.25</v>
      </c>
      <c r="I120" s="352" t="n">
        <f aca="false">F120</f>
        <v>28534674</v>
      </c>
      <c r="J120" s="353" t="n">
        <f aca="false">F120-I120</f>
        <v>0</v>
      </c>
      <c r="K120" s="317" t="n">
        <f aca="false">$K$2*F120</f>
        <v>285346.74</v>
      </c>
      <c r="L120" s="317"/>
    </row>
    <row r="121" customFormat="false" ht="12.75" hidden="false" customHeight="false" outlineLevel="0" collapsed="false">
      <c r="A121" s="298" t="s">
        <v>491</v>
      </c>
      <c r="B121" s="304"/>
      <c r="C121" s="348" t="n">
        <f aca="false">SUM(C118:C120)</f>
        <v>48</v>
      </c>
      <c r="D121" s="348" t="n">
        <f aca="false">SUM(D118:D120)</f>
        <v>222031302</v>
      </c>
      <c r="E121" s="348" t="n">
        <f aca="false">SUM(E118:E120)</f>
        <v>165351372</v>
      </c>
      <c r="F121" s="348" t="n">
        <f aca="false">D121+E121</f>
        <v>387382674</v>
      </c>
      <c r="G121" s="317" t="n">
        <f aca="false">SUM(G118:G120)</f>
        <v>19409243.4</v>
      </c>
      <c r="H121" s="317" t="n">
        <f aca="false">SUM(H118:H120)</f>
        <v>19409243.4</v>
      </c>
      <c r="I121" s="352" t="n">
        <f aca="false">SUM(I118:I120)</f>
        <v>387382674</v>
      </c>
      <c r="J121" s="353" t="n">
        <f aca="false">F121-I121</f>
        <v>0</v>
      </c>
      <c r="K121" s="50" t="n">
        <f aca="false">SUM(K118:K120)</f>
        <v>3873826.74</v>
      </c>
      <c r="L121" s="50"/>
    </row>
    <row r="122" customFormat="false" ht="12.75" hidden="false" customHeight="false" outlineLevel="0" collapsed="false">
      <c r="A122" s="298"/>
      <c r="B122" s="304"/>
      <c r="C122" s="352"/>
      <c r="D122" s="352"/>
      <c r="E122" s="352"/>
      <c r="F122" s="352"/>
      <c r="G122" s="313"/>
      <c r="H122" s="313"/>
      <c r="I122" s="352"/>
      <c r="J122" s="353"/>
    </row>
    <row r="123" customFormat="false" ht="12.75" hidden="false" customHeight="false" outlineLevel="0" collapsed="false">
      <c r="A123" s="298" t="s">
        <v>492</v>
      </c>
      <c r="B123" s="304" t="s">
        <v>236</v>
      </c>
      <c r="C123" s="352" t="n">
        <f aca="false">C118+C113</f>
        <v>1915</v>
      </c>
      <c r="D123" s="352" t="n">
        <f aca="false">D118+D113</f>
        <v>3861339802.10286</v>
      </c>
      <c r="E123" s="352" t="n">
        <f aca="false">E118+E113</f>
        <v>3543118933.91263</v>
      </c>
      <c r="F123" s="352" t="n">
        <f aca="false">F118+F113</f>
        <v>7404458736.01549</v>
      </c>
      <c r="G123" s="313" t="n">
        <f aca="false">G118+G113</f>
        <v>348517710.824591</v>
      </c>
      <c r="H123" s="313" t="n">
        <f aca="false">H118+H113</f>
        <v>348517710.824591</v>
      </c>
      <c r="I123" s="352" t="n">
        <f aca="false">I118+I113</f>
        <v>358848000</v>
      </c>
      <c r="J123" s="353" t="n">
        <f aca="false">F123-I123</f>
        <v>7045610736.01549</v>
      </c>
      <c r="K123" s="313" t="n">
        <f aca="false">K118+K113</f>
        <v>74044587.3601549</v>
      </c>
      <c r="L123" s="313" t="n">
        <f aca="false">L118+L113</f>
        <v>-31857082.9113344</v>
      </c>
    </row>
    <row r="124" customFormat="false" ht="12.75" hidden="false" customHeight="false" outlineLevel="0" collapsed="false">
      <c r="A124" s="298"/>
      <c r="B124" s="304" t="s">
        <v>234</v>
      </c>
      <c r="C124" s="352" t="n">
        <f aca="false">C119+C114</f>
        <v>5747.11047363281</v>
      </c>
      <c r="D124" s="352" t="n">
        <f aca="false">D119+D114</f>
        <v>3247644741.27898</v>
      </c>
      <c r="E124" s="352" t="n">
        <f aca="false">E119+E114</f>
        <v>3013301430.36532</v>
      </c>
      <c r="F124" s="352" t="n">
        <f aca="false">F119+F114</f>
        <v>6260946171.6443</v>
      </c>
      <c r="G124" s="313" t="n">
        <f aca="false">G119+G114</f>
        <v>424958830.41474</v>
      </c>
      <c r="H124" s="313" t="n">
        <f aca="false">H119+H114</f>
        <v>424958830.41474</v>
      </c>
      <c r="I124" s="352" t="n">
        <f aca="false">I119+I114</f>
        <v>0</v>
      </c>
      <c r="J124" s="353" t="n">
        <f aca="false">F124-I124</f>
        <v>6260946171.6443</v>
      </c>
      <c r="K124" s="313" t="n">
        <f aca="false">K119+K114</f>
        <v>62609461.716443</v>
      </c>
      <c r="L124" s="313" t="n">
        <f aca="false">L119+L114</f>
        <v>-12572660.4103346</v>
      </c>
    </row>
    <row r="125" customFormat="false" ht="12.75" hidden="false" customHeight="false" outlineLevel="0" collapsed="false">
      <c r="A125" s="298"/>
      <c r="B125" s="304" t="s">
        <v>231</v>
      </c>
      <c r="C125" s="352" t="n">
        <f aca="false">C120+C115</f>
        <v>5138</v>
      </c>
      <c r="D125" s="352" t="n">
        <f aca="false">D120+D115</f>
        <v>1828545445.05225</v>
      </c>
      <c r="E125" s="352" t="n">
        <f aca="false">E120+E115</f>
        <v>1740496148.72411</v>
      </c>
      <c r="F125" s="352" t="n">
        <f aca="false">F120+F115</f>
        <v>3569041593.77636</v>
      </c>
      <c r="G125" s="313" t="n">
        <f aca="false">G120+G115</f>
        <v>290037803.336306</v>
      </c>
      <c r="H125" s="313" t="n">
        <f aca="false">H120+H115</f>
        <v>290037803.336306</v>
      </c>
      <c r="I125" s="352" t="n">
        <f aca="false">I120+I115</f>
        <v>28534674</v>
      </c>
      <c r="J125" s="353" t="n">
        <f aca="false">F125-I125</f>
        <v>3540506919.77636</v>
      </c>
      <c r="K125" s="313" t="n">
        <f aca="false">K120+K115</f>
        <v>35690415.9377636</v>
      </c>
      <c r="L125" s="313" t="n">
        <f aca="false">L120+L115</f>
        <v>-2049114.63820295</v>
      </c>
    </row>
    <row r="126" customFormat="false" ht="12.75" hidden="false" customHeight="false" outlineLevel="0" collapsed="false">
      <c r="A126" s="298" t="s">
        <v>492</v>
      </c>
      <c r="B126" s="304"/>
      <c r="C126" s="352" t="n">
        <f aca="false">C123+C124+C125</f>
        <v>12800.1104736328</v>
      </c>
      <c r="D126" s="352" t="n">
        <f aca="false">D123+D124+D125</f>
        <v>8937529988.43409</v>
      </c>
      <c r="E126" s="352" t="n">
        <f aca="false">E123+E124+E125</f>
        <v>8296916513.00206</v>
      </c>
      <c r="F126" s="352" t="n">
        <f aca="false">F123+F124+F125</f>
        <v>17234446501.4362</v>
      </c>
      <c r="G126" s="313" t="n">
        <f aca="false">G123+G124+G125</f>
        <v>1063514344.57564</v>
      </c>
      <c r="H126" s="313" t="n">
        <f aca="false">H123+H124+H125</f>
        <v>1063514344.57564</v>
      </c>
      <c r="I126" s="352" t="n">
        <f aca="false">I123+I124+I125</f>
        <v>387382674</v>
      </c>
      <c r="J126" s="353" t="n">
        <f aca="false">F126-I126</f>
        <v>16847063827.4362</v>
      </c>
      <c r="K126" s="313" t="n">
        <f aca="false">K123+K124+K125</f>
        <v>172344465.014362</v>
      </c>
      <c r="L126" s="313" t="n">
        <f aca="false">L123+L124+L125</f>
        <v>-46478857.959872</v>
      </c>
    </row>
    <row r="127" customFormat="false" ht="12.75" hidden="false" customHeight="false" outlineLevel="0" collapsed="false">
      <c r="A127" s="298"/>
      <c r="B127" s="304"/>
      <c r="C127" s="352"/>
      <c r="D127" s="352"/>
      <c r="E127" s="352"/>
      <c r="F127" s="352"/>
      <c r="G127" s="313"/>
      <c r="H127" s="313"/>
      <c r="I127" s="352"/>
      <c r="J127" s="353"/>
    </row>
    <row r="128" customFormat="false" ht="12.75" hidden="false" customHeight="false" outlineLevel="0" collapsed="false">
      <c r="A128" s="298" t="s">
        <v>512</v>
      </c>
      <c r="B128" s="304" t="s">
        <v>236</v>
      </c>
      <c r="C128" s="356" t="n">
        <v>0</v>
      </c>
      <c r="D128" s="375" t="n">
        <v>115930220</v>
      </c>
      <c r="E128" s="355" t="n">
        <v>115181220</v>
      </c>
      <c r="F128" s="352" t="n">
        <f aca="false">SUM(D128:E128)</f>
        <v>231111440</v>
      </c>
      <c r="G128" s="376" t="n">
        <v>744345.609741121</v>
      </c>
      <c r="H128" s="313" t="n">
        <f aca="false">G128</f>
        <v>744345.609741121</v>
      </c>
      <c r="I128" s="352"/>
      <c r="J128" s="353" t="n">
        <f aca="false">F128-I128</f>
        <v>231111440</v>
      </c>
    </row>
    <row r="129" customFormat="false" ht="12.75" hidden="false" customHeight="false" outlineLevel="0" collapsed="false">
      <c r="A129" s="298" t="s">
        <v>512</v>
      </c>
      <c r="B129" s="304" t="s">
        <v>231</v>
      </c>
      <c r="C129" s="356" t="n">
        <v>0</v>
      </c>
      <c r="D129" s="375" t="n">
        <v>33869780</v>
      </c>
      <c r="E129" s="355" t="n">
        <v>34618780</v>
      </c>
      <c r="F129" s="352" t="n">
        <f aca="false">SUM(D129:E129)</f>
        <v>68488560</v>
      </c>
      <c r="G129" s="376" t="n">
        <v>1288090.05922146</v>
      </c>
      <c r="H129" s="313" t="n">
        <f aca="false">G129</f>
        <v>1288090.05922146</v>
      </c>
      <c r="I129" s="352"/>
      <c r="J129" s="353" t="n">
        <f aca="false">F129-I129</f>
        <v>68488560</v>
      </c>
    </row>
    <row r="130" customFormat="false" ht="12.75" hidden="false" customHeight="false" outlineLevel="0" collapsed="false">
      <c r="A130" s="298" t="s">
        <v>353</v>
      </c>
      <c r="B130" s="304"/>
      <c r="C130" s="352" t="n">
        <f aca="false">SUM(C128:C129)</f>
        <v>0</v>
      </c>
      <c r="D130" s="352" t="n">
        <f aca="false">SUM(D128:D129)</f>
        <v>149800000</v>
      </c>
      <c r="E130" s="352" t="n">
        <f aca="false">SUM(E128:E129)</f>
        <v>149800000</v>
      </c>
      <c r="F130" s="352" t="n">
        <f aca="false">SUM(F128:F129)</f>
        <v>299600000</v>
      </c>
      <c r="G130" s="313" t="n">
        <f aca="false">SUM(G128:G129)</f>
        <v>2032435.66896258</v>
      </c>
      <c r="H130" s="313" t="n">
        <f aca="false">G130</f>
        <v>2032435.66896258</v>
      </c>
      <c r="I130" s="352"/>
      <c r="J130" s="353" t="n">
        <f aca="false">F130-I130</f>
        <v>299600000</v>
      </c>
    </row>
    <row r="131" customFormat="false" ht="12.75" hidden="false" customHeight="false" outlineLevel="0" collapsed="false">
      <c r="A131" s="298"/>
      <c r="B131" s="304"/>
      <c r="C131" s="352"/>
      <c r="D131" s="377"/>
      <c r="E131" s="352"/>
      <c r="F131" s="352"/>
      <c r="G131" s="313"/>
      <c r="H131" s="313"/>
      <c r="I131" s="352"/>
      <c r="J131" s="353"/>
    </row>
    <row r="132" customFormat="false" ht="12.75" hidden="false" customHeight="false" outlineLevel="0" collapsed="false">
      <c r="A132" s="298" t="s">
        <v>493</v>
      </c>
      <c r="B132" s="304"/>
      <c r="C132" s="352" t="n">
        <f aca="false">ROUND(C13+C22+C29+C54+C56+C73+C94+C126,0)</f>
        <v>56842789</v>
      </c>
      <c r="D132" s="352" t="n">
        <f aca="false">ROUND(D13+D22+D29+D54+D56+D73+D94+D126,0)</f>
        <v>42691215682</v>
      </c>
      <c r="E132" s="352" t="n">
        <f aca="false">ROUND(E13+E22+E29+E54+E56+E73+E94+E126,0)</f>
        <v>39299755246</v>
      </c>
      <c r="F132" s="352" t="n">
        <f aca="false">ROUND(F13+F22+F29+F54+F56+F73+F94+F126,0)</f>
        <v>81990970927</v>
      </c>
      <c r="G132" s="352" t="n">
        <f aca="false">ROUND(G13+G22+G29+G54+G56+G73+G94+G126,0)</f>
        <v>7717960462</v>
      </c>
      <c r="H132" s="352" t="n">
        <f aca="false">ROUND(H13+H22+H29+H54+H56+H73+H94+H126,0)</f>
        <v>8167947241</v>
      </c>
      <c r="I132" s="352" t="n">
        <f aca="false">ROUND(I13+I22+I29+I54+I56+I73+I94+I126,0)</f>
        <v>2884023313</v>
      </c>
      <c r="J132" s="352" t="n">
        <f aca="false">ROUND(J13+J22+J29+J54+J56+J73+J94+J126,0)</f>
        <v>79106947614</v>
      </c>
      <c r="K132" s="313" t="n">
        <f aca="false">ROUND(K13+K22+K29+K54+K56+K73+K94+K126,0)</f>
        <v>799527593</v>
      </c>
      <c r="L132" s="313" t="n">
        <f aca="false">ROUND(L13+L22+L29+L54+L56+L73+L94+L126,0)</f>
        <v>-47251245</v>
      </c>
      <c r="M132" s="352" t="n">
        <f aca="false">ROUND(M13+M22+M29+M54+M56+M73+M94+M126,0)</f>
        <v>37625269476</v>
      </c>
      <c r="N132" s="313" t="n">
        <f aca="false">ROUND(N13+N22+N29+N54+N56+N73+N94+N126,0)</f>
        <v>383967030</v>
      </c>
      <c r="O132" s="313" t="n">
        <f aca="false">ROUND(O13+O22+O29+O54+O56+O73+O94+O126,0)</f>
        <v>0</v>
      </c>
    </row>
    <row r="133" customFormat="false" ht="12.75" hidden="false" customHeight="false" outlineLevel="0" collapsed="false">
      <c r="A133" s="298" t="s">
        <v>355</v>
      </c>
      <c r="B133" s="304"/>
      <c r="C133" s="348" t="n">
        <f aca="false">ROUND(C13+C22+C29+C54+C56+C73+C94+C126+C130,0)</f>
        <v>56842789</v>
      </c>
      <c r="D133" s="348" t="n">
        <f aca="false">ROUND(D13+D22+D29+D54+D56+D73+D94+D126+D130,0)</f>
        <v>42841015682</v>
      </c>
      <c r="E133" s="348" t="n">
        <f aca="false">ROUND(E13+E22+E29+E54+E56+E73+E94+E126+E130,0)</f>
        <v>39449555246</v>
      </c>
      <c r="F133" s="348" t="n">
        <f aca="false">ROUND(F13+F22+F29+F54+F56+F73+F94+F126+F130,0)</f>
        <v>82290570927</v>
      </c>
      <c r="G133" s="348" t="n">
        <f aca="false">ROUND(G13+G22+G29+G54+G56+G73+G94+G126+G130,0)</f>
        <v>7719992898</v>
      </c>
      <c r="H133" s="348" t="n">
        <f aca="false">ROUND(H13+H22+H29+H54+H56+H73+H94+H126+H130,0)</f>
        <v>8169979677</v>
      </c>
      <c r="I133" s="348" t="n">
        <f aca="false">ROUND(I13+I22+I29+I54+I56+I73+I94+I126+I130,0)</f>
        <v>2884023313</v>
      </c>
      <c r="J133" s="348" t="n">
        <f aca="false">ROUND(J13+J22+J29+J54+J56+J73+J94+J126+J130,0)</f>
        <v>79406547614</v>
      </c>
      <c r="K133" s="317" t="n">
        <f aca="false">ROUND(K13+K22+K29+K54+K56+K73+K94+K126+K130,0)</f>
        <v>799527593</v>
      </c>
      <c r="L133" s="317" t="n">
        <f aca="false">ROUND(L13+L22+L29+L54+L56+L73+L94+L126+L130,0)</f>
        <v>-47251245</v>
      </c>
      <c r="M133" s="348" t="n">
        <f aca="false">ROUND(M13+M22+M29+M54+M56+M73+M94+M126+M130,0)</f>
        <v>37625269476</v>
      </c>
      <c r="N133" s="317" t="n">
        <f aca="false">ROUND(N13+N22+N29+N54+N56+N73+N94+N126+N130,0)</f>
        <v>383967030</v>
      </c>
      <c r="O133" s="317" t="n">
        <f aca="false">ROUND(O13+O22+O29+O54+O56+O73+O94+O126+O130,0)</f>
        <v>0</v>
      </c>
    </row>
    <row r="134" customFormat="false" ht="12.75" hidden="false" customHeight="false" outlineLevel="0" collapsed="false">
      <c r="A134" s="298"/>
      <c r="B134" s="304"/>
      <c r="C134" s="378"/>
      <c r="D134" s="352"/>
      <c r="F134" s="379"/>
      <c r="G134" s="330"/>
      <c r="H134" s="317"/>
      <c r="I134" s="352"/>
      <c r="J134" s="353"/>
    </row>
    <row r="135" customFormat="false" ht="12.75" hidden="false" customHeight="false" outlineLevel="0" collapsed="false">
      <c r="A135" s="298" t="s">
        <v>513</v>
      </c>
      <c r="B135" s="111"/>
      <c r="D135" s="352"/>
      <c r="F135" s="379"/>
      <c r="G135" s="380"/>
      <c r="H135" s="313"/>
      <c r="I135" s="352"/>
      <c r="J135" s="353"/>
    </row>
    <row r="136" customFormat="false" ht="12.75" hidden="false" customHeight="false" outlineLevel="0" collapsed="false">
      <c r="B136" s="111" t="s">
        <v>236</v>
      </c>
      <c r="D136" s="381"/>
      <c r="E136" s="371"/>
      <c r="F136" s="371"/>
      <c r="G136" s="382"/>
      <c r="H136" s="383"/>
      <c r="I136" s="352"/>
      <c r="J136" s="353"/>
      <c r="L136" s="226"/>
    </row>
    <row r="137" customFormat="false" ht="12.75" hidden="false" customHeight="false" outlineLevel="0" collapsed="false">
      <c r="B137" s="111" t="s">
        <v>234</v>
      </c>
      <c r="D137" s="42"/>
      <c r="E137" s="384"/>
      <c r="F137" s="366"/>
      <c r="G137" s="39"/>
      <c r="H137" s="40"/>
      <c r="J137" s="385"/>
    </row>
    <row r="138" customFormat="false" ht="12.75" hidden="false" customHeight="false" outlineLevel="0" collapsed="false">
      <c r="B138" s="304" t="s">
        <v>231</v>
      </c>
      <c r="C138" s="352"/>
      <c r="D138" s="42"/>
      <c r="E138" s="384"/>
      <c r="F138" s="371"/>
      <c r="G138" s="366"/>
      <c r="H138" s="40"/>
      <c r="J138" s="385"/>
    </row>
    <row r="139" customFormat="false" ht="12.75" hidden="false" customHeight="false" outlineLevel="0" collapsed="false">
      <c r="B139" s="304"/>
      <c r="C139" s="352"/>
      <c r="F139" s="352"/>
      <c r="G139" s="348"/>
      <c r="H139" s="50"/>
      <c r="J139" s="385"/>
    </row>
    <row r="140" customFormat="false" ht="12.75" hidden="false" customHeight="false" outlineLevel="0" collapsed="false">
      <c r="B140" s="111"/>
      <c r="C140" s="50"/>
      <c r="E140" s="105"/>
      <c r="F140" s="286"/>
      <c r="G140" s="386"/>
      <c r="H140" s="286"/>
      <c r="I140" s="387"/>
      <c r="J140" s="388"/>
    </row>
    <row r="141" customFormat="false" ht="12.75" hidden="false" customHeight="false" outlineLevel="0" collapsed="false">
      <c r="B141" s="111"/>
      <c r="C141" s="50"/>
      <c r="E141" s="389"/>
      <c r="F141" s="390"/>
      <c r="G141" s="390"/>
      <c r="H141" s="390"/>
      <c r="I141" s="391"/>
      <c r="J141" s="105"/>
    </row>
    <row r="142" customFormat="false" ht="12.75" hidden="false" customHeight="false" outlineLevel="0" collapsed="false">
      <c r="B142" s="111"/>
      <c r="E142" s="392" t="s">
        <v>514</v>
      </c>
      <c r="F142" s="393"/>
      <c r="G142" s="394"/>
      <c r="H142" s="395"/>
      <c r="I142" s="105"/>
      <c r="J142" s="388"/>
    </row>
    <row r="143" customFormat="false" ht="12.75" hidden="false" customHeight="false" outlineLevel="0" collapsed="false">
      <c r="B143" s="111"/>
      <c r="E143" s="0" t="s">
        <v>515</v>
      </c>
      <c r="F143" s="396" t="n">
        <f aca="false">F123+F69+F51+F25</f>
        <v>7545083967.19811</v>
      </c>
      <c r="G143" s="394"/>
      <c r="H143" s="395"/>
      <c r="I143" s="105"/>
      <c r="J143" s="388"/>
    </row>
    <row r="144" customFormat="false" ht="12.75" hidden="false" customHeight="false" outlineLevel="0" collapsed="false">
      <c r="B144" s="111"/>
      <c r="E144" s="0" t="s">
        <v>516</v>
      </c>
      <c r="F144" s="396" t="n">
        <f aca="false">SUM(F124,F88,F84,F70,F52,F26)</f>
        <v>7317309652.16525</v>
      </c>
      <c r="G144" s="394"/>
      <c r="H144" s="397"/>
      <c r="I144" s="105"/>
      <c r="J144" s="388"/>
    </row>
    <row r="145" customFormat="false" ht="12.75" hidden="false" customHeight="false" outlineLevel="0" collapsed="false">
      <c r="B145" s="111"/>
      <c r="E145" s="0" t="s">
        <v>517</v>
      </c>
      <c r="F145" s="398" t="n">
        <f aca="false">SUM(F125,F90,F87,F86,F83,F82,F81,F75:F80,F71,F53,F56,F27,F22,F13)</f>
        <v>67128577307.9235</v>
      </c>
      <c r="G145" s="286"/>
      <c r="H145" s="395"/>
      <c r="I145" s="281"/>
      <c r="J145" s="388"/>
    </row>
    <row r="146" customFormat="false" ht="12.75" hidden="false" customHeight="false" outlineLevel="0" collapsed="false">
      <c r="B146" s="111"/>
      <c r="E146" s="105"/>
      <c r="F146" s="393" t="n">
        <f aca="false">SUM(F143:F145)</f>
        <v>81990970927.2869</v>
      </c>
      <c r="G146" s="386"/>
      <c r="H146" s="286"/>
      <c r="I146" s="105"/>
      <c r="J146" s="388"/>
    </row>
    <row r="147" customFormat="false" ht="12.75" hidden="false" customHeight="false" outlineLevel="0" collapsed="false">
      <c r="B147" s="111"/>
      <c r="E147" s="391"/>
      <c r="F147" s="390"/>
      <c r="G147" s="390"/>
      <c r="H147" s="390"/>
      <c r="I147" s="106"/>
      <c r="J147" s="388"/>
    </row>
    <row r="148" customFormat="false" ht="12.75" hidden="false" customHeight="false" outlineLevel="0" collapsed="false">
      <c r="B148" s="111"/>
      <c r="E148" s="106"/>
      <c r="F148" s="393"/>
      <c r="G148" s="399"/>
      <c r="H148" s="286"/>
      <c r="I148" s="106"/>
      <c r="J148" s="388"/>
    </row>
    <row r="149" customFormat="false" ht="12.75" hidden="false" customHeight="false" outlineLevel="0" collapsed="false">
      <c r="B149" s="111"/>
      <c r="E149" s="106"/>
      <c r="F149" s="393"/>
      <c r="G149" s="399"/>
      <c r="H149" s="286"/>
      <c r="I149" s="400"/>
      <c r="J149" s="388"/>
    </row>
    <row r="150" customFormat="false" ht="12.75" hidden="false" customHeight="false" outlineLevel="0" collapsed="false">
      <c r="B150" s="111"/>
      <c r="E150" s="106"/>
      <c r="F150" s="398"/>
      <c r="G150" s="399"/>
      <c r="H150" s="401"/>
      <c r="I150" s="402"/>
      <c r="J150" s="388"/>
    </row>
    <row r="151" customFormat="false" ht="12.75" hidden="false" customHeight="false" outlineLevel="0" collapsed="false">
      <c r="B151" s="111"/>
      <c r="E151" s="105"/>
      <c r="F151" s="393"/>
      <c r="G151" s="386"/>
      <c r="H151" s="286"/>
      <c r="I151" s="403"/>
      <c r="J151" s="388"/>
    </row>
    <row r="152" customFormat="false" ht="12.75" hidden="false" customHeight="false" outlineLevel="0" collapsed="false">
      <c r="B152" s="111"/>
      <c r="E152" s="105"/>
      <c r="F152" s="105"/>
      <c r="G152" s="404"/>
      <c r="H152" s="105"/>
      <c r="I152" s="405"/>
      <c r="J152" s="388"/>
    </row>
    <row r="153" customFormat="false" ht="12.75" hidden="false" customHeight="false" outlineLevel="0" collapsed="false">
      <c r="B153" s="111"/>
      <c r="E153" s="105"/>
      <c r="F153" s="105"/>
      <c r="G153" s="386"/>
      <c r="H153" s="286"/>
      <c r="I153" s="105"/>
      <c r="J153" s="388"/>
    </row>
    <row r="154" customFormat="false" ht="12.75" hidden="false" customHeight="false" outlineLevel="0" collapsed="false">
      <c r="B154" s="111"/>
      <c r="E154" s="105"/>
      <c r="F154" s="105"/>
      <c r="G154" s="386"/>
      <c r="H154" s="286"/>
      <c r="I154" s="105"/>
      <c r="J154" s="388"/>
    </row>
    <row r="155" customFormat="false" ht="12.75" hidden="false" customHeight="false" outlineLevel="0" collapsed="false">
      <c r="B155" s="111"/>
      <c r="E155" s="105"/>
      <c r="F155" s="105"/>
      <c r="G155" s="386"/>
      <c r="H155" s="286"/>
      <c r="I155" s="105"/>
      <c r="J155" s="388"/>
    </row>
    <row r="156" customFormat="false" ht="12.75" hidden="false" customHeight="false" outlineLevel="0" collapsed="false">
      <c r="A156" s="320"/>
      <c r="B156" s="106"/>
      <c r="C156" s="406"/>
      <c r="D156" s="406"/>
      <c r="E156" s="407"/>
      <c r="F156" s="408"/>
      <c r="G156" s="386"/>
      <c r="H156" s="286"/>
      <c r="I156" s="105"/>
      <c r="J156" s="388"/>
    </row>
    <row r="157" customFormat="false" ht="12.75" hidden="false" customHeight="false" outlineLevel="0" collapsed="false">
      <c r="A157" s="105"/>
      <c r="B157" s="106"/>
      <c r="C157" s="105"/>
      <c r="D157" s="105"/>
      <c r="E157" s="105"/>
      <c r="F157" s="105"/>
      <c r="G157" s="386"/>
      <c r="H157" s="286"/>
      <c r="I157" s="105"/>
      <c r="J157" s="388"/>
    </row>
    <row r="158" customFormat="false" ht="12.75" hidden="false" customHeight="false" outlineLevel="0" collapsed="false">
      <c r="A158" s="321"/>
      <c r="B158" s="106"/>
      <c r="C158" s="105"/>
      <c r="D158" s="105"/>
      <c r="E158" s="105"/>
      <c r="F158" s="409"/>
      <c r="G158" s="105"/>
      <c r="H158" s="286"/>
      <c r="I158" s="105"/>
      <c r="J158" s="388"/>
    </row>
    <row r="159" customFormat="false" ht="12.75" hidden="false" customHeight="false" outlineLevel="0" collapsed="false">
      <c r="A159" s="322"/>
      <c r="B159" s="323"/>
      <c r="C159" s="410"/>
      <c r="D159" s="411"/>
      <c r="E159" s="412"/>
      <c r="F159" s="409"/>
      <c r="G159" s="105"/>
      <c r="H159" s="286"/>
      <c r="I159" s="22"/>
      <c r="J159" s="388"/>
    </row>
    <row r="160" customFormat="false" ht="12.75" hidden="false" customHeight="false" outlineLevel="0" collapsed="false">
      <c r="A160" s="322"/>
      <c r="B160" s="323"/>
      <c r="C160" s="410"/>
      <c r="D160" s="411"/>
      <c r="E160" s="412"/>
      <c r="F160" s="105"/>
      <c r="G160" s="105"/>
      <c r="H160" s="286"/>
      <c r="I160" s="105"/>
      <c r="J160" s="388"/>
    </row>
    <row r="161" customFormat="false" ht="12.75" hidden="false" customHeight="false" outlineLevel="0" collapsed="false">
      <c r="A161" s="322"/>
      <c r="B161" s="323"/>
      <c r="C161" s="410"/>
      <c r="D161" s="413"/>
      <c r="E161" s="412"/>
      <c r="F161" s="105"/>
      <c r="G161" s="386"/>
      <c r="H161" s="286"/>
      <c r="I161" s="105"/>
      <c r="J161" s="388"/>
    </row>
    <row r="162" customFormat="false" ht="12.75" hidden="false" customHeight="false" outlineLevel="0" collapsed="false">
      <c r="A162" s="105"/>
      <c r="B162" s="323"/>
      <c r="C162" s="410"/>
      <c r="D162" s="414"/>
      <c r="E162" s="412"/>
      <c r="F162" s="105"/>
      <c r="G162" s="386"/>
      <c r="H162" s="286"/>
      <c r="I162" s="105"/>
      <c r="J162" s="388"/>
    </row>
    <row r="163" customFormat="false" ht="12.75" hidden="false" customHeight="false" outlineLevel="0" collapsed="false">
      <c r="A163" s="321"/>
      <c r="B163" s="323"/>
      <c r="C163" s="410"/>
      <c r="D163" s="414"/>
      <c r="E163" s="412"/>
      <c r="F163" s="105"/>
      <c r="G163" s="386"/>
      <c r="H163" s="286"/>
      <c r="I163" s="105"/>
      <c r="J163" s="388"/>
    </row>
    <row r="164" customFormat="false" ht="12.75" hidden="false" customHeight="false" outlineLevel="0" collapsed="false">
      <c r="A164" s="322"/>
      <c r="B164" s="323"/>
      <c r="C164" s="410"/>
      <c r="D164" s="411"/>
      <c r="E164" s="412"/>
      <c r="F164" s="105"/>
      <c r="G164" s="295"/>
      <c r="H164" s="50"/>
      <c r="I164" s="415"/>
      <c r="J164" s="385"/>
    </row>
    <row r="165" customFormat="false" ht="12.75" hidden="false" customHeight="false" outlineLevel="0" collapsed="false">
      <c r="A165" s="322"/>
      <c r="B165" s="323"/>
      <c r="C165" s="410"/>
      <c r="D165" s="411"/>
      <c r="E165" s="412"/>
      <c r="F165" s="105"/>
      <c r="G165" s="295"/>
      <c r="H165" s="50"/>
      <c r="J165" s="385"/>
    </row>
    <row r="166" customFormat="false" ht="12.75" hidden="false" customHeight="false" outlineLevel="0" collapsed="false">
      <c r="A166" s="322"/>
      <c r="B166" s="323"/>
      <c r="C166" s="410"/>
      <c r="D166" s="414"/>
      <c r="E166" s="412"/>
      <c r="F166" s="105"/>
      <c r="G166" s="295"/>
      <c r="H166" s="50"/>
      <c r="J166" s="385"/>
    </row>
    <row r="167" customFormat="false" ht="12.75" hidden="false" customHeight="false" outlineLevel="0" collapsed="false">
      <c r="A167" s="322"/>
      <c r="B167" s="323"/>
      <c r="C167" s="410"/>
      <c r="D167" s="411"/>
      <c r="E167" s="412"/>
      <c r="F167" s="105"/>
      <c r="G167" s="295"/>
      <c r="H167" s="50"/>
      <c r="J167" s="385"/>
    </row>
    <row r="168" customFormat="false" ht="12.75" hidden="false" customHeight="false" outlineLevel="0" collapsed="false">
      <c r="A168" s="105"/>
      <c r="B168" s="105"/>
      <c r="C168" s="410"/>
      <c r="D168" s="414"/>
      <c r="E168" s="412"/>
      <c r="F168" s="105"/>
      <c r="G168" s="295"/>
      <c r="H168" s="50"/>
      <c r="J168" s="385"/>
    </row>
    <row r="169" customFormat="false" ht="12.75" hidden="false" customHeight="false" outlineLevel="0" collapsed="false">
      <c r="A169" s="321"/>
      <c r="B169" s="102"/>
      <c r="C169" s="410"/>
      <c r="D169" s="414"/>
      <c r="E169" s="412"/>
      <c r="F169" s="105"/>
      <c r="G169" s="295"/>
      <c r="H169" s="50"/>
      <c r="J169" s="385"/>
    </row>
    <row r="170" customFormat="false" ht="12.75" hidden="false" customHeight="false" outlineLevel="0" collapsed="false">
      <c r="A170" s="322"/>
      <c r="B170" s="323"/>
      <c r="C170" s="410"/>
      <c r="D170" s="411"/>
      <c r="E170" s="412"/>
      <c r="F170" s="105"/>
      <c r="G170" s="295"/>
      <c r="H170" s="50"/>
      <c r="J170" s="385"/>
    </row>
    <row r="171" customFormat="false" ht="12.75" hidden="false" customHeight="false" outlineLevel="0" collapsed="false">
      <c r="A171" s="322"/>
      <c r="B171" s="106"/>
      <c r="C171" s="410"/>
      <c r="D171" s="411"/>
      <c r="E171" s="412"/>
      <c r="F171" s="105"/>
      <c r="G171" s="295"/>
      <c r="H171" s="50"/>
      <c r="J171" s="385"/>
    </row>
    <row r="172" customFormat="false" ht="12.75" hidden="false" customHeight="false" outlineLevel="0" collapsed="false">
      <c r="A172" s="322"/>
      <c r="B172" s="323"/>
      <c r="C172" s="410"/>
      <c r="D172" s="411"/>
      <c r="E172" s="412"/>
      <c r="F172" s="105"/>
      <c r="G172" s="295"/>
      <c r="H172" s="50"/>
      <c r="J172" s="385"/>
    </row>
    <row r="173" customFormat="false" ht="12.75" hidden="false" customHeight="false" outlineLevel="0" collapsed="false">
      <c r="A173" s="105"/>
      <c r="B173" s="106"/>
      <c r="C173" s="410"/>
      <c r="D173" s="414"/>
      <c r="E173" s="412"/>
      <c r="F173" s="105"/>
      <c r="G173" s="295"/>
      <c r="H173" s="50"/>
      <c r="J173" s="385"/>
    </row>
    <row r="174" customFormat="false" ht="12.75" hidden="false" customHeight="false" outlineLevel="0" collapsed="false">
      <c r="A174" s="321"/>
      <c r="B174" s="106"/>
      <c r="C174" s="410"/>
      <c r="D174" s="414"/>
      <c r="E174" s="412"/>
      <c r="F174" s="105"/>
      <c r="G174" s="295"/>
      <c r="H174" s="50"/>
      <c r="J174" s="385"/>
    </row>
    <row r="175" customFormat="false" ht="12.75" hidden="false" customHeight="false" outlineLevel="0" collapsed="false">
      <c r="A175" s="322"/>
      <c r="B175" s="106"/>
      <c r="C175" s="410"/>
      <c r="D175" s="411"/>
      <c r="E175" s="412"/>
      <c r="F175" s="105"/>
      <c r="G175" s="295"/>
      <c r="H175" s="50"/>
      <c r="I175" s="416"/>
      <c r="J175" s="385"/>
    </row>
    <row r="176" customFormat="false" ht="12.75" hidden="false" customHeight="false" outlineLevel="0" collapsed="false">
      <c r="A176" s="322"/>
      <c r="B176" s="106"/>
      <c r="C176" s="410"/>
      <c r="D176" s="411"/>
      <c r="E176" s="412"/>
      <c r="F176" s="105"/>
      <c r="G176" s="295"/>
      <c r="H176" s="50"/>
      <c r="J176" s="385"/>
    </row>
    <row r="177" customFormat="false" ht="12.75" hidden="false" customHeight="false" outlineLevel="0" collapsed="false">
      <c r="A177" s="322"/>
      <c r="B177" s="106"/>
      <c r="C177" s="410"/>
      <c r="D177" s="414"/>
      <c r="E177" s="412"/>
      <c r="F177" s="105"/>
      <c r="G177" s="295"/>
      <c r="H177" s="50"/>
      <c r="J177" s="385"/>
    </row>
    <row r="178" customFormat="false" ht="12.75" hidden="false" customHeight="false" outlineLevel="0" collapsed="false">
      <c r="A178" s="322"/>
      <c r="B178" s="106"/>
      <c r="C178" s="410"/>
      <c r="D178" s="411"/>
      <c r="E178" s="412"/>
      <c r="F178" s="105"/>
      <c r="G178" s="295"/>
      <c r="H178" s="50"/>
      <c r="J178" s="385"/>
    </row>
    <row r="179" customFormat="false" ht="12.75" hidden="false" customHeight="false" outlineLevel="0" collapsed="false">
      <c r="A179" s="322"/>
      <c r="B179" s="106"/>
      <c r="C179" s="410"/>
      <c r="D179" s="411"/>
      <c r="E179" s="412"/>
      <c r="F179" s="105"/>
      <c r="G179" s="295"/>
      <c r="H179" s="50"/>
      <c r="J179" s="385"/>
    </row>
    <row r="180" customFormat="false" ht="12.75" hidden="false" customHeight="false" outlineLevel="0" collapsed="false">
      <c r="A180" s="322"/>
      <c r="B180" s="106"/>
      <c r="C180" s="410"/>
      <c r="D180" s="414"/>
      <c r="E180" s="412"/>
      <c r="F180" s="105"/>
      <c r="G180" s="295"/>
      <c r="H180" s="50"/>
      <c r="J180" s="385"/>
    </row>
    <row r="181" customFormat="false" ht="12.75" hidden="false" customHeight="false" outlineLevel="0" collapsed="false">
      <c r="A181" s="322"/>
      <c r="B181" s="106"/>
      <c r="C181" s="410"/>
      <c r="D181" s="411"/>
      <c r="E181" s="412"/>
      <c r="F181" s="105"/>
      <c r="G181" s="295"/>
      <c r="H181" s="50"/>
      <c r="J181" s="385"/>
    </row>
    <row r="182" customFormat="false" ht="12.75" hidden="false" customHeight="false" outlineLevel="0" collapsed="false">
      <c r="A182" s="322"/>
      <c r="B182" s="106"/>
      <c r="C182" s="410"/>
      <c r="D182" s="411"/>
      <c r="E182" s="412"/>
      <c r="F182" s="105"/>
      <c r="G182" s="295"/>
      <c r="H182" s="50"/>
      <c r="J182" s="385"/>
    </row>
    <row r="183" customFormat="false" ht="12.75" hidden="false" customHeight="false" outlineLevel="0" collapsed="false">
      <c r="A183" s="322"/>
      <c r="B183" s="106"/>
      <c r="C183" s="410"/>
      <c r="D183" s="414"/>
      <c r="E183" s="412"/>
      <c r="F183" s="105"/>
      <c r="G183" s="295"/>
      <c r="H183" s="50"/>
      <c r="J183" s="385"/>
    </row>
    <row r="184" customFormat="false" ht="12.75" hidden="false" customHeight="false" outlineLevel="0" collapsed="false">
      <c r="A184" s="324"/>
      <c r="B184" s="106"/>
      <c r="C184" s="410"/>
      <c r="D184" s="414"/>
      <c r="E184" s="412"/>
      <c r="F184" s="105"/>
      <c r="G184" s="295"/>
      <c r="H184" s="50"/>
      <c r="J184" s="385"/>
    </row>
    <row r="185" customFormat="false" ht="12.75" hidden="false" customHeight="false" outlineLevel="0" collapsed="false">
      <c r="A185" s="324"/>
      <c r="B185" s="106"/>
      <c r="C185" s="410"/>
      <c r="D185" s="414"/>
      <c r="E185" s="412"/>
      <c r="F185" s="105"/>
      <c r="G185" s="295"/>
      <c r="H185" s="50"/>
      <c r="J185" s="385"/>
    </row>
    <row r="186" customFormat="false" ht="12.75" hidden="false" customHeight="false" outlineLevel="0" collapsed="false">
      <c r="A186" s="321"/>
      <c r="B186" s="323"/>
      <c r="C186" s="410"/>
      <c r="D186" s="411"/>
      <c r="E186" s="412"/>
      <c r="F186" s="105"/>
      <c r="G186" s="295"/>
      <c r="H186" s="50"/>
      <c r="J186" s="385"/>
    </row>
    <row r="187" customFormat="false" ht="12.75" hidden="false" customHeight="false" outlineLevel="0" collapsed="false">
      <c r="A187" s="105"/>
      <c r="B187" s="106"/>
      <c r="C187" s="410"/>
      <c r="D187" s="414"/>
      <c r="E187" s="412"/>
      <c r="F187" s="105"/>
      <c r="G187" s="295"/>
      <c r="H187" s="50"/>
      <c r="J187" s="385"/>
    </row>
    <row r="188" customFormat="false" ht="12.75" hidden="false" customHeight="false" outlineLevel="0" collapsed="false">
      <c r="A188" s="321"/>
      <c r="B188" s="106"/>
      <c r="C188" s="410"/>
      <c r="D188" s="414"/>
      <c r="E188" s="412"/>
      <c r="F188" s="105"/>
      <c r="G188" s="295"/>
      <c r="H188" s="50"/>
      <c r="J188" s="385"/>
    </row>
    <row r="189" customFormat="false" ht="12.75" hidden="false" customHeight="false" outlineLevel="0" collapsed="false">
      <c r="A189" s="322"/>
      <c r="B189" s="106"/>
      <c r="C189" s="410"/>
      <c r="D189" s="411"/>
      <c r="E189" s="412"/>
      <c r="F189" s="105"/>
      <c r="G189" s="295"/>
      <c r="H189" s="50"/>
      <c r="J189" s="385"/>
    </row>
    <row r="190" customFormat="false" ht="12.75" hidden="false" customHeight="false" outlineLevel="0" collapsed="false">
      <c r="A190" s="322"/>
      <c r="B190" s="106"/>
      <c r="C190" s="410"/>
      <c r="D190" s="411"/>
      <c r="E190" s="412"/>
      <c r="F190" s="105"/>
      <c r="G190" s="295"/>
      <c r="H190" s="50"/>
      <c r="J190" s="385"/>
    </row>
    <row r="191" customFormat="false" ht="12.75" hidden="false" customHeight="false" outlineLevel="0" collapsed="false">
      <c r="A191" s="322"/>
      <c r="B191" s="106"/>
      <c r="C191" s="410"/>
      <c r="D191" s="411"/>
      <c r="E191" s="412"/>
      <c r="F191" s="105"/>
      <c r="G191" s="295"/>
      <c r="H191" s="50"/>
      <c r="J191" s="385"/>
    </row>
    <row r="192" customFormat="false" ht="12.75" hidden="false" customHeight="false" outlineLevel="0" collapsed="false">
      <c r="A192" s="105"/>
      <c r="B192" s="106"/>
      <c r="C192" s="410"/>
      <c r="D192" s="414"/>
      <c r="E192" s="412"/>
      <c r="F192" s="105"/>
      <c r="G192" s="295"/>
      <c r="H192" s="50"/>
      <c r="J192" s="385"/>
    </row>
    <row r="193" customFormat="false" ht="12.75" hidden="false" customHeight="false" outlineLevel="0" collapsed="false">
      <c r="A193" s="325"/>
      <c r="B193" s="106"/>
      <c r="C193" s="410"/>
      <c r="D193" s="414"/>
      <c r="E193" s="412"/>
      <c r="F193" s="105"/>
      <c r="G193" s="295"/>
      <c r="H193" s="50"/>
      <c r="J193" s="385"/>
    </row>
    <row r="194" customFormat="false" ht="12.75" hidden="false" customHeight="false" outlineLevel="0" collapsed="false">
      <c r="A194" s="322"/>
      <c r="B194" s="102"/>
      <c r="C194" s="410"/>
      <c r="D194" s="411"/>
      <c r="E194" s="412"/>
      <c r="F194" s="105"/>
      <c r="G194" s="295"/>
      <c r="H194" s="50"/>
      <c r="I194" s="415"/>
      <c r="J194" s="385"/>
    </row>
    <row r="195" customFormat="false" ht="12.75" hidden="false" customHeight="false" outlineLevel="0" collapsed="false">
      <c r="A195" s="322"/>
      <c r="B195" s="102"/>
      <c r="C195" s="410"/>
      <c r="D195" s="411"/>
      <c r="E195" s="412"/>
      <c r="F195" s="105"/>
      <c r="G195" s="295"/>
      <c r="H195" s="50"/>
      <c r="J195" s="385"/>
    </row>
    <row r="196" customFormat="false" ht="12.75" hidden="false" customHeight="false" outlineLevel="0" collapsed="false">
      <c r="A196" s="322"/>
      <c r="B196" s="102"/>
      <c r="C196" s="410"/>
      <c r="D196" s="411"/>
      <c r="E196" s="412"/>
      <c r="F196" s="105"/>
      <c r="G196" s="295"/>
      <c r="H196" s="50"/>
      <c r="J196" s="385"/>
    </row>
    <row r="197" customFormat="false" ht="12.75" hidden="false" customHeight="false" outlineLevel="0" collapsed="false">
      <c r="A197" s="322"/>
      <c r="B197" s="102"/>
      <c r="C197" s="410"/>
      <c r="D197" s="411"/>
      <c r="E197" s="412"/>
      <c r="F197" s="105"/>
      <c r="G197" s="295"/>
      <c r="H197" s="50"/>
      <c r="J197" s="385"/>
    </row>
    <row r="198" customFormat="false" ht="12.75" hidden="false" customHeight="false" outlineLevel="0" collapsed="false">
      <c r="A198" s="322"/>
      <c r="B198" s="102"/>
      <c r="C198" s="410"/>
      <c r="D198" s="411"/>
      <c r="E198" s="412"/>
      <c r="F198" s="105"/>
      <c r="G198" s="295"/>
      <c r="H198" s="50"/>
      <c r="J198" s="385"/>
    </row>
    <row r="199" customFormat="false" ht="12.75" hidden="false" customHeight="false" outlineLevel="0" collapsed="false">
      <c r="A199" s="322"/>
      <c r="B199" s="102"/>
      <c r="C199" s="410"/>
      <c r="D199" s="411"/>
      <c r="E199" s="412"/>
      <c r="F199" s="105"/>
      <c r="G199" s="295"/>
      <c r="H199" s="50"/>
      <c r="J199" s="385"/>
    </row>
    <row r="200" customFormat="false" ht="12.75" hidden="false" customHeight="false" outlineLevel="0" collapsed="false">
      <c r="A200" s="322"/>
      <c r="B200" s="102"/>
      <c r="C200" s="410"/>
      <c r="D200" s="411"/>
      <c r="E200" s="412"/>
      <c r="F200" s="105"/>
      <c r="G200" s="295"/>
      <c r="H200" s="50"/>
      <c r="J200" s="385"/>
    </row>
    <row r="201" customFormat="false" ht="12.75" hidden="false" customHeight="false" outlineLevel="0" collapsed="false">
      <c r="A201" s="322"/>
      <c r="B201" s="102"/>
      <c r="C201" s="410"/>
      <c r="D201" s="411"/>
      <c r="E201" s="412"/>
      <c r="F201" s="105"/>
      <c r="G201" s="295"/>
      <c r="H201" s="50"/>
      <c r="J201" s="385"/>
    </row>
    <row r="202" customFormat="false" ht="12.75" hidden="false" customHeight="false" outlineLevel="0" collapsed="false">
      <c r="A202" s="322"/>
      <c r="B202" s="102"/>
      <c r="C202" s="410"/>
      <c r="D202" s="411"/>
      <c r="E202" s="412"/>
      <c r="F202" s="105"/>
      <c r="G202" s="295"/>
      <c r="H202" s="50"/>
      <c r="J202" s="385"/>
    </row>
    <row r="203" customFormat="false" ht="12.75" hidden="false" customHeight="false" outlineLevel="0" collapsed="false">
      <c r="A203" s="322"/>
      <c r="B203" s="102"/>
      <c r="C203" s="410"/>
      <c r="D203" s="411"/>
      <c r="E203" s="412"/>
      <c r="F203" s="105"/>
      <c r="G203" s="295"/>
      <c r="H203" s="50"/>
      <c r="J203" s="385"/>
    </row>
    <row r="204" customFormat="false" ht="12.75" hidden="false" customHeight="false" outlineLevel="0" collapsed="false">
      <c r="A204" s="322"/>
      <c r="B204" s="102"/>
      <c r="C204" s="410"/>
      <c r="D204" s="411"/>
      <c r="E204" s="412"/>
      <c r="F204" s="105"/>
      <c r="G204" s="295"/>
      <c r="H204" s="50"/>
      <c r="J204" s="385"/>
    </row>
    <row r="205" customFormat="false" ht="12.75" hidden="false" customHeight="false" outlineLevel="0" collapsed="false">
      <c r="A205" s="322"/>
      <c r="B205" s="102"/>
      <c r="C205" s="410"/>
      <c r="D205" s="411"/>
      <c r="E205" s="412"/>
      <c r="F205" s="105"/>
      <c r="G205" s="295"/>
      <c r="H205" s="50"/>
      <c r="J205" s="385"/>
    </row>
    <row r="206" customFormat="false" ht="12.75" hidden="false" customHeight="false" outlineLevel="0" collapsed="false">
      <c r="A206" s="322"/>
      <c r="B206" s="104"/>
      <c r="C206" s="410"/>
      <c r="D206" s="411"/>
      <c r="E206" s="412"/>
      <c r="F206" s="105"/>
      <c r="G206" s="295"/>
      <c r="H206" s="50"/>
      <c r="J206" s="385"/>
    </row>
    <row r="207" customFormat="false" ht="12.75" hidden="false" customHeight="false" outlineLevel="0" collapsed="false">
      <c r="A207" s="322"/>
      <c r="B207" s="102"/>
      <c r="C207" s="410"/>
      <c r="D207" s="411"/>
      <c r="E207" s="412"/>
      <c r="F207" s="105"/>
      <c r="G207" s="295"/>
      <c r="H207" s="50"/>
      <c r="J207" s="385"/>
    </row>
    <row r="208" customFormat="false" ht="12.75" hidden="false" customHeight="false" outlineLevel="0" collapsed="false">
      <c r="A208" s="105"/>
      <c r="B208" s="106"/>
      <c r="C208" s="410"/>
      <c r="D208" s="414"/>
      <c r="E208" s="412"/>
      <c r="F208" s="105"/>
      <c r="G208" s="295"/>
      <c r="H208" s="50"/>
      <c r="J208" s="385"/>
    </row>
    <row r="209" customFormat="false" ht="12.75" hidden="false" customHeight="false" outlineLevel="0" collapsed="false">
      <c r="A209" s="321"/>
      <c r="B209" s="106"/>
      <c r="C209" s="410"/>
      <c r="D209" s="414"/>
      <c r="E209" s="412"/>
      <c r="F209" s="105"/>
      <c r="G209" s="295"/>
      <c r="H209" s="50"/>
      <c r="I209" s="415"/>
      <c r="J209" s="385"/>
    </row>
    <row r="210" customFormat="false" ht="12.75" hidden="false" customHeight="false" outlineLevel="0" collapsed="false">
      <c r="A210" s="322"/>
      <c r="B210" s="106"/>
      <c r="C210" s="410"/>
      <c r="D210" s="411"/>
      <c r="E210" s="412"/>
      <c r="F210" s="105"/>
      <c r="G210" s="295"/>
      <c r="H210" s="50"/>
      <c r="I210" s="415"/>
      <c r="J210" s="385"/>
    </row>
    <row r="211" customFormat="false" ht="12.75" hidden="false" customHeight="false" outlineLevel="0" collapsed="false">
      <c r="A211" s="322"/>
      <c r="B211" s="106"/>
      <c r="C211" s="410"/>
      <c r="D211" s="414"/>
      <c r="E211" s="412"/>
      <c r="F211" s="105"/>
      <c r="G211" s="295"/>
      <c r="H211" s="50"/>
      <c r="J211" s="385"/>
    </row>
    <row r="212" customFormat="false" ht="12.75" hidden="false" customHeight="false" outlineLevel="0" collapsed="false">
      <c r="A212" s="322"/>
      <c r="B212" s="106"/>
      <c r="C212" s="410"/>
      <c r="D212" s="411"/>
      <c r="E212" s="412"/>
      <c r="F212" s="105"/>
      <c r="G212" s="295"/>
      <c r="H212" s="50"/>
      <c r="J212" s="385"/>
    </row>
    <row r="213" customFormat="false" ht="12.75" hidden="false" customHeight="false" outlineLevel="0" collapsed="false">
      <c r="A213" s="322"/>
      <c r="B213" s="106"/>
      <c r="C213" s="410"/>
      <c r="D213" s="414"/>
      <c r="E213" s="412"/>
      <c r="F213" s="105"/>
      <c r="G213" s="295"/>
      <c r="H213" s="50"/>
      <c r="J213" s="385"/>
    </row>
    <row r="214" customFormat="false" ht="12.75" hidden="false" customHeight="false" outlineLevel="0" collapsed="false">
      <c r="A214" s="322"/>
      <c r="B214" s="106"/>
      <c r="C214" s="410"/>
      <c r="D214" s="411"/>
      <c r="E214" s="412"/>
      <c r="F214" s="105"/>
      <c r="G214" s="295"/>
      <c r="H214" s="50"/>
      <c r="J214" s="385"/>
    </row>
    <row r="215" customFormat="false" ht="12.75" hidden="false" customHeight="false" outlineLevel="0" collapsed="false">
      <c r="A215" s="322"/>
      <c r="B215" s="106"/>
      <c r="C215" s="410"/>
      <c r="D215" s="414"/>
      <c r="E215" s="412"/>
      <c r="F215" s="105"/>
      <c r="G215" s="295"/>
      <c r="H215" s="50"/>
      <c r="J215" s="385"/>
    </row>
    <row r="216" customFormat="false" ht="12.75" hidden="false" customHeight="false" outlineLevel="0" collapsed="false">
      <c r="A216" s="322"/>
      <c r="B216" s="106"/>
      <c r="C216" s="410"/>
      <c r="D216" s="414"/>
      <c r="E216" s="412"/>
      <c r="F216" s="105"/>
      <c r="G216" s="295"/>
      <c r="H216" s="50"/>
      <c r="J216" s="385"/>
    </row>
    <row r="217" customFormat="false" ht="12.75" hidden="false" customHeight="false" outlineLevel="0" collapsed="false">
      <c r="A217" s="322"/>
      <c r="B217" s="106"/>
      <c r="C217" s="410"/>
      <c r="D217" s="414"/>
      <c r="E217" s="412"/>
      <c r="F217" s="105"/>
      <c r="G217" s="295"/>
      <c r="H217" s="50"/>
      <c r="J217" s="385"/>
    </row>
    <row r="218" customFormat="false" ht="12.75" hidden="false" customHeight="false" outlineLevel="0" collapsed="false">
      <c r="A218" s="324"/>
      <c r="B218" s="106"/>
      <c r="C218" s="410"/>
      <c r="D218" s="414"/>
      <c r="E218" s="412"/>
      <c r="F218" s="105"/>
      <c r="G218" s="295"/>
      <c r="H218" s="50"/>
      <c r="J218" s="385"/>
    </row>
    <row r="219" customFormat="false" ht="12.75" hidden="false" customHeight="false" outlineLevel="0" collapsed="false">
      <c r="A219" s="325"/>
      <c r="B219" s="106"/>
      <c r="C219" s="410"/>
      <c r="D219" s="414"/>
      <c r="E219" s="412"/>
      <c r="F219" s="105"/>
      <c r="G219" s="295"/>
      <c r="H219" s="50"/>
      <c r="J219" s="385"/>
    </row>
    <row r="220" customFormat="false" ht="12.75" hidden="false" customHeight="false" outlineLevel="0" collapsed="false">
      <c r="A220" s="324"/>
      <c r="B220" s="106"/>
      <c r="C220" s="410"/>
      <c r="D220" s="414"/>
      <c r="E220" s="412"/>
      <c r="F220" s="105"/>
      <c r="G220" s="295"/>
      <c r="H220" s="50"/>
      <c r="J220" s="385"/>
    </row>
    <row r="221" customFormat="false" ht="12.75" hidden="false" customHeight="false" outlineLevel="0" collapsed="false">
      <c r="A221" s="324"/>
      <c r="B221" s="106"/>
      <c r="C221" s="410"/>
      <c r="D221" s="414"/>
      <c r="E221" s="412"/>
      <c r="F221" s="105"/>
      <c r="G221" s="295"/>
      <c r="H221" s="50"/>
      <c r="J221" s="385"/>
    </row>
    <row r="222" customFormat="false" ht="12.75" hidden="false" customHeight="false" outlineLevel="0" collapsed="false">
      <c r="A222" s="324"/>
      <c r="B222" s="106"/>
      <c r="C222" s="410"/>
      <c r="D222" s="414"/>
      <c r="E222" s="412"/>
      <c r="F222" s="105"/>
      <c r="G222" s="295"/>
      <c r="H222" s="50"/>
      <c r="J222" s="385"/>
    </row>
    <row r="223" customFormat="false" ht="12.75" hidden="false" customHeight="false" outlineLevel="0" collapsed="false">
      <c r="A223" s="105"/>
      <c r="B223" s="106"/>
      <c r="C223" s="105"/>
      <c r="D223" s="414"/>
      <c r="E223" s="417"/>
      <c r="F223" s="105"/>
      <c r="G223" s="295"/>
      <c r="H223" s="50"/>
      <c r="J223" s="385"/>
    </row>
    <row r="224" customFormat="false" ht="12.75" hidden="false" customHeight="false" outlineLevel="0" collapsed="false">
      <c r="A224" s="326"/>
      <c r="B224" s="106"/>
      <c r="C224" s="105"/>
      <c r="D224" s="418"/>
      <c r="E224" s="417"/>
      <c r="F224" s="105"/>
      <c r="G224" s="295"/>
      <c r="H224" s="50"/>
      <c r="J224" s="385"/>
    </row>
    <row r="225" customFormat="false" ht="12.75" hidden="false" customHeight="false" outlineLevel="0" collapsed="false">
      <c r="A225" s="42"/>
      <c r="B225" s="327"/>
      <c r="C225" s="42"/>
      <c r="D225" s="419"/>
      <c r="E225" s="420"/>
      <c r="F225" s="42"/>
      <c r="G225" s="295"/>
      <c r="H225" s="50"/>
      <c r="J225" s="385"/>
    </row>
    <row r="226" customFormat="false" ht="12.75" hidden="false" customHeight="false" outlineLevel="0" collapsed="false">
      <c r="A226" s="42"/>
      <c r="B226" s="327"/>
      <c r="C226" s="42"/>
      <c r="D226" s="419"/>
      <c r="E226" s="420"/>
      <c r="F226" s="42"/>
      <c r="G226" s="295"/>
      <c r="H226" s="50"/>
      <c r="J226" s="385"/>
    </row>
    <row r="227" customFormat="false" ht="12.75" hidden="false" customHeight="false" outlineLevel="0" collapsed="false">
      <c r="B227" s="111"/>
      <c r="D227" s="421"/>
      <c r="E227" s="422"/>
      <c r="G227" s="295"/>
      <c r="H227" s="50"/>
      <c r="J227" s="385"/>
    </row>
    <row r="228" customFormat="false" ht="12.75" hidden="false" customHeight="false" outlineLevel="0" collapsed="false">
      <c r="B228" s="111"/>
      <c r="D228" s="421"/>
      <c r="E228" s="422"/>
      <c r="G228" s="295"/>
      <c r="H228" s="50"/>
      <c r="J228" s="385"/>
    </row>
    <row r="229" customFormat="false" ht="12.75" hidden="false" customHeight="false" outlineLevel="0" collapsed="false">
      <c r="B229" s="111"/>
      <c r="D229" s="421"/>
      <c r="E229" s="422"/>
      <c r="G229" s="295"/>
      <c r="H229" s="50"/>
      <c r="J229" s="385"/>
    </row>
    <row r="230" customFormat="false" ht="12.75" hidden="false" customHeight="false" outlineLevel="0" collapsed="false">
      <c r="B230" s="111"/>
      <c r="D230" s="421"/>
      <c r="E230" s="422"/>
      <c r="G230" s="295"/>
      <c r="H230" s="50"/>
      <c r="J230" s="385"/>
    </row>
    <row r="231" customFormat="false" ht="12.75" hidden="false" customHeight="false" outlineLevel="0" collapsed="false">
      <c r="B231" s="111"/>
      <c r="D231" s="421"/>
      <c r="E231" s="422"/>
      <c r="G231" s="295"/>
      <c r="H231" s="50"/>
      <c r="J231" s="385"/>
    </row>
    <row r="232" customFormat="false" ht="12.75" hidden="false" customHeight="false" outlineLevel="0" collapsed="false">
      <c r="B232" s="111"/>
      <c r="D232" s="421"/>
      <c r="E232" s="422"/>
      <c r="G232" s="295"/>
      <c r="H232" s="50"/>
      <c r="J232" s="385"/>
    </row>
    <row r="233" customFormat="false" ht="12.75" hidden="false" customHeight="false" outlineLevel="0" collapsed="false">
      <c r="B233" s="111"/>
      <c r="D233" s="421"/>
      <c r="E233" s="422"/>
      <c r="G233" s="295"/>
      <c r="H233" s="50"/>
      <c r="J233" s="385"/>
    </row>
    <row r="234" customFormat="false" ht="12.75" hidden="false" customHeight="false" outlineLevel="0" collapsed="false">
      <c r="B234" s="111"/>
      <c r="D234" s="421"/>
      <c r="E234" s="422"/>
      <c r="G234" s="295"/>
      <c r="H234" s="50"/>
      <c r="J234" s="385"/>
    </row>
    <row r="235" customFormat="false" ht="12.75" hidden="false" customHeight="false" outlineLevel="0" collapsed="false">
      <c r="B235" s="111"/>
      <c r="D235" s="421"/>
      <c r="E235" s="422"/>
      <c r="G235" s="295"/>
      <c r="H235" s="50"/>
      <c r="J235" s="385"/>
    </row>
    <row r="236" customFormat="false" ht="12.75" hidden="false" customHeight="false" outlineLevel="0" collapsed="false">
      <c r="B236" s="111"/>
      <c r="D236" s="421"/>
      <c r="E236" s="422"/>
      <c r="G236" s="295"/>
      <c r="H236" s="50"/>
      <c r="J236" s="385"/>
    </row>
    <row r="237" customFormat="false" ht="12.75" hidden="false" customHeight="false" outlineLevel="0" collapsed="false">
      <c r="B237" s="111"/>
      <c r="D237" s="421"/>
      <c r="E237" s="422"/>
      <c r="G237" s="295"/>
      <c r="H237" s="50"/>
      <c r="J237" s="385"/>
    </row>
    <row r="238" customFormat="false" ht="12.75" hidden="false" customHeight="false" outlineLevel="0" collapsed="false">
      <c r="B238" s="111"/>
      <c r="D238" s="421"/>
      <c r="E238" s="422"/>
      <c r="G238" s="295"/>
      <c r="H238" s="50"/>
      <c r="J238" s="385"/>
    </row>
    <row r="239" customFormat="false" ht="12.75" hidden="false" customHeight="false" outlineLevel="0" collapsed="false">
      <c r="B239" s="111"/>
      <c r="D239" s="421"/>
      <c r="E239" s="422"/>
      <c r="G239" s="295"/>
      <c r="H239" s="50"/>
      <c r="J239" s="385"/>
    </row>
    <row r="240" customFormat="false" ht="12.75" hidden="false" customHeight="false" outlineLevel="0" collapsed="false">
      <c r="B240" s="111"/>
      <c r="D240" s="421"/>
      <c r="E240" s="422"/>
      <c r="G240" s="295"/>
      <c r="H240" s="50"/>
      <c r="J240" s="385"/>
    </row>
    <row r="241" customFormat="false" ht="12.75" hidden="false" customHeight="false" outlineLevel="0" collapsed="false">
      <c r="B241" s="111"/>
      <c r="D241" s="421"/>
      <c r="E241" s="422"/>
      <c r="G241" s="295"/>
      <c r="H241" s="50"/>
      <c r="J241" s="385"/>
    </row>
    <row r="242" customFormat="false" ht="12.75" hidden="false" customHeight="false" outlineLevel="0" collapsed="false">
      <c r="B242" s="111"/>
      <c r="D242" s="421"/>
      <c r="E242" s="422"/>
      <c r="G242" s="295"/>
      <c r="H242" s="50"/>
      <c r="J242" s="385"/>
    </row>
    <row r="243" customFormat="false" ht="12.75" hidden="false" customHeight="false" outlineLevel="0" collapsed="false">
      <c r="B243" s="111"/>
      <c r="D243" s="421"/>
      <c r="E243" s="422"/>
      <c r="G243" s="295"/>
      <c r="H243" s="50"/>
      <c r="J243" s="385"/>
    </row>
    <row r="244" customFormat="false" ht="12.75" hidden="false" customHeight="false" outlineLevel="0" collapsed="false">
      <c r="B244" s="111"/>
      <c r="D244" s="421"/>
      <c r="E244" s="422"/>
      <c r="G244" s="295"/>
      <c r="H244" s="50"/>
      <c r="J244" s="385"/>
    </row>
    <row r="245" customFormat="false" ht="12.75" hidden="false" customHeight="false" outlineLevel="0" collapsed="false">
      <c r="B245" s="111"/>
      <c r="D245" s="421"/>
      <c r="E245" s="422"/>
      <c r="G245" s="295"/>
      <c r="H245" s="50"/>
      <c r="J245" s="385"/>
    </row>
    <row r="246" customFormat="false" ht="12.75" hidden="false" customHeight="false" outlineLevel="0" collapsed="false">
      <c r="B246" s="111"/>
      <c r="D246" s="421"/>
      <c r="E246" s="422"/>
      <c r="G246" s="295"/>
      <c r="H246" s="50"/>
      <c r="J246" s="385"/>
    </row>
    <row r="247" customFormat="false" ht="12.75" hidden="false" customHeight="false" outlineLevel="0" collapsed="false">
      <c r="B247" s="111"/>
      <c r="D247" s="421"/>
      <c r="E247" s="422"/>
      <c r="G247" s="295"/>
      <c r="H247" s="50"/>
      <c r="J247" s="385"/>
    </row>
    <row r="248" customFormat="false" ht="12.75" hidden="false" customHeight="false" outlineLevel="0" collapsed="false">
      <c r="B248" s="111"/>
      <c r="D248" s="421"/>
      <c r="E248" s="422"/>
      <c r="G248" s="295"/>
      <c r="H248" s="50"/>
      <c r="J248" s="385"/>
    </row>
    <row r="249" customFormat="false" ht="12.75" hidden="false" customHeight="false" outlineLevel="0" collapsed="false">
      <c r="B249" s="111"/>
      <c r="D249" s="421"/>
      <c r="E249" s="422"/>
      <c r="G249" s="295"/>
      <c r="H249" s="50"/>
      <c r="J249" s="385"/>
    </row>
    <row r="250" customFormat="false" ht="12.75" hidden="false" customHeight="false" outlineLevel="0" collapsed="false">
      <c r="B250" s="111"/>
      <c r="D250" s="421"/>
      <c r="E250" s="422"/>
      <c r="G250" s="295"/>
      <c r="H250" s="50"/>
      <c r="J250" s="385"/>
    </row>
    <row r="251" customFormat="false" ht="12.75" hidden="false" customHeight="false" outlineLevel="0" collapsed="false">
      <c r="B251" s="111"/>
      <c r="D251" s="421"/>
      <c r="E251" s="422"/>
      <c r="G251" s="295"/>
      <c r="H251" s="50"/>
      <c r="J251" s="385"/>
    </row>
    <row r="252" customFormat="false" ht="12.75" hidden="false" customHeight="false" outlineLevel="0" collapsed="false">
      <c r="B252" s="111"/>
      <c r="D252" s="421"/>
      <c r="E252" s="422"/>
      <c r="G252" s="295"/>
      <c r="H252" s="50"/>
      <c r="J252" s="385"/>
    </row>
    <row r="253" customFormat="false" ht="12.75" hidden="false" customHeight="false" outlineLevel="0" collapsed="false">
      <c r="B253" s="111"/>
      <c r="D253" s="421"/>
      <c r="E253" s="422"/>
      <c r="G253" s="295"/>
      <c r="H253" s="50"/>
      <c r="J253" s="385"/>
    </row>
    <row r="254" customFormat="false" ht="12.75" hidden="false" customHeight="false" outlineLevel="0" collapsed="false">
      <c r="B254" s="111"/>
      <c r="D254" s="421"/>
      <c r="E254" s="422"/>
      <c r="G254" s="295"/>
      <c r="H254" s="50"/>
      <c r="J254" s="385"/>
    </row>
    <row r="255" customFormat="false" ht="12.75" hidden="false" customHeight="false" outlineLevel="0" collapsed="false">
      <c r="B255" s="111"/>
      <c r="D255" s="421"/>
      <c r="E255" s="422"/>
      <c r="G255" s="295"/>
      <c r="H255" s="50"/>
      <c r="J255" s="385"/>
    </row>
    <row r="256" customFormat="false" ht="12.75" hidden="false" customHeight="false" outlineLevel="0" collapsed="false">
      <c r="B256" s="111"/>
      <c r="D256" s="421"/>
      <c r="E256" s="422"/>
      <c r="G256" s="295"/>
      <c r="H256" s="50"/>
      <c r="J256" s="385"/>
    </row>
    <row r="257" customFormat="false" ht="12.75" hidden="false" customHeight="false" outlineLevel="0" collapsed="false">
      <c r="B257" s="111"/>
      <c r="D257" s="421"/>
      <c r="E257" s="422"/>
      <c r="G257" s="295"/>
      <c r="H257" s="50"/>
      <c r="J257" s="385"/>
    </row>
    <row r="258" customFormat="false" ht="12.75" hidden="false" customHeight="false" outlineLevel="0" collapsed="false">
      <c r="B258" s="111"/>
      <c r="D258" s="421"/>
      <c r="E258" s="422"/>
      <c r="G258" s="295"/>
      <c r="H258" s="50"/>
      <c r="J258" s="385"/>
    </row>
    <row r="259" customFormat="false" ht="12.75" hidden="false" customHeight="false" outlineLevel="0" collapsed="false">
      <c r="B259" s="111"/>
      <c r="D259" s="421"/>
      <c r="G259" s="295"/>
      <c r="H259" s="50"/>
      <c r="J259" s="385"/>
    </row>
    <row r="260" customFormat="false" ht="12.75" hidden="false" customHeight="false" outlineLevel="0" collapsed="false">
      <c r="B260" s="111"/>
      <c r="D260" s="421"/>
      <c r="G260" s="295"/>
      <c r="H260" s="50"/>
      <c r="J260" s="385"/>
    </row>
    <row r="261" customFormat="false" ht="12.75" hidden="false" customHeight="false" outlineLevel="0" collapsed="false">
      <c r="B261" s="111"/>
      <c r="D261" s="421"/>
      <c r="G261" s="295"/>
      <c r="H261" s="50"/>
      <c r="J261" s="385"/>
    </row>
    <row r="262" customFormat="false" ht="12.75" hidden="false" customHeight="false" outlineLevel="0" collapsed="false">
      <c r="B262" s="111"/>
      <c r="G262" s="295"/>
      <c r="H262" s="50"/>
      <c r="J262" s="385"/>
    </row>
    <row r="263" customFormat="false" ht="12.75" hidden="false" customHeight="false" outlineLevel="0" collapsed="false">
      <c r="B263" s="111"/>
      <c r="G263" s="295"/>
      <c r="H263" s="50"/>
      <c r="J263" s="385"/>
    </row>
    <row r="264" customFormat="false" ht="12.75" hidden="false" customHeight="false" outlineLevel="0" collapsed="false">
      <c r="B264" s="111"/>
      <c r="G264" s="295"/>
      <c r="H264" s="50"/>
      <c r="J264" s="385"/>
    </row>
    <row r="265" customFormat="false" ht="12.75" hidden="false" customHeight="false" outlineLevel="0" collapsed="false">
      <c r="B265" s="111"/>
      <c r="G265" s="295"/>
      <c r="H265" s="50"/>
      <c r="J265" s="385"/>
    </row>
    <row r="266" customFormat="false" ht="12.75" hidden="false" customHeight="false" outlineLevel="0" collapsed="false">
      <c r="B266" s="111"/>
      <c r="G266" s="295"/>
      <c r="H266" s="50"/>
      <c r="J266" s="385"/>
    </row>
    <row r="267" customFormat="false" ht="12.75" hidden="false" customHeight="false" outlineLevel="0" collapsed="false">
      <c r="B267" s="111"/>
      <c r="G267" s="295"/>
      <c r="H267" s="50"/>
      <c r="J267" s="385"/>
    </row>
    <row r="268" customFormat="false" ht="12.75" hidden="false" customHeight="false" outlineLevel="0" collapsed="false">
      <c r="B268" s="111"/>
      <c r="G268" s="295"/>
      <c r="H268" s="50"/>
      <c r="J268" s="385"/>
    </row>
    <row r="269" customFormat="false" ht="12.75" hidden="false" customHeight="false" outlineLevel="0" collapsed="false">
      <c r="B269" s="111"/>
      <c r="G269" s="295"/>
      <c r="H269" s="50"/>
      <c r="J269" s="385"/>
    </row>
    <row r="270" customFormat="false" ht="12.75" hidden="false" customHeight="false" outlineLevel="0" collapsed="false">
      <c r="B270" s="111"/>
      <c r="G270" s="295"/>
      <c r="H270" s="50"/>
      <c r="J270" s="385"/>
    </row>
    <row r="271" customFormat="false" ht="12.75" hidden="false" customHeight="false" outlineLevel="0" collapsed="false">
      <c r="B271" s="111"/>
      <c r="G271" s="295"/>
      <c r="H271" s="50"/>
      <c r="J271" s="385"/>
    </row>
    <row r="272" customFormat="false" ht="12.75" hidden="false" customHeight="false" outlineLevel="0" collapsed="false">
      <c r="B272" s="111"/>
      <c r="G272" s="295"/>
      <c r="H272" s="50"/>
      <c r="J272" s="385"/>
    </row>
    <row r="273" customFormat="false" ht="12.75" hidden="false" customHeight="false" outlineLevel="0" collapsed="false">
      <c r="B273" s="111"/>
      <c r="G273" s="295"/>
      <c r="H273" s="50"/>
      <c r="J273" s="385"/>
    </row>
    <row r="274" customFormat="false" ht="12.75" hidden="false" customHeight="false" outlineLevel="0" collapsed="false">
      <c r="B274" s="111"/>
      <c r="G274" s="295"/>
      <c r="H274" s="50"/>
      <c r="J274" s="385"/>
    </row>
    <row r="275" customFormat="false" ht="12.75" hidden="false" customHeight="false" outlineLevel="0" collapsed="false">
      <c r="B275" s="111"/>
      <c r="G275" s="295"/>
      <c r="H275" s="50"/>
      <c r="J275" s="385"/>
    </row>
    <row r="276" customFormat="false" ht="12.75" hidden="false" customHeight="false" outlineLevel="0" collapsed="false">
      <c r="B276" s="111"/>
      <c r="G276" s="295"/>
      <c r="H276" s="50"/>
      <c r="J276" s="385"/>
    </row>
    <row r="277" customFormat="false" ht="12.75" hidden="false" customHeight="false" outlineLevel="0" collapsed="false">
      <c r="B277" s="111"/>
      <c r="G277" s="295"/>
      <c r="H277" s="50"/>
      <c r="J277" s="385"/>
    </row>
    <row r="278" customFormat="false" ht="12.75" hidden="false" customHeight="false" outlineLevel="0" collapsed="false">
      <c r="B278" s="111"/>
      <c r="G278" s="295"/>
      <c r="H278" s="50"/>
      <c r="J278" s="385"/>
    </row>
    <row r="279" customFormat="false" ht="12.75" hidden="false" customHeight="false" outlineLevel="0" collapsed="false">
      <c r="B279" s="111"/>
      <c r="G279" s="295"/>
      <c r="H279" s="50"/>
      <c r="J279" s="385"/>
    </row>
    <row r="280" customFormat="false" ht="12.75" hidden="false" customHeight="false" outlineLevel="0" collapsed="false">
      <c r="B280" s="111"/>
      <c r="G280" s="295"/>
      <c r="H280" s="50"/>
      <c r="J280" s="385"/>
    </row>
    <row r="281" customFormat="false" ht="12.75" hidden="false" customHeight="false" outlineLevel="0" collapsed="false">
      <c r="B281" s="111"/>
      <c r="G281" s="295"/>
      <c r="H281" s="50"/>
      <c r="J281" s="385"/>
    </row>
    <row r="282" customFormat="false" ht="12.75" hidden="false" customHeight="false" outlineLevel="0" collapsed="false">
      <c r="B282" s="111"/>
      <c r="G282" s="295"/>
      <c r="H282" s="50"/>
      <c r="J282" s="385"/>
    </row>
    <row r="283" customFormat="false" ht="12.75" hidden="false" customHeight="false" outlineLevel="0" collapsed="false">
      <c r="B283" s="111"/>
      <c r="G283" s="295"/>
      <c r="H283" s="50"/>
      <c r="J283" s="385"/>
    </row>
    <row r="284" customFormat="false" ht="12.75" hidden="false" customHeight="false" outlineLevel="0" collapsed="false">
      <c r="B284" s="111"/>
      <c r="G284" s="295"/>
      <c r="H284" s="50"/>
      <c r="J284" s="385"/>
    </row>
    <row r="285" customFormat="false" ht="12.75" hidden="false" customHeight="false" outlineLevel="0" collapsed="false">
      <c r="B285" s="111"/>
      <c r="G285" s="295"/>
      <c r="H285" s="50"/>
      <c r="J285" s="385"/>
    </row>
    <row r="286" customFormat="false" ht="12.75" hidden="false" customHeight="false" outlineLevel="0" collapsed="false">
      <c r="B286" s="111"/>
      <c r="G286" s="295"/>
      <c r="H286" s="50"/>
      <c r="J286" s="385"/>
    </row>
    <row r="287" customFormat="false" ht="12.75" hidden="false" customHeight="false" outlineLevel="0" collapsed="false">
      <c r="B287" s="111"/>
      <c r="G287" s="295"/>
      <c r="H287" s="50"/>
      <c r="J287" s="385"/>
    </row>
    <row r="288" customFormat="false" ht="12.75" hidden="false" customHeight="false" outlineLevel="0" collapsed="false">
      <c r="B288" s="111"/>
      <c r="G288" s="295"/>
      <c r="H288" s="50"/>
      <c r="J288" s="385"/>
    </row>
    <row r="289" customFormat="false" ht="12.75" hidden="false" customHeight="false" outlineLevel="0" collapsed="false">
      <c r="B289" s="111"/>
      <c r="G289" s="295"/>
      <c r="H289" s="50"/>
      <c r="J289" s="385"/>
    </row>
    <row r="290" customFormat="false" ht="12.75" hidden="false" customHeight="false" outlineLevel="0" collapsed="false">
      <c r="B290" s="111"/>
      <c r="G290" s="295"/>
      <c r="H290" s="50"/>
      <c r="J290" s="385"/>
    </row>
    <row r="291" customFormat="false" ht="12.75" hidden="false" customHeight="false" outlineLevel="0" collapsed="false">
      <c r="B291" s="111"/>
      <c r="G291" s="295"/>
      <c r="H291" s="50"/>
      <c r="J291" s="385"/>
    </row>
    <row r="292" customFormat="false" ht="12.75" hidden="false" customHeight="false" outlineLevel="0" collapsed="false">
      <c r="B292" s="111"/>
      <c r="G292" s="295"/>
      <c r="H292" s="50"/>
      <c r="J292" s="385"/>
    </row>
    <row r="293" customFormat="false" ht="12.75" hidden="false" customHeight="false" outlineLevel="0" collapsed="false">
      <c r="B293" s="111"/>
      <c r="G293" s="295"/>
      <c r="H293" s="50"/>
      <c r="J293" s="385"/>
    </row>
    <row r="294" customFormat="false" ht="12.75" hidden="false" customHeight="false" outlineLevel="0" collapsed="false">
      <c r="B294" s="111"/>
      <c r="G294" s="295"/>
      <c r="H294" s="50"/>
      <c r="J294" s="385"/>
    </row>
    <row r="295" customFormat="false" ht="12.75" hidden="false" customHeight="false" outlineLevel="0" collapsed="false">
      <c r="B295" s="111"/>
      <c r="G295" s="295"/>
      <c r="H295" s="50"/>
      <c r="J295" s="385"/>
    </row>
    <row r="296" customFormat="false" ht="12.75" hidden="false" customHeight="false" outlineLevel="0" collapsed="false">
      <c r="B296" s="111"/>
      <c r="G296" s="295"/>
      <c r="H296" s="50"/>
      <c r="J296" s="385"/>
    </row>
    <row r="297" customFormat="false" ht="12.75" hidden="false" customHeight="false" outlineLevel="0" collapsed="false">
      <c r="B297" s="111"/>
      <c r="G297" s="295"/>
      <c r="H297" s="50"/>
      <c r="J297" s="385"/>
    </row>
    <row r="298" customFormat="false" ht="12.75" hidden="false" customHeight="false" outlineLevel="0" collapsed="false">
      <c r="B298" s="111"/>
      <c r="G298" s="295"/>
      <c r="H298" s="50"/>
      <c r="J298" s="385"/>
    </row>
    <row r="299" customFormat="false" ht="12.75" hidden="false" customHeight="false" outlineLevel="0" collapsed="false">
      <c r="B299" s="111"/>
      <c r="G299" s="295"/>
      <c r="H299" s="50"/>
      <c r="J299" s="385"/>
    </row>
    <row r="300" customFormat="false" ht="12.75" hidden="false" customHeight="false" outlineLevel="0" collapsed="false">
      <c r="B300" s="111"/>
      <c r="G300" s="295"/>
      <c r="H300" s="50"/>
      <c r="J300" s="385"/>
    </row>
    <row r="301" customFormat="false" ht="12.75" hidden="false" customHeight="false" outlineLevel="0" collapsed="false">
      <c r="B301" s="111"/>
      <c r="G301" s="295"/>
      <c r="H301" s="50"/>
      <c r="J301" s="385"/>
    </row>
    <row r="302" customFormat="false" ht="12.75" hidden="false" customHeight="false" outlineLevel="0" collapsed="false">
      <c r="B302" s="111"/>
      <c r="G302" s="295"/>
      <c r="H302" s="50"/>
      <c r="J302" s="385"/>
    </row>
    <row r="303" customFormat="false" ht="12.75" hidden="false" customHeight="false" outlineLevel="0" collapsed="false">
      <c r="B303" s="111"/>
      <c r="G303" s="295"/>
      <c r="H303" s="50"/>
      <c r="J303" s="385"/>
    </row>
    <row r="304" customFormat="false" ht="12.75" hidden="false" customHeight="false" outlineLevel="0" collapsed="false">
      <c r="B304" s="111"/>
      <c r="G304" s="295"/>
      <c r="H304" s="50"/>
      <c r="J304" s="385"/>
    </row>
    <row r="305" customFormat="false" ht="12.75" hidden="false" customHeight="false" outlineLevel="0" collapsed="false">
      <c r="B305" s="111"/>
      <c r="G305" s="295"/>
      <c r="H305" s="50"/>
      <c r="J305" s="385"/>
    </row>
    <row r="306" customFormat="false" ht="12.75" hidden="false" customHeight="false" outlineLevel="0" collapsed="false">
      <c r="B306" s="111"/>
      <c r="G306" s="295"/>
      <c r="H306" s="50"/>
      <c r="J306" s="385"/>
    </row>
    <row r="307" customFormat="false" ht="12.75" hidden="false" customHeight="false" outlineLevel="0" collapsed="false">
      <c r="B307" s="111"/>
      <c r="G307" s="295"/>
      <c r="H307" s="50"/>
      <c r="J307" s="385"/>
    </row>
    <row r="308" customFormat="false" ht="12.75" hidden="false" customHeight="false" outlineLevel="0" collapsed="false">
      <c r="B308" s="111"/>
      <c r="G308" s="295"/>
      <c r="H308" s="50"/>
      <c r="J308" s="385"/>
    </row>
    <row r="309" customFormat="false" ht="12.75" hidden="false" customHeight="false" outlineLevel="0" collapsed="false">
      <c r="B309" s="111"/>
      <c r="G309" s="295"/>
      <c r="H309" s="50"/>
      <c r="J309" s="385"/>
    </row>
    <row r="310" customFormat="false" ht="12.75" hidden="false" customHeight="false" outlineLevel="0" collapsed="false">
      <c r="B310" s="111"/>
      <c r="G310" s="295"/>
      <c r="H310" s="50"/>
      <c r="J310" s="385"/>
    </row>
    <row r="311" customFormat="false" ht="12.75" hidden="false" customHeight="false" outlineLevel="0" collapsed="false">
      <c r="B311" s="111"/>
      <c r="G311" s="295"/>
      <c r="H311" s="50"/>
      <c r="J311" s="385"/>
    </row>
    <row r="312" customFormat="false" ht="12.75" hidden="false" customHeight="false" outlineLevel="0" collapsed="false">
      <c r="B312" s="111"/>
      <c r="G312" s="295"/>
      <c r="H312" s="50"/>
      <c r="J312" s="385"/>
    </row>
    <row r="313" customFormat="false" ht="12.75" hidden="false" customHeight="false" outlineLevel="0" collapsed="false">
      <c r="B313" s="111"/>
      <c r="G313" s="295"/>
      <c r="H313" s="50"/>
      <c r="J313" s="385"/>
    </row>
    <row r="314" customFormat="false" ht="12.75" hidden="false" customHeight="false" outlineLevel="0" collapsed="false">
      <c r="B314" s="111"/>
      <c r="G314" s="295"/>
      <c r="H314" s="50"/>
      <c r="J314" s="385"/>
    </row>
    <row r="315" customFormat="false" ht="12.75" hidden="false" customHeight="false" outlineLevel="0" collapsed="false">
      <c r="B315" s="111"/>
      <c r="G315" s="295"/>
      <c r="H315" s="50"/>
      <c r="J315" s="385"/>
    </row>
    <row r="316" customFormat="false" ht="12.75" hidden="false" customHeight="false" outlineLevel="0" collapsed="false">
      <c r="B316" s="111"/>
      <c r="G316" s="295"/>
      <c r="H316" s="50"/>
      <c r="J316" s="385"/>
    </row>
    <row r="317" customFormat="false" ht="12.75" hidden="false" customHeight="false" outlineLevel="0" collapsed="false">
      <c r="B317" s="111"/>
      <c r="G317" s="295"/>
      <c r="H317" s="50"/>
      <c r="J317" s="385"/>
    </row>
    <row r="318" customFormat="false" ht="12.75" hidden="false" customHeight="false" outlineLevel="0" collapsed="false">
      <c r="B318" s="111"/>
      <c r="G318" s="295"/>
      <c r="H318" s="50"/>
      <c r="J318" s="385"/>
    </row>
    <row r="319" customFormat="false" ht="12.75" hidden="false" customHeight="false" outlineLevel="0" collapsed="false">
      <c r="B319" s="111"/>
      <c r="G319" s="295"/>
      <c r="H319" s="50"/>
      <c r="J319" s="385"/>
    </row>
    <row r="320" customFormat="false" ht="12.75" hidden="false" customHeight="false" outlineLevel="0" collapsed="false">
      <c r="B320" s="111"/>
      <c r="G320" s="295"/>
      <c r="H320" s="50"/>
      <c r="J320" s="385"/>
    </row>
    <row r="321" customFormat="false" ht="12.75" hidden="false" customHeight="false" outlineLevel="0" collapsed="false">
      <c r="B321" s="111"/>
      <c r="G321" s="295"/>
      <c r="H321" s="50"/>
      <c r="J321" s="385"/>
    </row>
    <row r="322" customFormat="false" ht="12.75" hidden="false" customHeight="false" outlineLevel="0" collapsed="false">
      <c r="B322" s="111"/>
      <c r="G322" s="295"/>
      <c r="H322" s="50"/>
      <c r="J322" s="385"/>
    </row>
    <row r="323" customFormat="false" ht="12.75" hidden="false" customHeight="false" outlineLevel="0" collapsed="false">
      <c r="B323" s="111"/>
      <c r="G323" s="295"/>
      <c r="H323" s="50"/>
      <c r="J323" s="385"/>
    </row>
    <row r="324" customFormat="false" ht="12.75" hidden="false" customHeight="false" outlineLevel="0" collapsed="false">
      <c r="B324" s="111"/>
      <c r="G324" s="295"/>
      <c r="H324" s="50"/>
      <c r="J324" s="385"/>
    </row>
    <row r="325" customFormat="false" ht="12.75" hidden="false" customHeight="false" outlineLevel="0" collapsed="false">
      <c r="B325" s="111"/>
      <c r="G325" s="295"/>
      <c r="H325" s="50"/>
      <c r="J325" s="385"/>
    </row>
    <row r="326" customFormat="false" ht="12.75" hidden="false" customHeight="false" outlineLevel="0" collapsed="false">
      <c r="B326" s="111"/>
      <c r="G326" s="295"/>
      <c r="H326" s="50"/>
      <c r="J326" s="385"/>
    </row>
    <row r="327" customFormat="false" ht="12.75" hidden="false" customHeight="false" outlineLevel="0" collapsed="false">
      <c r="B327" s="111"/>
      <c r="G327" s="295"/>
      <c r="H327" s="50"/>
      <c r="J327" s="385"/>
    </row>
    <row r="328" customFormat="false" ht="12.75" hidden="false" customHeight="false" outlineLevel="0" collapsed="false">
      <c r="B328" s="111"/>
      <c r="G328" s="295"/>
      <c r="H328" s="50"/>
      <c r="J328" s="385"/>
    </row>
    <row r="329" customFormat="false" ht="12.75" hidden="false" customHeight="false" outlineLevel="0" collapsed="false">
      <c r="B329" s="111"/>
      <c r="G329" s="295"/>
      <c r="H329" s="50"/>
      <c r="J329" s="385"/>
    </row>
    <row r="330" customFormat="false" ht="12.75" hidden="false" customHeight="false" outlineLevel="0" collapsed="false">
      <c r="B330" s="111"/>
      <c r="G330" s="295"/>
      <c r="H330" s="50"/>
      <c r="J330" s="385"/>
    </row>
    <row r="331" customFormat="false" ht="12.75" hidden="false" customHeight="false" outlineLevel="0" collapsed="false">
      <c r="B331" s="111"/>
      <c r="G331" s="295"/>
      <c r="H331" s="50"/>
      <c r="J331" s="385"/>
    </row>
    <row r="332" customFormat="false" ht="12.75" hidden="false" customHeight="false" outlineLevel="0" collapsed="false">
      <c r="B332" s="111"/>
      <c r="G332" s="295"/>
      <c r="H332" s="50"/>
      <c r="J332" s="385"/>
    </row>
    <row r="333" customFormat="false" ht="12.75" hidden="false" customHeight="false" outlineLevel="0" collapsed="false">
      <c r="B333" s="111"/>
      <c r="G333" s="295"/>
      <c r="H333" s="50"/>
      <c r="J333" s="385"/>
    </row>
    <row r="334" customFormat="false" ht="12.75" hidden="false" customHeight="false" outlineLevel="0" collapsed="false">
      <c r="B334" s="111"/>
      <c r="G334" s="295"/>
      <c r="H334" s="50"/>
      <c r="J334" s="385"/>
    </row>
    <row r="335" customFormat="false" ht="12.75" hidden="false" customHeight="false" outlineLevel="0" collapsed="false">
      <c r="B335" s="111"/>
      <c r="G335" s="295"/>
      <c r="H335" s="50"/>
      <c r="J335" s="385"/>
    </row>
    <row r="336" customFormat="false" ht="12.75" hidden="false" customHeight="false" outlineLevel="0" collapsed="false">
      <c r="B336" s="111"/>
      <c r="G336" s="295"/>
      <c r="H336" s="50"/>
      <c r="J336" s="385"/>
    </row>
    <row r="337" customFormat="false" ht="12.75" hidden="false" customHeight="false" outlineLevel="0" collapsed="false">
      <c r="B337" s="111"/>
      <c r="G337" s="295"/>
      <c r="H337" s="50"/>
      <c r="J337" s="385"/>
    </row>
    <row r="338" customFormat="false" ht="12.75" hidden="false" customHeight="false" outlineLevel="0" collapsed="false">
      <c r="B338" s="111"/>
      <c r="G338" s="295"/>
      <c r="H338" s="50"/>
      <c r="J338" s="385"/>
    </row>
    <row r="339" customFormat="false" ht="12.75" hidden="false" customHeight="false" outlineLevel="0" collapsed="false">
      <c r="B339" s="111"/>
      <c r="G339" s="295"/>
      <c r="H339" s="50"/>
      <c r="J339" s="385"/>
    </row>
    <row r="340" customFormat="false" ht="12.75" hidden="false" customHeight="false" outlineLevel="0" collapsed="false">
      <c r="B340" s="111"/>
      <c r="G340" s="295"/>
      <c r="H340" s="50"/>
      <c r="J340" s="385"/>
    </row>
    <row r="341" customFormat="false" ht="12.75" hidden="false" customHeight="false" outlineLevel="0" collapsed="false">
      <c r="B341" s="111"/>
      <c r="G341" s="295"/>
      <c r="H341" s="50"/>
      <c r="J341" s="385"/>
    </row>
    <row r="342" customFormat="false" ht="12.75" hidden="false" customHeight="false" outlineLevel="0" collapsed="false">
      <c r="B342" s="111"/>
      <c r="G342" s="295"/>
      <c r="H342" s="50"/>
      <c r="J342" s="385"/>
    </row>
    <row r="343" customFormat="false" ht="12.75" hidden="false" customHeight="false" outlineLevel="0" collapsed="false">
      <c r="B343" s="111"/>
      <c r="G343" s="295"/>
      <c r="H343" s="50"/>
      <c r="J343" s="385"/>
    </row>
    <row r="344" customFormat="false" ht="12.75" hidden="false" customHeight="false" outlineLevel="0" collapsed="false">
      <c r="B344" s="111"/>
      <c r="G344" s="295"/>
      <c r="H344" s="50"/>
      <c r="J344" s="385"/>
    </row>
    <row r="345" customFormat="false" ht="12.75" hidden="false" customHeight="false" outlineLevel="0" collapsed="false">
      <c r="B345" s="111"/>
      <c r="G345" s="295"/>
      <c r="H345" s="50"/>
      <c r="J345" s="385"/>
    </row>
    <row r="346" customFormat="false" ht="12.75" hidden="false" customHeight="false" outlineLevel="0" collapsed="false">
      <c r="B346" s="111"/>
      <c r="G346" s="295"/>
      <c r="H346" s="50"/>
      <c r="J346" s="385"/>
    </row>
    <row r="347" customFormat="false" ht="12.75" hidden="false" customHeight="false" outlineLevel="0" collapsed="false">
      <c r="B347" s="111"/>
      <c r="G347" s="295"/>
      <c r="H347" s="50"/>
      <c r="J347" s="385"/>
    </row>
    <row r="348" customFormat="false" ht="12.75" hidden="false" customHeight="false" outlineLevel="0" collapsed="false">
      <c r="B348" s="111"/>
      <c r="G348" s="295"/>
      <c r="H348" s="50"/>
      <c r="J348" s="385"/>
    </row>
    <row r="349" customFormat="false" ht="12.75" hidden="false" customHeight="false" outlineLevel="0" collapsed="false">
      <c r="B349" s="111"/>
      <c r="G349" s="295"/>
      <c r="H349" s="50"/>
      <c r="J349" s="385"/>
    </row>
    <row r="350" customFormat="false" ht="12.75" hidden="false" customHeight="false" outlineLevel="0" collapsed="false">
      <c r="B350" s="111"/>
      <c r="G350" s="295"/>
      <c r="H350" s="50"/>
      <c r="J350" s="385"/>
    </row>
    <row r="351" customFormat="false" ht="12.75" hidden="false" customHeight="false" outlineLevel="0" collapsed="false">
      <c r="B351" s="111"/>
      <c r="G351" s="295"/>
      <c r="H351" s="50"/>
      <c r="J351" s="385"/>
    </row>
    <row r="352" customFormat="false" ht="12.75" hidden="false" customHeight="false" outlineLevel="0" collapsed="false">
      <c r="B352" s="111"/>
      <c r="G352" s="295"/>
      <c r="H352" s="50"/>
      <c r="J352" s="385"/>
    </row>
    <row r="353" customFormat="false" ht="12.75" hidden="false" customHeight="false" outlineLevel="0" collapsed="false">
      <c r="B353" s="111"/>
      <c r="G353" s="295"/>
      <c r="H353" s="50"/>
      <c r="J353" s="385"/>
    </row>
    <row r="354" customFormat="false" ht="12.75" hidden="false" customHeight="false" outlineLevel="0" collapsed="false">
      <c r="B354" s="111"/>
      <c r="G354" s="295"/>
      <c r="H354" s="50"/>
      <c r="J354" s="385"/>
    </row>
    <row r="355" customFormat="false" ht="12.75" hidden="false" customHeight="false" outlineLevel="0" collapsed="false">
      <c r="B355" s="111"/>
      <c r="G355" s="295"/>
      <c r="H355" s="50"/>
      <c r="J355" s="385"/>
    </row>
    <row r="356" customFormat="false" ht="12.75" hidden="false" customHeight="false" outlineLevel="0" collapsed="false">
      <c r="B356" s="111"/>
      <c r="G356" s="295"/>
      <c r="H356" s="50"/>
      <c r="J356" s="385"/>
    </row>
    <row r="357" customFormat="false" ht="12.75" hidden="false" customHeight="false" outlineLevel="0" collapsed="false">
      <c r="B357" s="111"/>
      <c r="G357" s="295"/>
      <c r="H357" s="50"/>
      <c r="J357" s="385"/>
    </row>
    <row r="358" customFormat="false" ht="12.75" hidden="false" customHeight="false" outlineLevel="0" collapsed="false">
      <c r="B358" s="111"/>
      <c r="G358" s="295"/>
      <c r="H358" s="50"/>
      <c r="J358" s="385"/>
    </row>
    <row r="359" customFormat="false" ht="12.75" hidden="false" customHeight="false" outlineLevel="0" collapsed="false">
      <c r="B359" s="111"/>
      <c r="G359" s="295"/>
      <c r="H359" s="50"/>
      <c r="J359" s="385"/>
    </row>
    <row r="360" customFormat="false" ht="12.75" hidden="false" customHeight="false" outlineLevel="0" collapsed="false">
      <c r="B360" s="111"/>
      <c r="G360" s="295"/>
      <c r="H360" s="50"/>
      <c r="J360" s="385"/>
    </row>
    <row r="361" customFormat="false" ht="12.75" hidden="false" customHeight="false" outlineLevel="0" collapsed="false">
      <c r="B361" s="111"/>
      <c r="G361" s="295"/>
      <c r="H361" s="50"/>
      <c r="J361" s="385"/>
    </row>
    <row r="362" customFormat="false" ht="12.75" hidden="false" customHeight="false" outlineLevel="0" collapsed="false">
      <c r="B362" s="111"/>
      <c r="G362" s="295"/>
      <c r="H362" s="50"/>
      <c r="J362" s="385"/>
    </row>
    <row r="363" customFormat="false" ht="12.75" hidden="false" customHeight="false" outlineLevel="0" collapsed="false">
      <c r="B363" s="111"/>
      <c r="G363" s="295"/>
      <c r="H363" s="50"/>
      <c r="J363" s="385"/>
    </row>
    <row r="364" customFormat="false" ht="12.75" hidden="false" customHeight="false" outlineLevel="0" collapsed="false">
      <c r="B364" s="111"/>
      <c r="G364" s="295"/>
      <c r="H364" s="50"/>
      <c r="J364" s="385"/>
    </row>
    <row r="365" customFormat="false" ht="12.75" hidden="false" customHeight="false" outlineLevel="0" collapsed="false">
      <c r="B365" s="111"/>
      <c r="G365" s="295"/>
      <c r="H365" s="50"/>
      <c r="J365" s="385"/>
    </row>
    <row r="366" customFormat="false" ht="12.75" hidden="false" customHeight="false" outlineLevel="0" collapsed="false">
      <c r="B366" s="111"/>
      <c r="G366" s="295"/>
      <c r="H366" s="50"/>
      <c r="J366" s="385"/>
    </row>
    <row r="367" customFormat="false" ht="12.75" hidden="false" customHeight="false" outlineLevel="0" collapsed="false">
      <c r="B367" s="111"/>
      <c r="G367" s="295"/>
      <c r="H367" s="50"/>
      <c r="J367" s="385"/>
    </row>
    <row r="368" customFormat="false" ht="12.75" hidden="false" customHeight="false" outlineLevel="0" collapsed="false">
      <c r="B368" s="111"/>
      <c r="G368" s="295"/>
      <c r="H368" s="50"/>
      <c r="J368" s="385"/>
    </row>
    <row r="369" customFormat="false" ht="12.75" hidden="false" customHeight="false" outlineLevel="0" collapsed="false">
      <c r="B369" s="111"/>
      <c r="G369" s="295"/>
      <c r="H369" s="50"/>
      <c r="J369" s="385"/>
    </row>
    <row r="370" customFormat="false" ht="12.75" hidden="false" customHeight="false" outlineLevel="0" collapsed="false">
      <c r="B370" s="111"/>
      <c r="G370" s="295"/>
      <c r="H370" s="50"/>
      <c r="J370" s="385"/>
    </row>
    <row r="371" customFormat="false" ht="12.75" hidden="false" customHeight="false" outlineLevel="0" collapsed="false">
      <c r="B371" s="111"/>
      <c r="G371" s="295"/>
      <c r="H371" s="50"/>
      <c r="J371" s="385"/>
    </row>
    <row r="372" customFormat="false" ht="12.75" hidden="false" customHeight="false" outlineLevel="0" collapsed="false">
      <c r="B372" s="111"/>
      <c r="G372" s="295"/>
      <c r="H372" s="50"/>
      <c r="J372" s="385"/>
    </row>
    <row r="373" customFormat="false" ht="12.75" hidden="false" customHeight="false" outlineLevel="0" collapsed="false">
      <c r="B373" s="111"/>
      <c r="G373" s="295"/>
      <c r="H373" s="50"/>
      <c r="J373" s="385"/>
    </row>
    <row r="374" customFormat="false" ht="12.75" hidden="false" customHeight="false" outlineLevel="0" collapsed="false">
      <c r="B374" s="111"/>
      <c r="G374" s="295"/>
      <c r="H374" s="50"/>
      <c r="J374" s="385"/>
    </row>
    <row r="375" customFormat="false" ht="12.75" hidden="false" customHeight="false" outlineLevel="0" collapsed="false">
      <c r="B375" s="111"/>
      <c r="G375" s="295"/>
      <c r="H375" s="50"/>
      <c r="J375" s="385"/>
    </row>
    <row r="376" customFormat="false" ht="12.75" hidden="false" customHeight="false" outlineLevel="0" collapsed="false">
      <c r="B376" s="111"/>
      <c r="G376" s="295"/>
      <c r="H376" s="50"/>
      <c r="J376" s="385"/>
    </row>
    <row r="377" customFormat="false" ht="12.75" hidden="false" customHeight="false" outlineLevel="0" collapsed="false">
      <c r="B377" s="111"/>
      <c r="G377" s="295"/>
      <c r="H377" s="50"/>
      <c r="J377" s="385"/>
    </row>
    <row r="378" customFormat="false" ht="12.75" hidden="false" customHeight="false" outlineLevel="0" collapsed="false">
      <c r="B378" s="111"/>
      <c r="G378" s="295"/>
      <c r="H378" s="50"/>
      <c r="J378" s="385"/>
    </row>
    <row r="379" customFormat="false" ht="12.75" hidden="false" customHeight="false" outlineLevel="0" collapsed="false">
      <c r="B379" s="111"/>
      <c r="G379" s="295"/>
      <c r="H379" s="50"/>
      <c r="J379" s="385"/>
    </row>
    <row r="380" customFormat="false" ht="12.75" hidden="false" customHeight="false" outlineLevel="0" collapsed="false">
      <c r="B380" s="111"/>
      <c r="G380" s="295"/>
      <c r="H380" s="50"/>
      <c r="J380" s="385"/>
    </row>
    <row r="381" customFormat="false" ht="12.75" hidden="false" customHeight="false" outlineLevel="0" collapsed="false">
      <c r="B381" s="111"/>
      <c r="G381" s="295"/>
      <c r="H381" s="50"/>
      <c r="J381" s="385"/>
    </row>
    <row r="382" customFormat="false" ht="12.75" hidden="false" customHeight="false" outlineLevel="0" collapsed="false">
      <c r="B382" s="111"/>
      <c r="G382" s="295"/>
      <c r="H382" s="50"/>
      <c r="J382" s="385"/>
    </row>
    <row r="383" customFormat="false" ht="12.75" hidden="false" customHeight="false" outlineLevel="0" collapsed="false">
      <c r="B383" s="111"/>
      <c r="G383" s="295"/>
      <c r="H383" s="50"/>
      <c r="J383" s="385"/>
    </row>
    <row r="384" customFormat="false" ht="12.75" hidden="false" customHeight="false" outlineLevel="0" collapsed="false">
      <c r="B384" s="111"/>
      <c r="G384" s="295"/>
      <c r="H384" s="50"/>
      <c r="J384" s="385"/>
    </row>
    <row r="385" customFormat="false" ht="12.75" hidden="false" customHeight="false" outlineLevel="0" collapsed="false">
      <c r="B385" s="111"/>
      <c r="G385" s="295"/>
      <c r="H385" s="50"/>
      <c r="J385" s="385"/>
    </row>
    <row r="386" customFormat="false" ht="12.75" hidden="false" customHeight="false" outlineLevel="0" collapsed="false">
      <c r="B386" s="111"/>
      <c r="G386" s="295"/>
      <c r="H386" s="50"/>
      <c r="J386" s="385"/>
    </row>
    <row r="387" customFormat="false" ht="12.75" hidden="false" customHeight="false" outlineLevel="0" collapsed="false">
      <c r="B387" s="111"/>
      <c r="G387" s="295"/>
      <c r="H387" s="50"/>
      <c r="J387" s="385"/>
    </row>
    <row r="388" customFormat="false" ht="12.75" hidden="false" customHeight="false" outlineLevel="0" collapsed="false">
      <c r="B388" s="111"/>
      <c r="G388" s="295"/>
      <c r="H388" s="50"/>
      <c r="J388" s="385"/>
    </row>
    <row r="389" customFormat="false" ht="12.75" hidden="false" customHeight="false" outlineLevel="0" collapsed="false">
      <c r="B389" s="111"/>
      <c r="G389" s="295"/>
      <c r="H389" s="50"/>
      <c r="J389" s="385"/>
    </row>
    <row r="390" customFormat="false" ht="12.75" hidden="false" customHeight="false" outlineLevel="0" collapsed="false">
      <c r="B390" s="111"/>
      <c r="G390" s="295"/>
      <c r="H390" s="50"/>
      <c r="J390" s="385"/>
    </row>
    <row r="391" customFormat="false" ht="12.75" hidden="false" customHeight="false" outlineLevel="0" collapsed="false">
      <c r="B391" s="111"/>
      <c r="G391" s="295"/>
      <c r="H391" s="50"/>
      <c r="J391" s="385"/>
    </row>
    <row r="392" customFormat="false" ht="12.75" hidden="false" customHeight="false" outlineLevel="0" collapsed="false">
      <c r="B392" s="111"/>
      <c r="G392" s="295"/>
      <c r="H392" s="50"/>
      <c r="J392" s="385"/>
    </row>
    <row r="393" customFormat="false" ht="12.75" hidden="false" customHeight="false" outlineLevel="0" collapsed="false">
      <c r="B393" s="111"/>
      <c r="G393" s="295"/>
      <c r="H393" s="50"/>
      <c r="J393" s="385"/>
    </row>
    <row r="394" customFormat="false" ht="12.75" hidden="false" customHeight="false" outlineLevel="0" collapsed="false">
      <c r="B394" s="111"/>
      <c r="G394" s="295"/>
      <c r="H394" s="50"/>
      <c r="J394" s="385"/>
    </row>
    <row r="395" customFormat="false" ht="12.75" hidden="false" customHeight="false" outlineLevel="0" collapsed="false">
      <c r="B395" s="111"/>
      <c r="G395" s="295"/>
      <c r="H395" s="50"/>
      <c r="J395" s="385"/>
    </row>
    <row r="396" customFormat="false" ht="12.75" hidden="false" customHeight="false" outlineLevel="0" collapsed="false">
      <c r="B396" s="111"/>
      <c r="G396" s="295"/>
      <c r="H396" s="50"/>
      <c r="J396" s="385"/>
    </row>
    <row r="397" customFormat="false" ht="12.75" hidden="false" customHeight="false" outlineLevel="0" collapsed="false">
      <c r="B397" s="111"/>
      <c r="G397" s="295"/>
      <c r="H397" s="50"/>
      <c r="J397" s="385"/>
    </row>
    <row r="398" customFormat="false" ht="12.75" hidden="false" customHeight="false" outlineLevel="0" collapsed="false">
      <c r="B398" s="111"/>
      <c r="G398" s="295"/>
      <c r="H398" s="50"/>
      <c r="J398" s="385"/>
    </row>
    <row r="399" customFormat="false" ht="12.75" hidden="false" customHeight="false" outlineLevel="0" collapsed="false">
      <c r="B399" s="111"/>
      <c r="G399" s="295"/>
      <c r="H399" s="50"/>
      <c r="J399" s="385"/>
    </row>
    <row r="400" customFormat="false" ht="12.75" hidden="false" customHeight="false" outlineLevel="0" collapsed="false">
      <c r="B400" s="111"/>
      <c r="G400" s="295"/>
      <c r="H400" s="50"/>
      <c r="J400" s="385"/>
    </row>
    <row r="401" customFormat="false" ht="12.75" hidden="false" customHeight="false" outlineLevel="0" collapsed="false">
      <c r="B401" s="111"/>
      <c r="G401" s="295"/>
      <c r="H401" s="50"/>
      <c r="J401" s="385"/>
    </row>
    <row r="402" customFormat="false" ht="12.75" hidden="false" customHeight="false" outlineLevel="0" collapsed="false">
      <c r="B402" s="111"/>
      <c r="G402" s="295"/>
      <c r="H402" s="50"/>
      <c r="J402" s="385"/>
    </row>
    <row r="403" customFormat="false" ht="12.75" hidden="false" customHeight="false" outlineLevel="0" collapsed="false">
      <c r="B403" s="111"/>
      <c r="G403" s="295"/>
      <c r="H403" s="50"/>
      <c r="J403" s="385"/>
    </row>
    <row r="404" customFormat="false" ht="12.75" hidden="false" customHeight="false" outlineLevel="0" collapsed="false">
      <c r="B404" s="111"/>
      <c r="G404" s="295"/>
      <c r="H404" s="50"/>
      <c r="J404" s="385"/>
    </row>
    <row r="405" customFormat="false" ht="12.75" hidden="false" customHeight="false" outlineLevel="0" collapsed="false">
      <c r="B405" s="111"/>
      <c r="G405" s="295"/>
      <c r="H405" s="50"/>
      <c r="J405" s="385"/>
    </row>
    <row r="406" customFormat="false" ht="12.75" hidden="false" customHeight="false" outlineLevel="0" collapsed="false">
      <c r="B406" s="111"/>
      <c r="G406" s="295"/>
      <c r="H406" s="50"/>
      <c r="J406" s="385"/>
    </row>
    <row r="407" customFormat="false" ht="12.75" hidden="false" customHeight="false" outlineLevel="0" collapsed="false">
      <c r="B407" s="111"/>
      <c r="G407" s="295"/>
      <c r="H407" s="50"/>
      <c r="J407" s="385"/>
    </row>
    <row r="408" customFormat="false" ht="12.75" hidden="false" customHeight="false" outlineLevel="0" collapsed="false">
      <c r="B408" s="111"/>
      <c r="G408" s="295"/>
      <c r="H408" s="50"/>
      <c r="J408" s="385"/>
    </row>
    <row r="409" customFormat="false" ht="12.75" hidden="false" customHeight="false" outlineLevel="0" collapsed="false">
      <c r="B409" s="111"/>
      <c r="G409" s="295"/>
      <c r="H409" s="50"/>
      <c r="J409" s="385"/>
    </row>
    <row r="410" customFormat="false" ht="12.75" hidden="false" customHeight="false" outlineLevel="0" collapsed="false">
      <c r="B410" s="111"/>
      <c r="G410" s="295"/>
      <c r="H410" s="50"/>
      <c r="J410" s="385"/>
    </row>
    <row r="411" customFormat="false" ht="12.75" hidden="false" customHeight="false" outlineLevel="0" collapsed="false">
      <c r="B411" s="111"/>
      <c r="G411" s="295"/>
      <c r="H411" s="50"/>
      <c r="J411" s="385"/>
    </row>
    <row r="412" customFormat="false" ht="12.75" hidden="false" customHeight="false" outlineLevel="0" collapsed="false">
      <c r="B412" s="111"/>
      <c r="G412" s="295"/>
      <c r="H412" s="50"/>
      <c r="J412" s="385"/>
    </row>
    <row r="413" customFormat="false" ht="12.75" hidden="false" customHeight="false" outlineLevel="0" collapsed="false">
      <c r="B413" s="111"/>
      <c r="G413" s="295"/>
      <c r="H413" s="50"/>
      <c r="J413" s="385"/>
    </row>
    <row r="414" customFormat="false" ht="12.75" hidden="false" customHeight="false" outlineLevel="0" collapsed="false">
      <c r="B414" s="111"/>
      <c r="G414" s="295"/>
      <c r="H414" s="50"/>
      <c r="J414" s="385"/>
    </row>
    <row r="415" customFormat="false" ht="12.75" hidden="false" customHeight="false" outlineLevel="0" collapsed="false">
      <c r="B415" s="111"/>
      <c r="G415" s="295"/>
      <c r="H415" s="50"/>
      <c r="J415" s="385"/>
    </row>
    <row r="416" customFormat="false" ht="12.75" hidden="false" customHeight="false" outlineLevel="0" collapsed="false">
      <c r="B416" s="111"/>
      <c r="G416" s="295"/>
      <c r="H416" s="50"/>
      <c r="J416" s="385"/>
    </row>
    <row r="417" customFormat="false" ht="12.75" hidden="false" customHeight="false" outlineLevel="0" collapsed="false">
      <c r="B417" s="111"/>
      <c r="G417" s="295"/>
      <c r="H417" s="50"/>
      <c r="J417" s="385"/>
    </row>
    <row r="418" customFormat="false" ht="12.75" hidden="false" customHeight="false" outlineLevel="0" collapsed="false">
      <c r="B418" s="111"/>
      <c r="G418" s="295"/>
      <c r="H418" s="50"/>
      <c r="J418" s="385"/>
    </row>
    <row r="419" customFormat="false" ht="12.75" hidden="false" customHeight="false" outlineLevel="0" collapsed="false">
      <c r="B419" s="111"/>
      <c r="G419" s="295"/>
      <c r="H419" s="50"/>
      <c r="J419" s="385"/>
    </row>
    <row r="420" customFormat="false" ht="12.75" hidden="false" customHeight="false" outlineLevel="0" collapsed="false">
      <c r="B420" s="111"/>
      <c r="G420" s="295"/>
      <c r="H420" s="50"/>
      <c r="J420" s="385"/>
    </row>
    <row r="421" customFormat="false" ht="12.75" hidden="false" customHeight="false" outlineLevel="0" collapsed="false">
      <c r="B421" s="111"/>
      <c r="G421" s="295"/>
      <c r="H421" s="50"/>
      <c r="J421" s="385"/>
    </row>
    <row r="422" customFormat="false" ht="12.75" hidden="false" customHeight="false" outlineLevel="0" collapsed="false">
      <c r="B422" s="111"/>
      <c r="G422" s="295"/>
      <c r="H422" s="50"/>
      <c r="J422" s="385"/>
    </row>
    <row r="423" customFormat="false" ht="12.75" hidden="false" customHeight="false" outlineLevel="0" collapsed="false">
      <c r="B423" s="111"/>
      <c r="G423" s="295"/>
      <c r="H423" s="50"/>
      <c r="J423" s="385"/>
    </row>
    <row r="424" customFormat="false" ht="12.75" hidden="false" customHeight="false" outlineLevel="0" collapsed="false">
      <c r="B424" s="111"/>
      <c r="G424" s="295"/>
      <c r="H424" s="50"/>
      <c r="J424" s="385"/>
    </row>
    <row r="425" customFormat="false" ht="12.75" hidden="false" customHeight="false" outlineLevel="0" collapsed="false">
      <c r="B425" s="111"/>
      <c r="G425" s="295"/>
      <c r="H425" s="50"/>
      <c r="J425" s="385"/>
    </row>
    <row r="426" customFormat="false" ht="12.75" hidden="false" customHeight="false" outlineLevel="0" collapsed="false">
      <c r="B426" s="111"/>
      <c r="G426" s="295"/>
      <c r="H426" s="50"/>
      <c r="J426" s="385"/>
    </row>
    <row r="427" customFormat="false" ht="12.75" hidden="false" customHeight="false" outlineLevel="0" collapsed="false">
      <c r="B427" s="111"/>
      <c r="G427" s="295"/>
      <c r="H427" s="50"/>
      <c r="J427" s="385"/>
    </row>
    <row r="428" customFormat="false" ht="12.75" hidden="false" customHeight="false" outlineLevel="0" collapsed="false">
      <c r="B428" s="111"/>
      <c r="G428" s="295"/>
      <c r="H428" s="50"/>
      <c r="J428" s="385"/>
    </row>
    <row r="429" customFormat="false" ht="12.75" hidden="false" customHeight="false" outlineLevel="0" collapsed="false">
      <c r="B429" s="111"/>
      <c r="G429" s="295"/>
      <c r="H429" s="50"/>
      <c r="J429" s="385"/>
    </row>
    <row r="430" customFormat="false" ht="12.75" hidden="false" customHeight="false" outlineLevel="0" collapsed="false">
      <c r="B430" s="111"/>
      <c r="G430" s="295"/>
      <c r="H430" s="50"/>
      <c r="J430" s="385"/>
    </row>
    <row r="431" customFormat="false" ht="12.75" hidden="false" customHeight="false" outlineLevel="0" collapsed="false">
      <c r="B431" s="111"/>
      <c r="G431" s="295"/>
      <c r="H431" s="50"/>
      <c r="J431" s="385"/>
    </row>
    <row r="432" customFormat="false" ht="12.75" hidden="false" customHeight="false" outlineLevel="0" collapsed="false">
      <c r="B432" s="111"/>
      <c r="G432" s="295"/>
      <c r="H432" s="50"/>
      <c r="J432" s="385"/>
    </row>
    <row r="433" customFormat="false" ht="12.75" hidden="false" customHeight="false" outlineLevel="0" collapsed="false">
      <c r="B433" s="111"/>
      <c r="G433" s="295"/>
      <c r="H433" s="50"/>
      <c r="J433" s="385"/>
    </row>
    <row r="434" customFormat="false" ht="12.75" hidden="false" customHeight="false" outlineLevel="0" collapsed="false">
      <c r="B434" s="111"/>
      <c r="G434" s="295"/>
      <c r="H434" s="50"/>
      <c r="J434" s="385"/>
    </row>
    <row r="435" customFormat="false" ht="12.75" hidden="false" customHeight="false" outlineLevel="0" collapsed="false">
      <c r="B435" s="111"/>
      <c r="G435" s="295"/>
      <c r="H435" s="50"/>
      <c r="J435" s="385"/>
    </row>
    <row r="436" customFormat="false" ht="12.75" hidden="false" customHeight="false" outlineLevel="0" collapsed="false">
      <c r="B436" s="111"/>
      <c r="G436" s="295"/>
      <c r="H436" s="50"/>
      <c r="J436" s="385"/>
    </row>
    <row r="437" customFormat="false" ht="12.75" hidden="false" customHeight="false" outlineLevel="0" collapsed="false">
      <c r="B437" s="111"/>
      <c r="G437" s="295"/>
      <c r="H437" s="50"/>
      <c r="J437" s="385"/>
    </row>
    <row r="438" customFormat="false" ht="12.75" hidden="false" customHeight="false" outlineLevel="0" collapsed="false">
      <c r="B438" s="111"/>
      <c r="G438" s="295"/>
      <c r="H438" s="50"/>
      <c r="J438" s="385"/>
    </row>
    <row r="439" customFormat="false" ht="12.75" hidden="false" customHeight="false" outlineLevel="0" collapsed="false">
      <c r="B439" s="111"/>
      <c r="G439" s="295"/>
      <c r="H439" s="50"/>
      <c r="J439" s="385"/>
    </row>
    <row r="440" customFormat="false" ht="12.75" hidden="false" customHeight="false" outlineLevel="0" collapsed="false">
      <c r="B440" s="111"/>
      <c r="G440" s="295"/>
      <c r="H440" s="50"/>
      <c r="J440" s="385"/>
    </row>
    <row r="441" customFormat="false" ht="12.75" hidden="false" customHeight="false" outlineLevel="0" collapsed="false">
      <c r="B441" s="111"/>
      <c r="G441" s="295"/>
      <c r="H441" s="50"/>
      <c r="J441" s="385"/>
    </row>
    <row r="442" customFormat="false" ht="12.75" hidden="false" customHeight="false" outlineLevel="0" collapsed="false">
      <c r="B442" s="111"/>
      <c r="G442" s="295"/>
      <c r="H442" s="50"/>
      <c r="J442" s="385"/>
    </row>
    <row r="443" customFormat="false" ht="12.75" hidden="false" customHeight="false" outlineLevel="0" collapsed="false">
      <c r="B443" s="111"/>
      <c r="G443" s="295"/>
      <c r="H443" s="50"/>
      <c r="J443" s="385"/>
    </row>
    <row r="444" customFormat="false" ht="12.75" hidden="false" customHeight="false" outlineLevel="0" collapsed="false">
      <c r="B444" s="111"/>
      <c r="G444" s="295"/>
      <c r="H444" s="50"/>
      <c r="J444" s="385"/>
    </row>
    <row r="445" customFormat="false" ht="12.75" hidden="false" customHeight="false" outlineLevel="0" collapsed="false">
      <c r="B445" s="111"/>
      <c r="G445" s="295"/>
      <c r="H445" s="50"/>
      <c r="J445" s="385"/>
    </row>
    <row r="446" customFormat="false" ht="12.75" hidden="false" customHeight="false" outlineLevel="0" collapsed="false">
      <c r="B446" s="111"/>
      <c r="G446" s="295"/>
      <c r="H446" s="50"/>
      <c r="J446" s="385"/>
    </row>
    <row r="447" customFormat="false" ht="12.75" hidden="false" customHeight="false" outlineLevel="0" collapsed="false">
      <c r="B447" s="111"/>
      <c r="G447" s="295"/>
      <c r="H447" s="50"/>
      <c r="J447" s="385"/>
    </row>
    <row r="448" customFormat="false" ht="12.75" hidden="false" customHeight="false" outlineLevel="0" collapsed="false">
      <c r="B448" s="111"/>
      <c r="G448" s="295"/>
      <c r="H448" s="50"/>
      <c r="J448" s="385"/>
    </row>
    <row r="449" customFormat="false" ht="12.75" hidden="false" customHeight="false" outlineLevel="0" collapsed="false">
      <c r="B449" s="111"/>
      <c r="G449" s="295"/>
      <c r="H449" s="50"/>
      <c r="J449" s="385"/>
    </row>
    <row r="450" customFormat="false" ht="12.75" hidden="false" customHeight="false" outlineLevel="0" collapsed="false">
      <c r="B450" s="111"/>
      <c r="G450" s="295"/>
      <c r="H450" s="50"/>
      <c r="J450" s="385"/>
    </row>
    <row r="451" customFormat="false" ht="12.75" hidden="false" customHeight="false" outlineLevel="0" collapsed="false">
      <c r="B451" s="111"/>
      <c r="G451" s="295"/>
      <c r="H451" s="50"/>
      <c r="J451" s="385"/>
    </row>
    <row r="452" customFormat="false" ht="12.75" hidden="false" customHeight="false" outlineLevel="0" collapsed="false">
      <c r="B452" s="111"/>
      <c r="G452" s="295"/>
      <c r="H452" s="50"/>
      <c r="J452" s="385"/>
    </row>
    <row r="453" customFormat="false" ht="12.75" hidden="false" customHeight="false" outlineLevel="0" collapsed="false">
      <c r="B453" s="111"/>
      <c r="G453" s="295"/>
      <c r="H453" s="50"/>
      <c r="J453" s="385"/>
    </row>
    <row r="454" customFormat="false" ht="12.75" hidden="false" customHeight="false" outlineLevel="0" collapsed="false">
      <c r="B454" s="111"/>
      <c r="G454" s="295"/>
      <c r="H454" s="50"/>
      <c r="J454" s="385"/>
    </row>
    <row r="455" customFormat="false" ht="12.75" hidden="false" customHeight="false" outlineLevel="0" collapsed="false">
      <c r="B455" s="111"/>
      <c r="G455" s="295"/>
      <c r="H455" s="50"/>
      <c r="J455" s="385"/>
    </row>
    <row r="456" customFormat="false" ht="12.75" hidden="false" customHeight="false" outlineLevel="0" collapsed="false">
      <c r="B456" s="111"/>
      <c r="G456" s="295"/>
      <c r="H456" s="50"/>
      <c r="J456" s="385"/>
    </row>
    <row r="457" customFormat="false" ht="12.75" hidden="false" customHeight="false" outlineLevel="0" collapsed="false">
      <c r="B457" s="111"/>
      <c r="G457" s="295"/>
      <c r="H457" s="50"/>
      <c r="J457" s="385"/>
    </row>
    <row r="458" customFormat="false" ht="12.75" hidden="false" customHeight="false" outlineLevel="0" collapsed="false">
      <c r="B458" s="111"/>
      <c r="G458" s="295"/>
      <c r="H458" s="50"/>
      <c r="J458" s="385"/>
    </row>
    <row r="459" customFormat="false" ht="12.75" hidden="false" customHeight="false" outlineLevel="0" collapsed="false">
      <c r="B459" s="111"/>
      <c r="G459" s="295"/>
      <c r="H459" s="50"/>
      <c r="J459" s="385"/>
    </row>
    <row r="460" customFormat="false" ht="12.75" hidden="false" customHeight="false" outlineLevel="0" collapsed="false">
      <c r="B460" s="111"/>
      <c r="G460" s="295"/>
      <c r="H460" s="50"/>
      <c r="J460" s="385"/>
    </row>
    <row r="461" customFormat="false" ht="12.75" hidden="false" customHeight="false" outlineLevel="0" collapsed="false">
      <c r="B461" s="111"/>
      <c r="G461" s="295"/>
      <c r="H461" s="50"/>
      <c r="J461" s="385"/>
    </row>
    <row r="462" customFormat="false" ht="12.75" hidden="false" customHeight="false" outlineLevel="0" collapsed="false">
      <c r="B462" s="111"/>
      <c r="G462" s="295"/>
      <c r="H462" s="50"/>
      <c r="J462" s="385"/>
    </row>
    <row r="463" customFormat="false" ht="12.75" hidden="false" customHeight="false" outlineLevel="0" collapsed="false">
      <c r="B463" s="111"/>
      <c r="G463" s="295"/>
      <c r="H463" s="50"/>
      <c r="J463" s="385"/>
    </row>
    <row r="464" customFormat="false" ht="12.75" hidden="false" customHeight="false" outlineLevel="0" collapsed="false">
      <c r="B464" s="111"/>
      <c r="G464" s="295"/>
      <c r="H464" s="50"/>
      <c r="J464" s="385"/>
    </row>
    <row r="465" customFormat="false" ht="12.75" hidden="false" customHeight="false" outlineLevel="0" collapsed="false">
      <c r="B465" s="111"/>
      <c r="G465" s="295"/>
      <c r="H465" s="50"/>
      <c r="J465" s="385"/>
    </row>
    <row r="466" customFormat="false" ht="12.75" hidden="false" customHeight="false" outlineLevel="0" collapsed="false">
      <c r="B466" s="111"/>
      <c r="G466" s="295"/>
      <c r="H466" s="50"/>
      <c r="J466" s="385"/>
    </row>
    <row r="467" customFormat="false" ht="12.75" hidden="false" customHeight="false" outlineLevel="0" collapsed="false">
      <c r="B467" s="111"/>
      <c r="G467" s="295"/>
      <c r="H467" s="50"/>
      <c r="J467" s="385"/>
    </row>
    <row r="468" customFormat="false" ht="12.75" hidden="false" customHeight="false" outlineLevel="0" collapsed="false">
      <c r="B468" s="111"/>
      <c r="G468" s="295"/>
      <c r="H468" s="50"/>
      <c r="J468" s="385"/>
    </row>
    <row r="469" customFormat="false" ht="12.75" hidden="false" customHeight="false" outlineLevel="0" collapsed="false">
      <c r="B469" s="111"/>
      <c r="G469" s="295"/>
      <c r="H469" s="50"/>
      <c r="J469" s="385"/>
    </row>
    <row r="470" customFormat="false" ht="12.75" hidden="false" customHeight="false" outlineLevel="0" collapsed="false">
      <c r="B470" s="111"/>
      <c r="G470" s="295"/>
      <c r="H470" s="50"/>
      <c r="J470" s="385"/>
    </row>
    <row r="471" customFormat="false" ht="12.75" hidden="false" customHeight="false" outlineLevel="0" collapsed="false">
      <c r="B471" s="111"/>
      <c r="G471" s="295"/>
      <c r="H471" s="50"/>
      <c r="J471" s="385"/>
    </row>
    <row r="472" customFormat="false" ht="12.75" hidden="false" customHeight="false" outlineLevel="0" collapsed="false">
      <c r="B472" s="111"/>
      <c r="G472" s="295"/>
      <c r="H472" s="50"/>
      <c r="J472" s="385"/>
    </row>
    <row r="473" customFormat="false" ht="12.75" hidden="false" customHeight="false" outlineLevel="0" collapsed="false">
      <c r="B473" s="111"/>
      <c r="G473" s="295"/>
      <c r="H473" s="50"/>
      <c r="J473" s="385"/>
    </row>
    <row r="474" customFormat="false" ht="12.75" hidden="false" customHeight="false" outlineLevel="0" collapsed="false">
      <c r="B474" s="111"/>
      <c r="G474" s="295"/>
      <c r="H474" s="50"/>
      <c r="J474" s="385"/>
    </row>
    <row r="475" customFormat="false" ht="12.75" hidden="false" customHeight="false" outlineLevel="0" collapsed="false">
      <c r="B475" s="111"/>
      <c r="G475" s="295"/>
      <c r="H475" s="50"/>
      <c r="J475" s="385"/>
    </row>
    <row r="476" customFormat="false" ht="12.75" hidden="false" customHeight="false" outlineLevel="0" collapsed="false">
      <c r="B476" s="111"/>
      <c r="G476" s="295"/>
      <c r="H476" s="50"/>
      <c r="J476" s="385"/>
    </row>
    <row r="477" customFormat="false" ht="12.75" hidden="false" customHeight="false" outlineLevel="0" collapsed="false">
      <c r="B477" s="111"/>
      <c r="G477" s="295"/>
      <c r="H477" s="50"/>
      <c r="J477" s="385"/>
    </row>
    <row r="478" customFormat="false" ht="12.75" hidden="false" customHeight="false" outlineLevel="0" collapsed="false">
      <c r="B478" s="111"/>
      <c r="G478" s="295"/>
      <c r="H478" s="50"/>
      <c r="J478" s="385"/>
    </row>
    <row r="479" customFormat="false" ht="12.75" hidden="false" customHeight="false" outlineLevel="0" collapsed="false">
      <c r="B479" s="111"/>
      <c r="G479" s="295"/>
      <c r="H479" s="50"/>
      <c r="J479" s="385"/>
    </row>
    <row r="480" customFormat="false" ht="12.75" hidden="false" customHeight="false" outlineLevel="0" collapsed="false">
      <c r="B480" s="111"/>
      <c r="G480" s="295"/>
      <c r="H480" s="50"/>
      <c r="J480" s="385"/>
    </row>
    <row r="481" customFormat="false" ht="12.75" hidden="false" customHeight="false" outlineLevel="0" collapsed="false">
      <c r="B481" s="111"/>
      <c r="G481" s="295"/>
      <c r="H481" s="50"/>
      <c r="J481" s="385"/>
    </row>
    <row r="482" customFormat="false" ht="12.75" hidden="false" customHeight="false" outlineLevel="0" collapsed="false">
      <c r="B482" s="111"/>
      <c r="G482" s="295"/>
      <c r="H482" s="50"/>
      <c r="J482" s="385"/>
    </row>
    <row r="483" customFormat="false" ht="12.75" hidden="false" customHeight="false" outlineLevel="0" collapsed="false">
      <c r="B483" s="111"/>
      <c r="G483" s="295"/>
      <c r="H483" s="50"/>
      <c r="J483" s="385"/>
    </row>
    <row r="484" customFormat="false" ht="12.75" hidden="false" customHeight="false" outlineLevel="0" collapsed="false">
      <c r="B484" s="111"/>
      <c r="G484" s="295"/>
      <c r="H484" s="50"/>
      <c r="J484" s="385"/>
    </row>
    <row r="485" customFormat="false" ht="12.75" hidden="false" customHeight="false" outlineLevel="0" collapsed="false">
      <c r="B485" s="111"/>
      <c r="G485" s="295"/>
      <c r="H485" s="50"/>
      <c r="J485" s="385"/>
    </row>
    <row r="486" customFormat="false" ht="12.75" hidden="false" customHeight="false" outlineLevel="0" collapsed="false">
      <c r="B486" s="111"/>
      <c r="G486" s="295"/>
      <c r="H486" s="50"/>
      <c r="J486" s="385"/>
    </row>
    <row r="487" customFormat="false" ht="12.75" hidden="false" customHeight="false" outlineLevel="0" collapsed="false">
      <c r="B487" s="111"/>
      <c r="G487" s="295"/>
      <c r="H487" s="50"/>
      <c r="J487" s="385"/>
    </row>
    <row r="488" customFormat="false" ht="12.75" hidden="false" customHeight="false" outlineLevel="0" collapsed="false">
      <c r="B488" s="111"/>
      <c r="G488" s="295"/>
      <c r="H488" s="50"/>
      <c r="J488" s="385"/>
    </row>
    <row r="489" customFormat="false" ht="12.75" hidden="false" customHeight="false" outlineLevel="0" collapsed="false">
      <c r="B489" s="111"/>
      <c r="G489" s="295"/>
      <c r="H489" s="50"/>
      <c r="J489" s="385"/>
    </row>
    <row r="490" customFormat="false" ht="12.75" hidden="false" customHeight="false" outlineLevel="0" collapsed="false">
      <c r="B490" s="111"/>
      <c r="G490" s="295"/>
      <c r="H490" s="50"/>
      <c r="J490" s="385"/>
    </row>
    <row r="491" customFormat="false" ht="12.75" hidden="false" customHeight="false" outlineLevel="0" collapsed="false">
      <c r="B491" s="111"/>
      <c r="G491" s="295"/>
      <c r="H491" s="50"/>
      <c r="J491" s="385"/>
    </row>
    <row r="492" customFormat="false" ht="12.75" hidden="false" customHeight="false" outlineLevel="0" collapsed="false">
      <c r="B492" s="111"/>
      <c r="G492" s="295"/>
      <c r="H492" s="50"/>
      <c r="J492" s="385"/>
    </row>
    <row r="493" customFormat="false" ht="12.75" hidden="false" customHeight="false" outlineLevel="0" collapsed="false">
      <c r="B493" s="111"/>
      <c r="G493" s="295"/>
      <c r="H493" s="50"/>
      <c r="J493" s="385"/>
    </row>
    <row r="494" customFormat="false" ht="12.75" hidden="false" customHeight="false" outlineLevel="0" collapsed="false">
      <c r="B494" s="111"/>
      <c r="G494" s="295"/>
      <c r="H494" s="50"/>
      <c r="J494" s="385"/>
    </row>
    <row r="495" customFormat="false" ht="12.75" hidden="false" customHeight="false" outlineLevel="0" collapsed="false">
      <c r="B495" s="111"/>
      <c r="G495" s="295"/>
      <c r="H495" s="50"/>
      <c r="J495" s="385"/>
    </row>
    <row r="496" customFormat="false" ht="12.75" hidden="false" customHeight="false" outlineLevel="0" collapsed="false">
      <c r="B496" s="111"/>
      <c r="G496" s="295"/>
      <c r="H496" s="50"/>
      <c r="J496" s="385"/>
    </row>
    <row r="497" customFormat="false" ht="12.75" hidden="false" customHeight="false" outlineLevel="0" collapsed="false">
      <c r="B497" s="111"/>
      <c r="G497" s="295"/>
      <c r="H497" s="50"/>
      <c r="J497" s="385"/>
    </row>
    <row r="498" customFormat="false" ht="12.75" hidden="false" customHeight="false" outlineLevel="0" collapsed="false">
      <c r="B498" s="111"/>
      <c r="G498" s="295"/>
      <c r="H498" s="50"/>
      <c r="J498" s="385"/>
    </row>
    <row r="499" customFormat="false" ht="12.75" hidden="false" customHeight="false" outlineLevel="0" collapsed="false">
      <c r="B499" s="111"/>
      <c r="G499" s="295"/>
      <c r="H499" s="50"/>
      <c r="J499" s="385"/>
    </row>
    <row r="500" customFormat="false" ht="12.75" hidden="false" customHeight="false" outlineLevel="0" collapsed="false">
      <c r="B500" s="111"/>
      <c r="G500" s="295"/>
      <c r="H500" s="50"/>
      <c r="J500" s="385"/>
    </row>
    <row r="501" customFormat="false" ht="12.75" hidden="false" customHeight="false" outlineLevel="0" collapsed="false">
      <c r="B501" s="111"/>
      <c r="G501" s="295"/>
      <c r="H501" s="50"/>
      <c r="J501" s="385"/>
    </row>
    <row r="502" customFormat="false" ht="12.75" hidden="false" customHeight="false" outlineLevel="0" collapsed="false">
      <c r="B502" s="111"/>
      <c r="G502" s="295"/>
      <c r="H502" s="50"/>
      <c r="J502" s="385"/>
    </row>
    <row r="503" customFormat="false" ht="12.75" hidden="false" customHeight="false" outlineLevel="0" collapsed="false">
      <c r="B503" s="111"/>
      <c r="G503" s="295"/>
      <c r="H503" s="50"/>
      <c r="J503" s="385"/>
    </row>
    <row r="504" customFormat="false" ht="12.75" hidden="false" customHeight="false" outlineLevel="0" collapsed="false">
      <c r="B504" s="111"/>
      <c r="G504" s="295"/>
      <c r="H504" s="50"/>
      <c r="J504" s="385"/>
    </row>
    <row r="505" customFormat="false" ht="12.75" hidden="false" customHeight="false" outlineLevel="0" collapsed="false">
      <c r="B505" s="111"/>
      <c r="G505" s="295"/>
      <c r="H505" s="50"/>
      <c r="J505" s="385"/>
    </row>
    <row r="506" customFormat="false" ht="12.75" hidden="false" customHeight="false" outlineLevel="0" collapsed="false">
      <c r="B506" s="111"/>
      <c r="G506" s="295"/>
      <c r="H506" s="50"/>
      <c r="J506" s="385"/>
    </row>
    <row r="507" customFormat="false" ht="12.75" hidden="false" customHeight="false" outlineLevel="0" collapsed="false">
      <c r="B507" s="111"/>
      <c r="G507" s="295"/>
      <c r="H507" s="50"/>
      <c r="J507" s="385"/>
    </row>
    <row r="508" customFormat="false" ht="12.75" hidden="false" customHeight="false" outlineLevel="0" collapsed="false">
      <c r="B508" s="111"/>
      <c r="G508" s="295"/>
      <c r="H508" s="50"/>
      <c r="J508" s="385"/>
    </row>
    <row r="509" customFormat="false" ht="12.75" hidden="false" customHeight="false" outlineLevel="0" collapsed="false">
      <c r="B509" s="111"/>
      <c r="G509" s="295"/>
      <c r="H509" s="50"/>
      <c r="J509" s="385"/>
    </row>
    <row r="510" customFormat="false" ht="12.75" hidden="false" customHeight="false" outlineLevel="0" collapsed="false">
      <c r="B510" s="111"/>
      <c r="G510" s="295"/>
      <c r="H510" s="50"/>
      <c r="J510" s="385"/>
    </row>
    <row r="511" customFormat="false" ht="12.75" hidden="false" customHeight="false" outlineLevel="0" collapsed="false">
      <c r="B511" s="111"/>
      <c r="G511" s="295"/>
      <c r="H511" s="50"/>
      <c r="J511" s="385"/>
    </row>
    <row r="512" customFormat="false" ht="12.75" hidden="false" customHeight="false" outlineLevel="0" collapsed="false">
      <c r="B512" s="111"/>
      <c r="G512" s="295"/>
      <c r="H512" s="50"/>
      <c r="J512" s="385"/>
    </row>
    <row r="513" customFormat="false" ht="12.75" hidden="false" customHeight="false" outlineLevel="0" collapsed="false">
      <c r="B513" s="111"/>
      <c r="G513" s="295"/>
      <c r="H513" s="50"/>
      <c r="J513" s="385"/>
    </row>
    <row r="514" customFormat="false" ht="12.75" hidden="false" customHeight="false" outlineLevel="0" collapsed="false">
      <c r="B514" s="111"/>
      <c r="G514" s="295"/>
      <c r="H514" s="50"/>
      <c r="J514" s="385"/>
    </row>
    <row r="515" customFormat="false" ht="12.75" hidden="false" customHeight="false" outlineLevel="0" collapsed="false">
      <c r="B515" s="111"/>
      <c r="G515" s="295"/>
      <c r="H515" s="50"/>
      <c r="J515" s="385"/>
    </row>
    <row r="516" customFormat="false" ht="12.75" hidden="false" customHeight="false" outlineLevel="0" collapsed="false">
      <c r="B516" s="111"/>
      <c r="G516" s="295"/>
      <c r="H516" s="50"/>
      <c r="J516" s="385"/>
    </row>
    <row r="517" customFormat="false" ht="12.75" hidden="false" customHeight="false" outlineLevel="0" collapsed="false">
      <c r="B517" s="111"/>
      <c r="G517" s="295"/>
      <c r="H517" s="50"/>
      <c r="J517" s="385"/>
    </row>
    <row r="518" customFormat="false" ht="12.75" hidden="false" customHeight="false" outlineLevel="0" collapsed="false">
      <c r="B518" s="111"/>
      <c r="G518" s="295"/>
      <c r="H518" s="50"/>
      <c r="J518" s="385"/>
    </row>
    <row r="519" customFormat="false" ht="12.75" hidden="false" customHeight="false" outlineLevel="0" collapsed="false">
      <c r="B519" s="111"/>
      <c r="G519" s="295"/>
      <c r="H519" s="50"/>
      <c r="J519" s="385"/>
    </row>
    <row r="520" customFormat="false" ht="12.75" hidden="false" customHeight="false" outlineLevel="0" collapsed="false">
      <c r="B520" s="111"/>
      <c r="G520" s="295"/>
      <c r="H520" s="50"/>
      <c r="J520" s="385"/>
    </row>
    <row r="521" customFormat="false" ht="12.75" hidden="false" customHeight="false" outlineLevel="0" collapsed="false">
      <c r="B521" s="111"/>
      <c r="G521" s="295"/>
      <c r="H521" s="50"/>
      <c r="J521" s="385"/>
    </row>
    <row r="522" customFormat="false" ht="12.75" hidden="false" customHeight="false" outlineLevel="0" collapsed="false">
      <c r="B522" s="111"/>
      <c r="G522" s="295"/>
      <c r="H522" s="50"/>
      <c r="J522" s="385"/>
    </row>
    <row r="523" customFormat="false" ht="12.75" hidden="false" customHeight="false" outlineLevel="0" collapsed="false">
      <c r="B523" s="111"/>
      <c r="G523" s="295"/>
      <c r="H523" s="50"/>
      <c r="J523" s="385"/>
    </row>
    <row r="524" customFormat="false" ht="12.75" hidden="false" customHeight="false" outlineLevel="0" collapsed="false">
      <c r="B524" s="111"/>
      <c r="G524" s="295"/>
      <c r="H524" s="50"/>
      <c r="J524" s="385"/>
    </row>
    <row r="525" customFormat="false" ht="12.75" hidden="false" customHeight="false" outlineLevel="0" collapsed="false">
      <c r="B525" s="111"/>
      <c r="G525" s="295"/>
      <c r="H525" s="50"/>
      <c r="J525" s="385"/>
    </row>
    <row r="526" customFormat="false" ht="12.75" hidden="false" customHeight="false" outlineLevel="0" collapsed="false">
      <c r="B526" s="111"/>
      <c r="G526" s="295"/>
      <c r="H526" s="50"/>
      <c r="J526" s="385"/>
    </row>
    <row r="527" customFormat="false" ht="12.75" hidden="false" customHeight="false" outlineLevel="0" collapsed="false">
      <c r="B527" s="111"/>
      <c r="G527" s="295"/>
      <c r="H527" s="50"/>
      <c r="J527" s="385"/>
    </row>
    <row r="528" customFormat="false" ht="12.75" hidden="false" customHeight="false" outlineLevel="0" collapsed="false">
      <c r="B528" s="111"/>
      <c r="G528" s="295"/>
      <c r="H528" s="50"/>
      <c r="J528" s="385"/>
    </row>
    <row r="529" customFormat="false" ht="12.75" hidden="false" customHeight="false" outlineLevel="0" collapsed="false">
      <c r="B529" s="111"/>
      <c r="G529" s="295"/>
      <c r="H529" s="50"/>
      <c r="J529" s="385"/>
    </row>
    <row r="530" customFormat="false" ht="12.75" hidden="false" customHeight="false" outlineLevel="0" collapsed="false">
      <c r="B530" s="111"/>
      <c r="G530" s="295"/>
      <c r="H530" s="50"/>
      <c r="J530" s="385"/>
    </row>
    <row r="531" customFormat="false" ht="12.75" hidden="false" customHeight="false" outlineLevel="0" collapsed="false">
      <c r="B531" s="111"/>
      <c r="G531" s="295"/>
      <c r="H531" s="50"/>
      <c r="J531" s="385"/>
    </row>
    <row r="532" customFormat="false" ht="12.75" hidden="false" customHeight="false" outlineLevel="0" collapsed="false">
      <c r="B532" s="111"/>
      <c r="G532" s="295"/>
      <c r="H532" s="50"/>
      <c r="J532" s="385"/>
    </row>
    <row r="533" customFormat="false" ht="12.75" hidden="false" customHeight="false" outlineLevel="0" collapsed="false">
      <c r="B533" s="111"/>
      <c r="G533" s="295"/>
      <c r="H533" s="50"/>
      <c r="J533" s="385"/>
    </row>
    <row r="534" customFormat="false" ht="12.75" hidden="false" customHeight="false" outlineLevel="0" collapsed="false">
      <c r="B534" s="111"/>
      <c r="G534" s="295"/>
      <c r="H534" s="50"/>
      <c r="J534" s="385"/>
    </row>
  </sheetData>
  <printOptions headings="false" gridLines="false" gridLinesSet="true" horizontalCentered="true" verticalCentered="false"/>
  <pageMargins left="0.2" right="0.2" top="0.629861111111111" bottom="0.310416666666667" header="0.25" footer="0.220138888888889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Revenue Allocation Workpapers for the 3¢ Surcharge
Test Year 2001 Sales and Revenue</oddHeader>
    <oddFooter>&amp;L&amp;D
&amp;T&amp;R&amp;F
&amp;A</oddFooter>
  </headerFooter>
  <rowBreaks count="2" manualBreakCount="2">
    <brk id="55" man="true" max="16383" min="0"/>
    <brk id="115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2000-12-06T20:11:37Z</dcterms:created>
  <dc:creator>Kristen Schultz</dc:creator>
  <dc:description/>
  <dc:language>en-US</dc:language>
  <cp:lastModifiedBy>RTP1</cp:lastModifiedBy>
  <cp:lastPrinted>2001-04-12T13:38:10Z</cp:lastPrinted>
  <dcterms:modified xsi:type="dcterms:W3CDTF">2001-04-13T21:32:58Z</dcterms:modified>
  <cp:revision>0</cp:revision>
  <dc:subject/>
  <dc:title/>
</cp:coreProperties>
</file>