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_rels/sheet12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15.xml.rels" ContentType="application/vnd.openxmlformats-package.relationships+xml"/>
  <Override PartName="/xl/worksheets/_rels/sheet21.xml.rels" ContentType="application/vnd.openxmlformats-package.relationships+xml"/>
  <Override PartName="/xl/worksheets/_rels/sheet19.xml.rels" ContentType="application/vnd.openxmlformats-package.relationships+xml"/>
  <Override PartName="/xl/worksheets/_rels/sheet20.xml.rels" ContentType="application/vnd.openxmlformats-package.relationships+xml"/>
  <Override PartName="/xl/worksheets/_rels/sheet18.xml.rels" ContentType="application/vnd.openxmlformats-package.relationships+xml"/>
  <Override PartName="/xl/worksheets/_rels/sheet17.xml.rels" ContentType="application/vnd.openxmlformats-package.relationship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harts/_rels/chart22.xml.rels" ContentType="application/vnd.openxmlformats-package.relationships+xml"/>
  <Override PartName="/xl/charts/_rels/chart10.xml.rels" ContentType="application/vnd.openxmlformats-package.relationships+xml"/>
  <Override PartName="/xl/charts/_rels/chart15.xml.rels" ContentType="application/vnd.openxmlformats-package.relationships+xml"/>
  <Override PartName="/xl/charts/_rels/chart3.xml.rels" ContentType="application/vnd.openxmlformats-package.relationships+xml"/>
  <Override PartName="/xl/charts/_rels/chart36.xml.rels" ContentType="application/vnd.openxmlformats-package.relationships+xml"/>
  <Override PartName="/xl/charts/_rels/chart4.xml.rels" ContentType="application/vnd.openxmlformats-package.relationships+xml"/>
  <Override PartName="/xl/charts/_rels/chart5.xml.rels" ContentType="application/vnd.openxmlformats-package.relationships+xml"/>
  <Override PartName="/xl/charts/_rels/chart31.xml.rels" ContentType="application/vnd.openxmlformats-package.relationships+xml"/>
  <Override PartName="/xl/charts/_rels/chart9.xml.rels" ContentType="application/vnd.openxmlformats-package.relationships+xml"/>
  <Override PartName="/xl/charts/_rels/chart1.xml.rels" ContentType="application/vnd.openxmlformats-package.relationships+xml"/>
  <Override PartName="/xl/charts/chart56.xml" ContentType="application/vnd.openxmlformats-officedocument.drawingml.chart+xml"/>
  <Override PartName="/xl/charts/chart55.xml" ContentType="application/vnd.openxmlformats-officedocument.drawingml.chart+xml"/>
  <Override PartName="/xl/charts/chart54.xml" ContentType="application/vnd.openxmlformats-officedocument.drawingml.chart+xml"/>
  <Override PartName="/xl/charts/chart53.xml" ContentType="application/vnd.openxmlformats-officedocument.drawingml.chart+xml"/>
  <Override PartName="/xl/charts/chart52.xml" ContentType="application/vnd.openxmlformats-officedocument.drawingml.chart+xml"/>
  <Override PartName="/xl/charts/chart51.xml" ContentType="application/vnd.openxmlformats-officedocument.drawingml.chart+xml"/>
  <Override PartName="/xl/charts/chart50.xml" ContentType="application/vnd.openxmlformats-officedocument.drawingml.chart+xml"/>
  <Override PartName="/xl/charts/chart46.xml" ContentType="application/vnd.openxmlformats-officedocument.drawingml.chart+xml"/>
  <Override PartName="/xl/charts/chart3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60.xml" ContentType="application/vnd.openxmlformats-officedocument.drawingml.chart+xml"/>
  <Override PartName="/xl/charts/chart20.xml" ContentType="application/vnd.openxmlformats-officedocument.drawingml.chart+xml"/>
  <Override PartName="/xl/charts/chart57.xml" ContentType="application/vnd.openxmlformats-officedocument.drawingml.chart+xml"/>
  <Override PartName="/xl/charts/chart19.xml" ContentType="application/vnd.openxmlformats-officedocument.drawingml.chart+xml"/>
  <Override PartName="/xl/charts/chart61.xml" ContentType="application/vnd.openxmlformats-officedocument.drawingml.chart+xml"/>
  <Override PartName="/xl/charts/chart21.xml" ContentType="application/vnd.openxmlformats-officedocument.drawingml.chart+xml"/>
  <Override PartName="/xl/charts/chart58.xml" ContentType="application/vnd.openxmlformats-officedocument.drawingml.chart+xml"/>
  <Override PartName="/xl/charts/chart22.xml" ContentType="application/vnd.openxmlformats-officedocument.drawingml.chart+xml"/>
  <Override PartName="/xl/charts/chart59.xml" ContentType="application/vnd.openxmlformats-officedocument.drawingml.chart+xml"/>
  <Override PartName="/xl/charts/chart67.xml" ContentType="application/vnd.openxmlformats-officedocument.drawingml.chart+xml"/>
  <Override PartName="/xl/charts/chart30.xml" ContentType="application/vnd.openxmlformats-officedocument.drawingml.chart+xml"/>
  <Override PartName="/xl/charts/chart66.xml" ContentType="application/vnd.openxmlformats-officedocument.drawingml.chart+xml"/>
  <Override PartName="/xl/charts/chart29.xml" ContentType="application/vnd.openxmlformats-officedocument.drawingml.chart+xml"/>
  <Override PartName="/xl/charts/chart65.xml" ContentType="application/vnd.openxmlformats-officedocument.drawingml.chart+xml"/>
  <Override PartName="/xl/charts/chart28.xml" ContentType="application/vnd.openxmlformats-officedocument.drawingml.chart+xml"/>
  <Override PartName="/xl/charts/chart64.xml" ContentType="application/vnd.openxmlformats-officedocument.drawingml.chart+xml"/>
  <Override PartName="/xl/charts/chart27.xml" ContentType="application/vnd.openxmlformats-officedocument.drawingml.chart+xml"/>
  <Override PartName="/xl/charts/chart24.xml" ContentType="application/vnd.openxmlformats-officedocument.drawingml.chart+xml"/>
  <Override PartName="/xl/charts/chart63.xml" ContentType="application/vnd.openxmlformats-officedocument.drawingml.chart+xml"/>
  <Override PartName="/xl/charts/chart26.xml" ContentType="application/vnd.openxmlformats-officedocument.drawingml.chart+xml"/>
  <Override PartName="/xl/charts/chart23.xml" ContentType="application/vnd.openxmlformats-officedocument.drawingml.chart+xml"/>
  <Override PartName="/xl/charts/chart62.xml" ContentType="application/vnd.openxmlformats-officedocument.drawingml.chart+xml"/>
  <Override PartName="/xl/charts/chart25.xml" ContentType="application/vnd.openxmlformats-officedocument.drawingml.chart+xml"/>
  <Override PartName="/xl/charts/chart36.xml" ContentType="application/vnd.openxmlformats-officedocument.drawingml.chart+xml"/>
  <Override PartName="/xl/charts/chart4.xml" ContentType="application/vnd.openxmlformats-officedocument.drawingml.chart+xml"/>
  <Override PartName="/xl/charts/chart37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47.xml" ContentType="application/vnd.openxmlformats-officedocument.drawingml.chart+xml"/>
  <Override PartName="/xl/charts/chart38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48.xml" ContentType="application/vnd.openxmlformats-officedocument.drawingml.chart+xml"/>
  <Override PartName="/xl/charts/chart39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49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1.xml" ContentType="application/vnd.openxmlformats-officedocument.drawingml.chart+xml"/>
  <Override PartName="/xl/charts/chart33.xml" ContentType="application/vnd.openxmlformats-officedocument.drawingml.chart+xml"/>
  <Override PartName="/xl/charts/chart2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9.xml" ContentType="application/vnd.openxmlformats-officedocument.drawingml.chartshapes+xml"/>
  <Override PartName="/xl/drawings/drawing18.xml" ContentType="application/vnd.openxmlformats-officedocument.drawing+xml"/>
  <Override PartName="/xl/drawings/drawing20.xml" ContentType="application/vnd.openxmlformats-officedocument.drawingml.chartshapes+xml"/>
  <Override PartName="/xl/drawings/_rels/drawing1.xml.rels" ContentType="application/vnd.openxmlformats-package.relationships+xml"/>
  <Override PartName="/xl/drawings/_rels/drawing26.xml.rels" ContentType="application/vnd.openxmlformats-package.relationships+xml"/>
  <Override PartName="/xl/drawings/_rels/drawing19.xml.rels" ContentType="application/vnd.openxmlformats-package.relationships+xml"/>
  <Override PartName="/xl/drawings/_rels/drawing21.xml.rels" ContentType="application/vnd.openxmlformats-package.relationships+xml"/>
  <Override PartName="/xl/drawings/_rels/drawing18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24.xml.rels" ContentType="application/vnd.openxmlformats-package.relationships+xml"/>
  <Override PartName="/xl/drawings/_rels/drawing16.xml.rels" ContentType="application/vnd.openxmlformats-package.relationships+xml"/>
  <Override PartName="/xl/drawings/_rels/drawing27.xml.rels" ContentType="application/vnd.openxmlformats-package.relationships+xml"/>
  <Override PartName="/xl/drawings/_rels/drawing15.xml.rels" ContentType="application/vnd.openxmlformats-package.relationships+xml"/>
  <Override PartName="/xl/drawings/_rels/drawing25.xml.rels" ContentType="application/vnd.openxmlformats-package.relationships+xml"/>
  <Override PartName="/xl/drawings/_rels/drawing13.xml.rels" ContentType="application/vnd.openxmlformats-package.relationships+xml"/>
  <Override PartName="/xl/drawings/_rels/drawing23.xml.rels" ContentType="application/vnd.openxmlformats-package.relationships+xml"/>
  <Override PartName="/xl/drawings/_rels/drawing22.xml.rels" ContentType="application/vnd.openxmlformats-package.relationships+xml"/>
  <Override PartName="/xl/drawings/_rels/drawing5.xml.rels" ContentType="application/vnd.openxmlformats-package.relationships+xml"/>
  <Override PartName="/xl/drawings/_rels/drawing10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ml.chartshapes+xml"/>
  <Override PartName="/xl/drawings/drawing8.xml" ContentType="application/vnd.openxmlformats-officedocument.drawingml.chartshapes+xml"/>
  <Override PartName="/xl/drawings/drawing17.xml" ContentType="application/vnd.openxmlformats-officedocument.drawingml.chartshapes+xml"/>
  <Override PartName="/xl/drawings/drawing11.xml" ContentType="application/vnd.openxmlformats-officedocument.drawingml.chartshapes+xml"/>
  <Override PartName="/xl/drawings/drawing2.xml" ContentType="application/vnd.openxmlformats-officedocument.drawingml.chartshapes+xml"/>
  <Override PartName="/xl/drawings/vmlDrawing1.vml" ContentType="application/vnd.openxmlformats-officedocument.vmlDrawing"/>
  <Override PartName="/xl/drawings/drawing7.xml" ContentType="application/vnd.openxmlformats-officedocument.drawing+xml"/>
  <Override PartName="/xl/drawings/drawing1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27.xml" ContentType="application/vnd.openxmlformats-officedocument.drawing+xml"/>
  <Override PartName="/xl/drawings/drawing6.xml" ContentType="application/vnd.openxmlformats-officedocument.drawingml.chartshapes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23.xml" ContentType="application/vnd.openxmlformats-officedocument.drawing+xml"/>
  <Override PartName="/xl/drawings/drawing22.xml" ContentType="application/vnd.openxmlformats-officedocument.drawing+xml"/>
  <Override PartName="/xl/drawings/drawing14.xml" ContentType="application/vnd.openxmlformats-officedocument.drawingml.chartshapes+xml"/>
  <Override PartName="/xl/drawings/drawing5.xml" ContentType="application/vnd.openxmlformats-officedocument.drawing+xml"/>
  <Override PartName="/xl/drawings/drawing21.xml" ContentType="application/vnd.openxmlformats-officedocument.drawing+xml"/>
  <Override PartName="/xl/drawings/drawing19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ml.chartshap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4" activeTab="4"/>
  </bookViews>
  <sheets>
    <sheet name="IS Input" sheetId="1" state="hidden" r:id="rId3"/>
    <sheet name="volumes Input" sheetId="2" state="hidden" r:id="rId4"/>
    <sheet name="Funds Flow-Cap Employed" sheetId="3" state="hidden" r:id="rId5"/>
    <sheet name="Cash Flow by Team" sheetId="4" state="hidden" r:id="rId6"/>
    <sheet name="EGM Summary" sheetId="5" state="visible" r:id="rId7"/>
    <sheet name="EGM Summary (2)" sheetId="6" state="visible" r:id="rId8"/>
    <sheet name="Crude &amp; Products" sheetId="7" state="visible" r:id="rId9"/>
    <sheet name="Crude &amp; Products volumes " sheetId="8" state="visible" r:id="rId10"/>
    <sheet name="Coal" sheetId="9" state="visible" r:id="rId11"/>
    <sheet name="Emissions" sheetId="10" state="hidden" r:id="rId12"/>
    <sheet name="Coal volumes" sheetId="11" state="visible" r:id="rId13"/>
    <sheet name="Weather" sheetId="12" state="visible" r:id="rId14"/>
    <sheet name="Weather volumes" sheetId="13" state="visible" r:id="rId15"/>
    <sheet name="Insurance Risk Mkts" sheetId="14" state="visible" r:id="rId16"/>
    <sheet name="Financial Trading" sheetId="15" state="visible" r:id="rId17"/>
    <sheet name="PR" sheetId="16" state="hidden" r:id="rId18"/>
    <sheet name="Freight" sheetId="17" state="visible" r:id="rId19"/>
    <sheet name="Freight volumes" sheetId="18" state="visible" r:id="rId20"/>
    <sheet name="LNG" sheetId="19" state="visible" r:id="rId21"/>
    <sheet name="Japan" sheetId="20" state="visible" r:id="rId22"/>
    <sheet name="Middle East" sheetId="21" state="hidden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function="false" hidden="false" localSheetId="3" name="_xlnm.Print_Area" vbProcedure="false">'Cash Flow by Team'!$A$1:$P$104</definedName>
    <definedName function="false" hidden="false" localSheetId="8" name="_xlnm.Print_Area" vbProcedure="false">Coal!$A$1:$O$43</definedName>
    <definedName function="false" hidden="false" localSheetId="10" name="_xlnm.Print_Area" vbProcedure="false">'Coal volumes'!$A$1:$O$42</definedName>
    <definedName function="false" hidden="false" localSheetId="6" name="_xlnm.Print_Area" vbProcedure="false">'Crude &amp; Products'!$A$1:$O$43</definedName>
    <definedName function="false" hidden="false" localSheetId="7" name="_xlnm.Print_Area" vbProcedure="false">'Crude &amp; Products volumes '!$A$1:$O$43</definedName>
    <definedName function="false" hidden="false" localSheetId="4" name="_xlnm.Print_Area" vbProcedure="false">'EGM Summary'!$A$1:$O$42</definedName>
    <definedName function="false" hidden="false" localSheetId="5" name="_xlnm.Print_Area" vbProcedure="false">'EGM Summary (2)'!$A$1:$O$42</definedName>
    <definedName function="false" hidden="false" localSheetId="14" name="_xlnm.Print_Area" vbProcedure="false">'Financial Trading'!$A$1:$O$43</definedName>
    <definedName function="false" hidden="false" localSheetId="16" name="_xlnm.Print_Area" vbProcedure="false">Freight!$A$1:$O$43</definedName>
    <definedName function="false" hidden="false" localSheetId="17" name="_xlnm.Print_Area" vbProcedure="false">'Freight volumes'!$A$1:$O$43</definedName>
    <definedName function="false" hidden="false" localSheetId="2" name="_xlnm.Print_Area" vbProcedure="false">'Funds Flow-Cap Employed'!$A$1:$P$65</definedName>
    <definedName function="false" hidden="false" localSheetId="13" name="_xlnm.Print_Area" vbProcedure="false">'Insurance Risk Mkts'!$A$1:$O$43</definedName>
    <definedName function="false" hidden="false" localSheetId="0" name="_xlnm.Print_Area" vbProcedure="false">'IS Input'!$AK$16:$AV$31</definedName>
    <definedName function="false" hidden="false" localSheetId="19" name="_xlnm.Print_Area" vbProcedure="false">Japan!$A$1:$O$44</definedName>
    <definedName function="false" hidden="false" localSheetId="18" name="_xlnm.Print_Area" vbProcedure="false">LNG!$A$1:$O$43</definedName>
    <definedName function="false" hidden="false" localSheetId="1" name="_xlnm.Print_Area" vbProcedure="false">'volumes Input'!$AK$9:$AX$15</definedName>
    <definedName function="false" hidden="false" localSheetId="1" name="_xlnm.Print_Titles" vbProcedure="false">'volumes Input'!$A:$A</definedName>
    <definedName function="false" hidden="false" localSheetId="11" name="_xlnm.Print_Area" vbProcedure="false">Weather!$A$1:$O$43</definedName>
    <definedName function="false" hidden="false" localSheetId="12" name="_xlnm.Print_Area" vbProcedure="false">'Weather volumes'!$A$1:$O$42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agreen3:
</t>
        </r>
        <r>
          <rPr>
            <sz val="8"/>
            <color rgb="FF000000"/>
            <rFont val="Tahoma"/>
            <family val="0"/>
          </rPr>
          <t xml:space="preserve">credit reserve total (51.1) - show (45) on Crude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14</xdr:row>
                <xdr:rowOff>10</xdr:rowOff>
              </xdr:from>
              <xdr:to>
                <xdr:col>17</xdr:col>
                <xdr:colOff>72</xdr:colOff>
                <xdr:row>18</xdr:row>
                <xdr:rowOff>9</xdr:rowOff>
              </xdr:to>
            </anchor>
          </commentPr>
        </mc:Choice>
        <mc:Fallback/>
      </mc:AlternateContent>
    </comment>
    <comment ref="P26" authorId="0">
      <text>
        <r>
          <rPr>
            <b val="true"/>
            <sz val="8"/>
            <color rgb="FF000000"/>
            <rFont val="Tahoma"/>
            <family val="0"/>
          </rPr>
          <t xml:space="preserve">agreen3:
</t>
        </r>
        <r>
          <rPr>
            <sz val="8"/>
            <color rgb="FF000000"/>
            <rFont val="Tahoma"/>
            <family val="0"/>
          </rPr>
          <t xml:space="preserve">credit reserve of (51.1) - show (45) on Crude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24</xdr:row>
                <xdr:rowOff>8</xdr:rowOff>
              </xdr:from>
              <xdr:to>
                <xdr:col>17</xdr:col>
                <xdr:colOff>72</xdr:colOff>
                <xdr:row>28</xdr:row>
                <xdr:rowOff>11</xdr:rowOff>
              </xdr:to>
            </anchor>
          </commentPr>
        </mc:Choice>
        <mc:Fallback/>
      </mc:AlternateContent>
    </comment>
    <comment ref="AK12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Office of the Chairman, Group and Finance &amp; Structuring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16</xdr:colOff>
                <xdr:row>10</xdr:row>
                <xdr:rowOff>9</xdr:rowOff>
              </xdr:from>
              <xdr:to>
                <xdr:col>39</xdr:col>
                <xdr:colOff>0</xdr:colOff>
                <xdr:row>14</xdr:row>
                <xdr:rowOff>1</xdr:rowOff>
              </xdr:to>
            </anchor>
          </commentPr>
        </mc:Choice>
        <mc:Fallback/>
      </mc:AlternateContent>
    </comment>
    <comment ref="AK30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Office of the Chairman, Group and Finance &amp; Structuring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24</xdr:colOff>
                <xdr:row>28</xdr:row>
                <xdr:rowOff>3</xdr:rowOff>
              </xdr:from>
              <xdr:to>
                <xdr:col>37</xdr:col>
                <xdr:colOff>-77</xdr:colOff>
                <xdr:row>31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<sst xmlns="http://schemas.openxmlformats.org/spreadsheetml/2006/main" count="896" uniqueCount="110">
  <si>
    <t xml:space="preserve">1Q</t>
  </si>
  <si>
    <t xml:space="preserve">2Q</t>
  </si>
  <si>
    <t xml:space="preserve">3Q</t>
  </si>
  <si>
    <t xml:space="preserve">4Q</t>
  </si>
  <si>
    <t xml:space="preserve">YTD</t>
  </si>
  <si>
    <t xml:space="preserve">Headcount</t>
  </si>
  <si>
    <t xml:space="preserve">Gr Margin</t>
  </si>
  <si>
    <t xml:space="preserve">Dir Exp</t>
  </si>
  <si>
    <t xml:space="preserve">Actual EBIT</t>
  </si>
  <si>
    <t xml:space="preserve">Plan EBIT</t>
  </si>
  <si>
    <t xml:space="preserve">Exp</t>
  </si>
  <si>
    <t xml:space="preserve">Actual</t>
  </si>
  <si>
    <t xml:space="preserve">Plan</t>
  </si>
  <si>
    <t xml:space="preserve">Crude &amp; Products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</si>
  <si>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</si>
  <si>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</si>
  <si>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</si>
  <si>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</si>
  <si>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</si>
  <si>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</si>
  <si>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</si>
  <si>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</si>
  <si>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</si>
  <si>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</si>
  <si>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</si>
  <si>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</si>
  <si>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Coal / Emissions</t>
  </si>
  <si>
    <t xml:space="preserve">Weather</t>
  </si>
  <si>
    <t xml:space="preserve">Coal/Emissions</t>
  </si>
  <si>
    <t xml:space="preserve">Risk Markets</t>
  </si>
  <si>
    <t xml:space="preserve">Fin Trading</t>
  </si>
  <si>
    <t xml:space="preserve">Global Risk Markets</t>
  </si>
  <si>
    <t xml:space="preserve">Freight</t>
  </si>
  <si>
    <t xml:space="preserve">Financial Trading</t>
  </si>
  <si>
    <t xml:space="preserve">LNG / Puerto Rico</t>
  </si>
  <si>
    <t xml:space="preserve">Japan</t>
  </si>
  <si>
    <t xml:space="preserve">LNG/Middle East/Puerto Rico</t>
  </si>
  <si>
    <t xml:space="preserve">Finance / Chair / ME / Other /Drift</t>
  </si>
  <si>
    <t xml:space="preserve">Finance/Office of Chair/Drift</t>
  </si>
  <si>
    <t xml:space="preserve">Total</t>
  </si>
  <si>
    <t xml:space="preserve">Other</t>
  </si>
  <si>
    <t xml:space="preserve">Total Monthly Headcount</t>
  </si>
  <si>
    <t xml:space="preserve">Coal</t>
  </si>
  <si>
    <t xml:space="preserve">Emissions</t>
  </si>
  <si>
    <t xml:space="preserve">LNG</t>
  </si>
  <si>
    <t xml:space="preserve">Puerto Rico</t>
  </si>
  <si>
    <t xml:space="preserve">Middle East</t>
  </si>
  <si>
    <t xml:space="preserve">ACTUALS</t>
  </si>
  <si>
    <t xml:space="preserve">PLAN</t>
  </si>
  <si>
    <t xml:space="preserve">GROSS MARGIN</t>
  </si>
  <si>
    <t xml:space="preserve">2Q YTD</t>
  </si>
  <si>
    <t xml:space="preserve">3Q YTD</t>
  </si>
  <si>
    <t xml:space="preserve">4Q YTD </t>
  </si>
  <si>
    <t xml:space="preserve">Headcount Forecast</t>
  </si>
  <si>
    <t xml:space="preserve">  </t>
  </si>
  <si>
    <t xml:space="preserve">Finance / Office of Chair</t>
  </si>
  <si>
    <t xml:space="preserve">Total Gross Margin</t>
  </si>
  <si>
    <t xml:space="preserve">EARNINGS BEFORE TAX</t>
  </si>
  <si>
    <t xml:space="preserve">Total Earnings before Tax</t>
  </si>
  <si>
    <t xml:space="preserve">2000 act</t>
  </si>
  <si>
    <t xml:space="preserve">2000 GROSS MARGIN</t>
  </si>
  <si>
    <t xml:space="preserve">DIRECT EXPENSES</t>
  </si>
  <si>
    <r>
      <rPr>
        <b val="true"/>
        <u val="single"/>
        <sz val="10"/>
        <rFont val="Tahoma"/>
        <family val="2"/>
      </rPr>
      <t xml:space="preserve">EBIT</t>
    </r>
    <r>
      <rPr>
        <u val="single"/>
        <sz val="10"/>
        <rFont val="Tahoma"/>
        <family val="2"/>
      </rPr>
      <t xml:space="preserve"> (GM less Direct Exp)</t>
    </r>
  </si>
  <si>
    <t xml:space="preserve">Phy Volume</t>
  </si>
  <si>
    <t xml:space="preserve">Fin Volume</t>
  </si>
  <si>
    <t xml:space="preserve">Deal Count</t>
  </si>
  <si>
    <t xml:space="preserve">EOL Count</t>
  </si>
  <si>
    <t xml:space="preserve"> </t>
  </si>
  <si>
    <t xml:space="preserve">Sep</t>
  </si>
  <si>
    <t xml:space="preserve">ENRON GLOBAL MARKETS</t>
  </si>
  <si>
    <t xml:space="preserve">FUNDS FLOW AND CAPITAL EMPLOYED/ROIC DATA</t>
  </si>
  <si>
    <t xml:space="preserve">MONTHLY 2001</t>
  </si>
  <si>
    <t xml:space="preserve">Actual Data </t>
  </si>
  <si>
    <t xml:space="preserve">(Millions of Dollars)</t>
  </si>
  <si>
    <t xml:space="preserve">Funds Flow</t>
  </si>
  <si>
    <t xml:space="preserve">Actual - Monthly</t>
  </si>
  <si>
    <t xml:space="preserve">Actual - Cumulative</t>
  </si>
  <si>
    <t xml:space="preserve">Plan - Monthly</t>
  </si>
  <si>
    <t xml:space="preserve">Plan - Cumulative</t>
  </si>
  <si>
    <t xml:space="preserve">Capital Employed/ROIC</t>
  </si>
  <si>
    <t xml:space="preserve">Net Income Before Capital Charge - YTD</t>
  </si>
  <si>
    <t xml:space="preserve">Annualized Net Income - Before Capital Charge</t>
  </si>
  <si>
    <t xml:space="preserve">Net Income - YTD</t>
  </si>
  <si>
    <t xml:space="preserve">Annualized Net Income</t>
  </si>
  <si>
    <t xml:space="preserve">Net Income Before Interest - YTD</t>
  </si>
  <si>
    <t xml:space="preserve">Annualized Net Income Before Interest</t>
  </si>
  <si>
    <t xml:space="preserve">Capital Employed As Reported in B/S Package</t>
  </si>
  <si>
    <t xml:space="preserve">Debt</t>
  </si>
  <si>
    <t xml:space="preserve">Equity</t>
  </si>
  <si>
    <t xml:space="preserve">Average Capital Employed</t>
  </si>
  <si>
    <t xml:space="preserve">Average Equity</t>
  </si>
  <si>
    <t xml:space="preserve">Capital Employed w/ Corp Adjustment- YTD Balance</t>
  </si>
  <si>
    <t xml:space="preserve">Average Capital Employed - Corp Credit For Prepay</t>
  </si>
  <si>
    <t xml:space="preserve">ROIC %</t>
  </si>
  <si>
    <t xml:space="preserve">ROIC % Used for Graph</t>
  </si>
  <si>
    <t xml:space="preserve">ROE %</t>
  </si>
  <si>
    <t xml:space="preserve">ROE % Used For Graph</t>
  </si>
  <si>
    <t xml:space="preserve">Net Cash Flow</t>
  </si>
  <si>
    <t xml:space="preserve">Sum of Coal &amp; Emissions</t>
  </si>
  <si>
    <t xml:space="preserve">Coal Domestic</t>
  </si>
  <si>
    <t xml:space="preserve">Coal Int'l (includes Vessel)</t>
  </si>
  <si>
    <t xml:space="preserve">Insurance Risk Markets</t>
  </si>
  <si>
    <t xml:space="preserve">Enron Global Markets</t>
  </si>
  <si>
    <t xml:space="preserve">as of November 23, 2001</t>
  </si>
  <si>
    <t xml:space="preserve">($ millions)</t>
  </si>
  <si>
    <t xml:space="preserve">Confidential</t>
  </si>
  <si>
    <t xml:space="preserve">Coal / Vessel</t>
  </si>
  <si>
    <t xml:space="preserve">as of April 27, 2001</t>
  </si>
  <si>
    <t xml:space="preserve">as of July 6, 2001</t>
  </si>
  <si>
    <t xml:space="preserve">as of April 12, 2001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</si>
</sst>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_(* #,##0.0_);_(* \(#,##0.0\);_(* \-??_);_(@_)"/>
    <numFmt numFmtId="167" formatCode="[$-409]mmm\-yy"/>
    <numFmt numFmtId="168" formatCode="0.0"/>
    <numFmt numFmtId="169" formatCode="_(* #,##0_);_(* \(#,##0\);_(* \-??_);_(@_)"/>
    <numFmt numFmtId="170" formatCode="mm/dd/yy_)"/>
    <numFmt numFmtId="171" formatCode="hh:mm\ AM/PM_)"/>
    <numFmt numFmtId="172" formatCode="0%"/>
    <numFmt numFmtId="173" formatCode="0.00%"/>
    <numFmt numFmtId="174" formatCode="[$-409]#,##0_);\(#,##0\)"/>
    <numFmt numFmtId="175" formatCode="#,##0.0_);\(#,##0.0\)"/>
  </numFmts>
  <fonts count="58">
    <font>
      <sz val="10"/>
      <name val="Tahom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sz val="12"/>
      <name val="Tahoma"/>
      <family val="2"/>
    </font>
    <font>
      <b val="true"/>
      <sz val="10"/>
      <name val="Tahoma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FF0000"/>
      <name val="Tahoma"/>
      <family val="2"/>
    </font>
    <font>
      <b val="true"/>
      <u val="single"/>
      <sz val="10"/>
      <name val="Tahoma"/>
      <family val="2"/>
    </font>
    <font>
      <b val="true"/>
      <sz val="10"/>
      <color rgb="FF0000FF"/>
      <name val="Tahoma"/>
      <family val="2"/>
    </font>
    <font>
      <u val="single"/>
      <sz val="1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"/>
      <family val="2"/>
    </font>
    <font>
      <b val="true"/>
      <sz val="10"/>
      <name val="Arial"/>
      <family val="2"/>
    </font>
    <font>
      <sz val="7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  <font>
      <sz val="10"/>
      <color rgb="FFFFFFFF"/>
      <name val="Arial"/>
      <family val="2"/>
    </font>
    <font>
      <b val="true"/>
      <sz val="20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i val="true"/>
      <sz val="9"/>
      <name val="Tahoma"/>
      <family val="2"/>
    </font>
    <font>
      <sz val="8"/>
      <name val="Arial Narrow"/>
      <family val="2"/>
    </font>
    <font>
      <b val="true"/>
      <sz val="14.5"/>
      <color rgb="FF000000"/>
      <name val="Arial"/>
      <family val="2"/>
    </font>
    <font>
      <sz val="8"/>
      <color rgb="FF000000"/>
      <name val="Arial Narrow"/>
      <family val="2"/>
    </font>
    <font>
      <b val="true"/>
      <sz val="8"/>
      <color rgb="FF000000"/>
      <name val="Arial Narrow"/>
      <family val="2"/>
    </font>
    <font>
      <b val="true"/>
      <sz val="14.75"/>
      <color rgb="FF000000"/>
      <name val="Arial"/>
      <family val="2"/>
    </font>
    <font>
      <sz val="9"/>
      <color rgb="FF000000"/>
      <name val="Arial Narrow"/>
      <family val="2"/>
    </font>
    <font>
      <i val="true"/>
      <sz val="30"/>
      <color rgb="FFFF0000"/>
      <name val="Tahoma"/>
      <family val="2"/>
    </font>
    <font>
      <b val="true"/>
      <sz val="14"/>
      <color rgb="FF00000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b val="true"/>
      <sz val="14.25"/>
      <color rgb="FF000000"/>
      <name val="Arial"/>
      <family val="2"/>
    </font>
    <font>
      <b val="true"/>
      <sz val="15"/>
      <color rgb="FF000000"/>
      <name val="Arial"/>
      <family val="2"/>
    </font>
    <font>
      <sz val="8.75"/>
      <color rgb="FF000000"/>
      <name val="Arial Narrow"/>
      <family val="2"/>
    </font>
    <font>
      <sz val="9"/>
      <color rgb="FF000000"/>
      <name val="Arial"/>
      <family val="2"/>
    </font>
    <font>
      <b val="true"/>
      <i val="true"/>
      <sz val="16"/>
      <color rgb="FFFFFFFF"/>
      <name val="Arial"/>
      <family val="2"/>
    </font>
    <font>
      <b val="true"/>
      <sz val="10"/>
      <color rgb="FF000000"/>
      <name val="Arial Narrow"/>
      <family val="2"/>
    </font>
    <font>
      <sz val="8.5"/>
      <color rgb="FF000000"/>
      <name val="Arial Narrow"/>
      <family val="2"/>
    </font>
    <font>
      <b val="true"/>
      <sz val="9.75"/>
      <color rgb="FF000000"/>
      <name val="Arial Narrow"/>
      <family val="2"/>
    </font>
    <font>
      <sz val="8.25"/>
      <color rgb="FF000000"/>
      <name val="Arial Narrow"/>
      <family val="2"/>
    </font>
    <font>
      <b val="true"/>
      <sz val="8.5"/>
      <color rgb="FF000000"/>
      <name val="Arial Narrow"/>
      <family val="2"/>
    </font>
    <font>
      <b val="true"/>
      <sz val="5.5"/>
      <color rgb="FF000000"/>
      <name val="Arial Narrow"/>
      <family val="2"/>
    </font>
    <font>
      <sz val="9.75"/>
      <color rgb="FF000000"/>
      <name val="Arial Narrow"/>
      <family val="2"/>
    </font>
    <font>
      <b val="true"/>
      <sz val="8.25"/>
      <color rgb="FF000000"/>
      <name val="Arial Narrow"/>
      <family val="2"/>
    </font>
    <font>
      <sz val="8"/>
      <color rgb="FFFFFFFF"/>
      <name val="Arial Narrow"/>
      <family val="2"/>
    </font>
    <font>
      <b val="true"/>
      <sz val="10.25"/>
      <color rgb="FF000000"/>
      <name val="Arial Narrow"/>
      <family val="2"/>
    </font>
    <font>
      <b val="true"/>
      <sz val="9.25"/>
      <color rgb="FF000000"/>
      <name val="Arial Narrow"/>
      <family val="2"/>
    </font>
    <font>
      <sz val="5.75"/>
      <color rgb="FF000000"/>
      <name val="Arial Narrow"/>
      <family val="2"/>
    </font>
    <font>
      <b val="true"/>
      <sz val="11.25"/>
      <color rgb="FF000000"/>
      <name val="Arial Narrow"/>
      <family val="2"/>
    </font>
    <font>
      <b val="true"/>
      <sz val="9.5"/>
      <color rgb="FF000000"/>
      <name val="Arial Narrow"/>
      <family val="2"/>
    </font>
    <font>
      <b val="true"/>
      <sz val="9"/>
      <color rgb="FF000000"/>
      <name val="Arial Narrow"/>
      <family val="2"/>
    </font>
    <font>
      <sz val="9.25"/>
      <color rgb="FF000000"/>
      <name val="Arial Narrow"/>
      <family val="2"/>
    </font>
    <font>
      <b val="true"/>
      <sz val="5.75"/>
      <color rgb="FF000000"/>
      <name val="Arial Narrow"/>
      <family val="2"/>
    </font>
    <font>
      <b val="true"/>
      <sz val="8.75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2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8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18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7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0" borderId="2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8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2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Funds Flow and ROE Graph Template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.xml"/><Relationship Id="rId26" Type="http://schemas.openxmlformats.org/officeDocument/2006/relationships/externalLink" Target="externalLinks/externalLink3.xml"/><Relationship Id="rId27" Type="http://schemas.openxmlformats.org/officeDocument/2006/relationships/externalLink" Target="externalLinks/externalLink4.xml"/><Relationship Id="rId28" Type="http://schemas.openxmlformats.org/officeDocument/2006/relationships/externalLink" Target="externalLinks/externalLink5.xml"/><Relationship Id="rId29" Type="http://schemas.openxmlformats.org/officeDocument/2006/relationships/externalLink" Target="externalLinks/externalLink6.xml"/><Relationship Id="rId30" Type="http://schemas.openxmlformats.org/officeDocument/2006/relationships/externalLink" Target="externalLinks/externalLink7.xml"/><Relationship Id="rId31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10.xml.rels><?xml version="1.0" encoding="UTF-8"?>
<Relationships xmlns="http://schemas.openxmlformats.org/package/2006/relationships"><Relationship Id="rId1" Type="http://schemas.openxmlformats.org/officeDocument/2006/relationships/chartUserShapes" Target="../drawings/drawing9.xml"/>
</Relationships>
</file>

<file path=xl/charts/_rels/chart15.xml.rels><?xml version="1.0" encoding="UTF-8"?>
<Relationships xmlns="http://schemas.openxmlformats.org/package/2006/relationships"><Relationship Id="rId1" Type="http://schemas.openxmlformats.org/officeDocument/2006/relationships/chartUserShapes" Target="../drawings/drawing11.xml"/>
</Relationships>
</file>

<file path=xl/charts/_rels/chart22.xml.rels><?xml version="1.0" encoding="UTF-8"?>
<Relationships xmlns="http://schemas.openxmlformats.org/package/2006/relationships"><Relationship Id="rId1" Type="http://schemas.openxmlformats.org/officeDocument/2006/relationships/chartUserShapes" Target="../drawings/drawing14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31.xml.rels><?xml version="1.0" encoding="UTF-8"?>
<Relationships xmlns="http://schemas.openxmlformats.org/package/2006/relationships"><Relationship Id="rId1" Type="http://schemas.openxmlformats.org/officeDocument/2006/relationships/chartUserShapes" Target="../drawings/drawing17.xml"/>
</Relationships>
</file>

<file path=xl/charts/_rels/chart36.xml.rels><?xml version="1.0" encoding="UTF-8"?>
<Relationships xmlns="http://schemas.openxmlformats.org/package/2006/relationships"><Relationship Id="rId1" Type="http://schemas.openxmlformats.org/officeDocument/2006/relationships/chartUserShapes" Target="../drawings/drawing20.xml"/>
</Relationships>
</file>

<file path=xl/charts/_rels/chart4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_rels/chart5.xml.rels><?xml version="1.0" encoding="UTF-8"?>
<Relationships xmlns="http://schemas.openxmlformats.org/package/2006/relationships"><Relationship Id="rId1" Type="http://schemas.openxmlformats.org/officeDocument/2006/relationships/chartUserShapes" Target="../drawings/drawing6.xml"/>
</Relationships>
</file>

<file path=xl/charts/_rels/chart9.xml.rels><?xml version="1.0" encoding="UTF-8"?>
<Relationships xmlns="http://schemas.openxmlformats.org/package/2006/relationships"><Relationship Id="rId1" Type="http://schemas.openxmlformats.org/officeDocument/2006/relationships/chartUserShapes" Target="../drawings/drawing8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YTD Current 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3439544370045"/>
          <c:y val="0.146396396396396"/>
          <c:w val="0.930501039021011"/>
          <c:h val="0.6136136136136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"Actual-to-Date"</c:f>
              <c:strCache>
                <c:ptCount val="1"/>
                <c:pt idx="0">
                  <c:v>Actual-to-Date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'IS Input'!$E$35:$E$44</c:f>
              <c:numCache>
                <c:formatCode>_(* #,##0.0_);_(* \(#,##0.0\);_(* \-??_);_(@_)</c:formatCode>
                <c:ptCount val="10"/>
                <c:pt idx="0">
                  <c:v>27.134721</c:v>
                </c:pt>
                <c:pt idx="1">
                  <c:v>79.33310785</c:v>
                </c:pt>
                <c:pt idx="2">
                  <c:v>17.039</c:v>
                </c:pt>
                <c:pt idx="3">
                  <c:v>6.07789728</c:v>
                </c:pt>
                <c:pt idx="4">
                  <c:v>39.495207</c:v>
                </c:pt>
                <c:pt idx="5">
                  <c:v>2.8038</c:v>
                </c:pt>
                <c:pt idx="6">
                  <c:v>7.448734</c:v>
                </c:pt>
                <c:pt idx="7">
                  <c:v>0.002325</c:v>
                </c:pt>
                <c:pt idx="8">
                  <c:v>-30.281075</c:v>
                </c:pt>
                <c:pt idx="9">
                  <c:v>149.05371713</c:v>
                </c:pt>
              </c:numCache>
            </c:numRef>
          </c:val>
        </c:ser>
        <c:ser>
          <c:idx val="1"/>
          <c:order val="1"/>
          <c:tx>
            <c:strRef>
              <c:f>"Plan thru Qtr End"</c:f>
              <c:strCache>
                <c:ptCount val="1"/>
                <c:pt idx="0">
                  <c:v>Plan thru Qtr End</c:v>
                </c:pt>
              </c:strCache>
            </c:strRef>
          </c:tx>
          <c:spPr>
            <a:solidFill>
              <a:srgbClr val="80008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'IS Input'!$L$35:$L$44</c:f>
              <c:numCache>
                <c:formatCode>_(* #,##0.0_);_(* \(#,##0.0\);_(* \-??_);_(@_)</c:formatCode>
                <c:ptCount val="10"/>
                <c:pt idx="0">
                  <c:v>150</c:v>
                </c:pt>
                <c:pt idx="1">
                  <c:v>75</c:v>
                </c:pt>
                <c:pt idx="2">
                  <c:v>33.000002</c:v>
                </c:pt>
                <c:pt idx="3">
                  <c:v>37.5</c:v>
                </c:pt>
                <c:pt idx="4">
                  <c:v>104.415</c:v>
                </c:pt>
                <c:pt idx="5">
                  <c:v>20.8215</c:v>
                </c:pt>
                <c:pt idx="6">
                  <c:v>60.513998</c:v>
                </c:pt>
                <c:pt idx="7">
                  <c:v>7.5</c:v>
                </c:pt>
                <c:pt idx="8">
                  <c:v>19.276197</c:v>
                </c:pt>
                <c:pt idx="9">
                  <c:v>508.026697</c:v>
                </c:pt>
              </c:numCache>
            </c:numRef>
          </c:val>
        </c:ser>
        <c:gapWidth val="150"/>
        <c:overlap val="0"/>
        <c:axId val="35823196"/>
        <c:axId val="1958059"/>
      </c:barChart>
      <c:catAx>
        <c:axId val="358231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958059"/>
        <c:crossesAt val="0"/>
        <c:auto val="1"/>
        <c:lblAlgn val="ctr"/>
        <c:lblOffset val="100"/>
        <c:noMultiLvlLbl val="0"/>
      </c:catAx>
      <c:valAx>
        <c:axId val="195805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71396396396396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582319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54806434233818"/>
          <c:y val="0.872372372372372"/>
          <c:w val="0.35026552759178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0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08019702916955"/>
          <c:y val="0.152269938650307"/>
          <c:w val="0.860309397367813"/>
          <c:h val="0.6865030674846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Input'!$AL$4,'IS Input'!$AN$4,'IS Input'!$AP$4,'IS Input'!$AR$4,'IS Input'!$AT$4,'IS Input'!$AV$4,'IS Input'!$AX$4,'IS Input'!$AZ$4,'IS Input'!$BB$4,'IS Input'!$BD$4,'IS Input'!$BF$4,'IS Input'!$BH$4</c:f>
              <c:numCache>
                <c:formatCode>General</c:formatCode>
                <c:ptCount val="12"/>
                <c:pt idx="0">
                  <c:v>112</c:v>
                </c:pt>
                <c:pt idx="1">
                  <c:v>111</c:v>
                </c:pt>
                <c:pt idx="2">
                  <c:v>111.5</c:v>
                </c:pt>
                <c:pt idx="3">
                  <c:v>110.5</c:v>
                </c:pt>
                <c:pt idx="4">
                  <c:v>105</c:v>
                </c:pt>
                <c:pt idx="5">
                  <c:v>111</c:v>
                </c:pt>
                <c:pt idx="6">
                  <c:v>126</c:v>
                </c:pt>
                <c:pt idx="7">
                  <c:v>131</c:v>
                </c:pt>
                <c:pt idx="8">
                  <c:v>132</c:v>
                </c:pt>
                <c:pt idx="9">
                  <c:v>143</c:v>
                </c:pt>
              </c:numCache>
            </c:numRef>
          </c:val>
        </c:ser>
        <c:gapWidth val="150"/>
        <c:overlap val="100"/>
        <c:axId val="14337013"/>
        <c:axId val="70208079"/>
      </c:barChart>
      <c:lineChart>
        <c:grouping val="stacked"/>
        <c:varyColors val="0"/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6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Input'!$AM$4,'IS Input'!$AO$4,'IS Input'!$AQ$4,'IS Input'!$AS$4,'IS Input'!$AU$4,'IS Input'!$AW$4,'IS Input'!$AY$4,'IS Input'!$BA$4,'IS Input'!$BC$4,'IS Input'!$BE$4,'IS Input'!$BG$4,'IS Input'!$BI$4</c:f>
              <c:numCache>
                <c:formatCode>General</c:formatCode>
                <c:ptCount val="12"/>
                <c:pt idx="0">
                  <c:v>117</c:v>
                </c:pt>
                <c:pt idx="1">
                  <c:v>117</c:v>
                </c:pt>
                <c:pt idx="2">
                  <c:v>117</c:v>
                </c:pt>
                <c:pt idx="3">
                  <c:v>118</c:v>
                </c:pt>
                <c:pt idx="4">
                  <c:v>118</c:v>
                </c:pt>
                <c:pt idx="5">
                  <c:v>118</c:v>
                </c:pt>
                <c:pt idx="6">
                  <c:v>119</c:v>
                </c:pt>
                <c:pt idx="7">
                  <c:v>119</c:v>
                </c:pt>
                <c:pt idx="8">
                  <c:v>119</c:v>
                </c:pt>
                <c:pt idx="9">
                  <c:v>119</c:v>
                </c:pt>
                <c:pt idx="10">
                  <c:v>119</c:v>
                </c:pt>
                <c:pt idx="11">
                  <c:v>119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337013"/>
        <c:axId val="70208079"/>
      </c:lineChart>
      <c:catAx>
        <c:axId val="1433701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0208079"/>
        <c:crossesAt val="0"/>
        <c:auto val="1"/>
        <c:lblAlgn val="ctr"/>
        <c:lblOffset val="100"/>
        <c:noMultiLvlLbl val="0"/>
      </c:catAx>
      <c:valAx>
        <c:axId val="7020807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94233128834356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433701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8396829061803"/>
          <c:y val="0.882944785276074"/>
          <c:w val="0.361117524821057"/>
          <c:h val="0.07361963190184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686930091185"/>
          <c:y val="0.120745745745746"/>
          <c:w val="0.867933130699088"/>
          <c:h val="0.760635635635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2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Input'!$D$3,'IS Input'!$K$3,'IS Input'!$R$3,'IS Input'!$Y$3,'IS Input'!$AF$3</c:f>
              <c:numCache>
                <c:formatCode>_(* #,##0.0_);_(* \(#,##0.0\);_(* \-??_);_(@_)</c:formatCode>
                <c:ptCount val="5"/>
                <c:pt idx="0">
                  <c:v>46.3071115</c:v>
                </c:pt>
                <c:pt idx="1">
                  <c:v>17.788538</c:v>
                </c:pt>
                <c:pt idx="2">
                  <c:v>13.858068</c:v>
                </c:pt>
                <c:pt idx="3">
                  <c:v>-68.419219</c:v>
                </c:pt>
                <c:pt idx="4">
                  <c:v>9.5344985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Input'!$G$3,'IS Input'!$N$3,'IS Input'!$U$3,'IS Input'!$AB$3,'IS Input'!$AI$3</c:f>
              <c:numCache>
                <c:formatCode>_(* #,##0.0_);_(* \(#,##0.0\);_(* \-??_);_(@_)</c:formatCode>
                <c:ptCount val="5"/>
                <c:pt idx="0">
                  <c:v>23.249788</c:v>
                </c:pt>
                <c:pt idx="1">
                  <c:v>15.526516</c:v>
                </c:pt>
                <c:pt idx="2">
                  <c:v>15.606718</c:v>
                </c:pt>
                <c:pt idx="3">
                  <c:v>28.078257</c:v>
                </c:pt>
                <c:pt idx="4">
                  <c:v>82.461279</c:v>
                </c:pt>
              </c:numCache>
            </c:numRef>
          </c:val>
        </c:ser>
        <c:gapWidth val="150"/>
        <c:overlap val="0"/>
        <c:axId val="92374218"/>
        <c:axId val="38707957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Input'!$B$107:$F$107</c:f>
              <c:numCache>
                <c:formatCode>_(* #,##0.0_);_(* \(#,##0.0\);_(* \-??_);_(@_)</c:formatCode>
                <c:ptCount val="5"/>
                <c:pt idx="0">
                  <c:v>19.7</c:v>
                </c:pt>
                <c:pt idx="1">
                  <c:v>-7.201</c:v>
                </c:pt>
                <c:pt idx="2">
                  <c:v>-22.509</c:v>
                </c:pt>
                <c:pt idx="3">
                  <c:v>-1.51</c:v>
                </c:pt>
                <c:pt idx="4">
                  <c:v>-11.52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374218"/>
        <c:axId val="38707957"/>
      </c:lineChart>
      <c:catAx>
        <c:axId val="923742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8707957"/>
        <c:crossesAt val="0"/>
        <c:auto val="1"/>
        <c:lblAlgn val="ctr"/>
        <c:lblOffset val="100"/>
        <c:noMultiLvlLbl val="0"/>
      </c:catAx>
      <c:valAx>
        <c:axId val="3870795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287287287287287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2374218"/>
        <c:crossesAt val="1"/>
        <c:crossBetween val="midCat"/>
        <c:majorUnit val="25"/>
        <c:minorUnit val="2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4620060790274"/>
          <c:y val="0.847097097097097"/>
          <c:w val="0.5790273556231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Net Cash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829589465531"/>
          <c:y val="0.106898238747554"/>
          <c:w val="0.92292796281952"/>
          <c:h val="0.8199608610567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Team'!$D$13:$O$13</c:f>
              <c:numCache>
                <c:formatCode>_(* #,##0.0_);_(* \(#,##0.0\);_(* \-??_);_(@_)</c:formatCode>
                <c:ptCount val="12"/>
                <c:pt idx="0">
                  <c:v>-95.409</c:v>
                </c:pt>
                <c:pt idx="1">
                  <c:v>40.748</c:v>
                </c:pt>
                <c:pt idx="2">
                  <c:v>-136.438</c:v>
                </c:pt>
                <c:pt idx="3">
                  <c:v>23.299</c:v>
                </c:pt>
                <c:pt idx="4">
                  <c:v>-37.631</c:v>
                </c:pt>
                <c:pt idx="5">
                  <c:v>10.903</c:v>
                </c:pt>
                <c:pt idx="6">
                  <c:v>-25.443</c:v>
                </c:pt>
                <c:pt idx="7">
                  <c:v>-39.478</c:v>
                </c:pt>
                <c:pt idx="8">
                  <c:v>19.797</c:v>
                </c:pt>
              </c:numCache>
            </c:numRef>
          </c:val>
        </c:ser>
        <c:gapWidth val="150"/>
        <c:overlap val="0"/>
        <c:axId val="26933399"/>
        <c:axId val="83346926"/>
      </c:barChart>
      <c:lineChart>
        <c:grouping val="standard"/>
        <c:varyColors val="0"/>
        <c:ser>
          <c:idx val="1"/>
          <c:order val="1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Team'!$D$14:$L$14</c:f>
              <c:numCache>
                <c:formatCode>_(* #,##0.0_);_(* \(#,##0.0\);_(* \-??_);_(@_)</c:formatCode>
                <c:ptCount val="9"/>
                <c:pt idx="0">
                  <c:v>-95.409</c:v>
                </c:pt>
                <c:pt idx="1">
                  <c:v>-54.661</c:v>
                </c:pt>
                <c:pt idx="2">
                  <c:v>-191.099</c:v>
                </c:pt>
                <c:pt idx="3">
                  <c:v>-167.8</c:v>
                </c:pt>
                <c:pt idx="4">
                  <c:v>-205.431</c:v>
                </c:pt>
                <c:pt idx="5">
                  <c:v>-194.528</c:v>
                </c:pt>
                <c:pt idx="6">
                  <c:v>-219.971</c:v>
                </c:pt>
                <c:pt idx="7">
                  <c:v>-259.449</c:v>
                </c:pt>
                <c:pt idx="8">
                  <c:v>-239.652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933399"/>
        <c:axId val="83346926"/>
      </c:lineChart>
      <c:catAx>
        <c:axId val="26933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3346926"/>
        <c:crossesAt val="0"/>
        <c:auto val="1"/>
        <c:lblAlgn val="ctr"/>
        <c:lblOffset val="100"/>
        <c:noMultiLvlLbl val="0"/>
      </c:catAx>
      <c:valAx>
        <c:axId val="833469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693339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6707978311387"/>
          <c:y val="0.894324853228963"/>
          <c:w val="0.759643687064291"/>
          <c:h val="0.07338551859099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Physical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7330870468714"/>
          <c:y val="0.120745745745746"/>
          <c:w val="0.873778188255214"/>
          <c:h val="0.760635635635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Input'!$B$11,'volumes Input'!$G$11,'volumes Input'!$L$11,'volumes Input'!$Q$11,'volumes Input'!$V$11,'volumes Input'!$AA$11,'volumes Input'!$AF$11,'volumes Input'!$AK$11,'volumes Input'!$AP$11,'volumes Input'!$AU$11,'volumes Input'!$AZ$11,'volumes Input'!$BE$11</c:f>
              <c:numCache>
                <c:formatCode>_(* #,##0_);_(* \(#,##0\);_(* \-??_);_(@_)</c:formatCode>
                <c:ptCount val="12"/>
                <c:pt idx="0">
                  <c:v>35889.035</c:v>
                </c:pt>
                <c:pt idx="1">
                  <c:v>38708.028</c:v>
                </c:pt>
                <c:pt idx="2">
                  <c:v>37305.792</c:v>
                </c:pt>
                <c:pt idx="3">
                  <c:v>51131.207</c:v>
                </c:pt>
                <c:pt idx="4">
                  <c:v>60815.774</c:v>
                </c:pt>
                <c:pt idx="5">
                  <c:v>52706.376</c:v>
                </c:pt>
                <c:pt idx="6">
                  <c:v>50733.235</c:v>
                </c:pt>
                <c:pt idx="7">
                  <c:v>59849.841</c:v>
                </c:pt>
                <c:pt idx="8">
                  <c:v>46513.448</c:v>
                </c:pt>
                <c:pt idx="9">
                  <c:v>69486</c:v>
                </c:pt>
              </c:numCache>
            </c:numRef>
          </c:val>
        </c:ser>
        <c:gapWidth val="150"/>
        <c:overlap val="0"/>
        <c:axId val="58213722"/>
        <c:axId val="73488129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Input'!$B$19,'volumes Input'!$G$19,'volumes Input'!$L$19,'volumes Input'!$Q$19,'volumes Input'!$V$19,'volumes Input'!$AA$19,'volumes Input'!$AF$19,'volumes Input'!$AK$19,'volumes Input'!$AP$19,'volumes Input'!$AU$19,'volumes Input'!$AZ$19,'volumes Input'!$BE$19</c:f>
              <c:numCache>
                <c:formatCode>_(* #,##0_);_(* \(#,##0\);_(* \-??_);_(@_)</c:formatCode>
                <c:ptCount val="12"/>
                <c:pt idx="0">
                  <c:v>50965.918</c:v>
                </c:pt>
                <c:pt idx="1">
                  <c:v>39570.202</c:v>
                </c:pt>
                <c:pt idx="2">
                  <c:v>38112.879</c:v>
                </c:pt>
                <c:pt idx="3">
                  <c:v>28915.627</c:v>
                </c:pt>
                <c:pt idx="4">
                  <c:v>41715.71</c:v>
                </c:pt>
                <c:pt idx="5">
                  <c:v>36391.863</c:v>
                </c:pt>
                <c:pt idx="6">
                  <c:v>37776.136</c:v>
                </c:pt>
                <c:pt idx="7">
                  <c:v>43826.926</c:v>
                </c:pt>
                <c:pt idx="8">
                  <c:v>42724.757</c:v>
                </c:pt>
                <c:pt idx="9">
                  <c:v>52145.502</c:v>
                </c:pt>
                <c:pt idx="10">
                  <c:v>66226.272</c:v>
                </c:pt>
                <c:pt idx="11">
                  <c:v>43836.365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213722"/>
        <c:axId val="73488129"/>
      </c:lineChart>
      <c:catAx>
        <c:axId val="582137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3488129"/>
        <c:crossesAt val="0"/>
        <c:auto val="1"/>
        <c:lblAlgn val="ctr"/>
        <c:lblOffset val="100"/>
        <c:noMultiLvlLbl val="0"/>
      </c:catAx>
      <c:valAx>
        <c:axId val="73488129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(000's BBLs)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063188188188188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821372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7215423689679"/>
          <c:y val="0.848473473473474"/>
          <c:w val="0.602786115600708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Total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9787234042553"/>
          <c:y val="0.142055375405338"/>
          <c:w val="0.877811550151976"/>
          <c:h val="0.7039161885757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Input'!$D$11,'volumes Input'!$I$11,'volumes Input'!$N$11,'volumes Input'!$S$11,'volumes Input'!$X$11,'volumes Input'!$AC$11,'volumes Input'!$AH$11,'volumes Input'!$AM$11,'volumes Input'!$AR$11,'volumes Input'!$AW$11,'volumes Input'!$BB$11,'volumes Input'!$BG$11</c:f>
              <c:numCache>
                <c:formatCode>_(* #,##0_);_(* \(#,##0\);_(* \-??_);_(@_)</c:formatCode>
                <c:ptCount val="12"/>
                <c:pt idx="0">
                  <c:v>10780</c:v>
                </c:pt>
                <c:pt idx="1">
                  <c:v>9908</c:v>
                </c:pt>
                <c:pt idx="2">
                  <c:v>10584</c:v>
                </c:pt>
                <c:pt idx="3">
                  <c:v>8289</c:v>
                </c:pt>
                <c:pt idx="4">
                  <c:v>12021</c:v>
                </c:pt>
                <c:pt idx="5">
                  <c:v>9375</c:v>
                </c:pt>
                <c:pt idx="6">
                  <c:v>10180</c:v>
                </c:pt>
                <c:pt idx="7">
                  <c:v>12418</c:v>
                </c:pt>
                <c:pt idx="8">
                  <c:v>11062</c:v>
                </c:pt>
                <c:pt idx="9">
                  <c:v>9779</c:v>
                </c:pt>
              </c:numCache>
            </c:numRef>
          </c:val>
        </c:ser>
        <c:gapWidth val="150"/>
        <c:overlap val="0"/>
        <c:axId val="79194204"/>
        <c:axId val="66979650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Input'!$D$19,'volumes Input'!$I$19,'volumes Input'!$N$19,'volumes Input'!$S$19,'volumes Input'!$X$19,'volumes Input'!$AC$19,'volumes Input'!$AH$19,'volumes Input'!$AM$19,'volumes Input'!$AR$19,'volumes Input'!$AW$19,'volumes Input'!$BB$19,'volumes Input'!$BG$19</c:f>
              <c:numCache>
                <c:formatCode>_(* #,##0_);_(* \(#,##0\);_(* \-??_);_(@_)</c:formatCode>
                <c:ptCount val="12"/>
                <c:pt idx="0">
                  <c:v>3050</c:v>
                </c:pt>
                <c:pt idx="1">
                  <c:v>2694</c:v>
                </c:pt>
                <c:pt idx="2">
                  <c:v>3172</c:v>
                </c:pt>
                <c:pt idx="3">
                  <c:v>2620</c:v>
                </c:pt>
                <c:pt idx="4">
                  <c:v>5180</c:v>
                </c:pt>
                <c:pt idx="5">
                  <c:v>6303</c:v>
                </c:pt>
                <c:pt idx="6">
                  <c:v>3683</c:v>
                </c:pt>
                <c:pt idx="7">
                  <c:v>4563</c:v>
                </c:pt>
                <c:pt idx="8">
                  <c:v>5556</c:v>
                </c:pt>
                <c:pt idx="9">
                  <c:v>6026</c:v>
                </c:pt>
                <c:pt idx="10">
                  <c:v>5283</c:v>
                </c:pt>
                <c:pt idx="11">
                  <c:v>5326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194204"/>
        <c:axId val="66979650"/>
      </c:lineChart>
      <c:catAx>
        <c:axId val="791942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6979650"/>
        <c:crossesAt val="0"/>
        <c:auto val="1"/>
        <c:lblAlgn val="ctr"/>
        <c:lblOffset val="100"/>
        <c:noMultiLvlLbl val="0"/>
      </c:catAx>
      <c:valAx>
        <c:axId val="66979650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919420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3495440729483"/>
          <c:y val="0.853205288101771"/>
          <c:w val="0.584422492401216"/>
          <c:h val="0.1056373160389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EOL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03401831755561"/>
          <c:y val="0.146646646646647"/>
          <c:w val="0.860771184483953"/>
          <c:h val="0.689314314314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Input'!$E$11,'volumes Input'!$J$11,'volumes Input'!$O$11,'volumes Input'!$T$11,'volumes Input'!$Y$11,'volumes Input'!$AD$11,'volumes Input'!$AI$11,'volumes Input'!$AN$11,'volumes Input'!$AS$11,'volumes Input'!$AX$11,'volumes Input'!$BC$11,'volumes Input'!$BH$11</c:f>
              <c:numCache>
                <c:formatCode>_(* #,##0_);_(* \(#,##0\);_(* \-??_);_(@_)</c:formatCode>
                <c:ptCount val="12"/>
                <c:pt idx="0">
                  <c:v>6293</c:v>
                </c:pt>
                <c:pt idx="1">
                  <c:v>5954</c:v>
                </c:pt>
                <c:pt idx="2">
                  <c:v>5560</c:v>
                </c:pt>
                <c:pt idx="3">
                  <c:v>3845</c:v>
                </c:pt>
                <c:pt idx="4">
                  <c:v>6451</c:v>
                </c:pt>
                <c:pt idx="5">
                  <c:v>7138</c:v>
                </c:pt>
                <c:pt idx="6">
                  <c:v>7574</c:v>
                </c:pt>
                <c:pt idx="7">
                  <c:v>7543</c:v>
                </c:pt>
                <c:pt idx="8">
                  <c:v>4994</c:v>
                </c:pt>
                <c:pt idx="9">
                  <c:v>4992</c:v>
                </c:pt>
              </c:numCache>
            </c:numRef>
          </c:val>
        </c:ser>
        <c:gapWidth val="150"/>
        <c:overlap val="100"/>
        <c:axId val="37452829"/>
        <c:axId val="76816217"/>
      </c:barChart>
      <c:lineChart>
        <c:grouping val="stacke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Input'!$E$19,'volumes Input'!$J$19,'volumes Input'!$O$19,'volumes Input'!$T$19,'volumes Input'!$Y$19,'volumes Input'!$AD$19,'volumes Input'!$AI$19,'volumes Input'!$AN$19,'volumes Input'!$AS$19,'volumes Input'!$AX$19,'volumes Input'!$BC$19,'volumes Input'!$BH$19</c:f>
              <c:numCache>
                <c:formatCode>_(* #,##0_);_(* \(#,##0\);_(* \-??_);_(@_)</c:formatCode>
                <c:ptCount val="12"/>
                <c:pt idx="0">
                  <c:v>176</c:v>
                </c:pt>
                <c:pt idx="1">
                  <c:v>270</c:v>
                </c:pt>
                <c:pt idx="2">
                  <c:v>221</c:v>
                </c:pt>
                <c:pt idx="3">
                  <c:v>570</c:v>
                </c:pt>
                <c:pt idx="4">
                  <c:v>2106</c:v>
                </c:pt>
                <c:pt idx="5">
                  <c:v>1631</c:v>
                </c:pt>
                <c:pt idx="6">
                  <c:v>1141</c:v>
                </c:pt>
                <c:pt idx="7">
                  <c:v>1308</c:v>
                </c:pt>
                <c:pt idx="8">
                  <c:v>2131</c:v>
                </c:pt>
                <c:pt idx="9">
                  <c:v>2575</c:v>
                </c:pt>
                <c:pt idx="10">
                  <c:v>2565</c:v>
                </c:pt>
                <c:pt idx="11">
                  <c:v>2470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452829"/>
        <c:axId val="76816217"/>
      </c:lineChart>
      <c:catAx>
        <c:axId val="374528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6816217"/>
        <c:crossesAt val="0"/>
        <c:auto val="1"/>
        <c:lblAlgn val="ctr"/>
        <c:lblOffset val="100"/>
        <c:noMultiLvlLbl val="0"/>
      </c:catAx>
      <c:valAx>
        <c:axId val="76816217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745282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7093819749096"/>
          <c:y val="0.880880880880881"/>
          <c:w val="0.361117524821057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Financial Sales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5410334346505"/>
          <c:y val="0.117742742742743"/>
          <c:w val="0.848936170212766"/>
          <c:h val="0.76088588588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Input'!$C$11,'volumes Input'!$H$11,'volumes Input'!$M$11,'volumes Input'!$R$11,'volumes Input'!$W$11,'volumes Input'!$AB$11,'volumes Input'!$AG$11,'volumes Input'!$AL$11,'volumes Input'!$AQ$11,'volumes Input'!$AV$11,'volumes Input'!$BA$11,'volumes Input'!$BF$11</c:f>
              <c:numCache>
                <c:formatCode>_(* #,##0_);_(* \(#,##0\);_(* \-??_);_(@_)</c:formatCode>
                <c:ptCount val="12"/>
                <c:pt idx="0">
                  <c:v>314627.526</c:v>
                </c:pt>
                <c:pt idx="1">
                  <c:v>325890.158</c:v>
                </c:pt>
                <c:pt idx="2">
                  <c:v>415352.166</c:v>
                </c:pt>
                <c:pt idx="3">
                  <c:v>390818.951</c:v>
                </c:pt>
                <c:pt idx="4">
                  <c:v>422219.235</c:v>
                </c:pt>
                <c:pt idx="5">
                  <c:v>405347.087</c:v>
                </c:pt>
                <c:pt idx="6">
                  <c:v>385803</c:v>
                </c:pt>
                <c:pt idx="7">
                  <c:v>443047</c:v>
                </c:pt>
                <c:pt idx="8">
                  <c:v>413870</c:v>
                </c:pt>
                <c:pt idx="9">
                  <c:v>352307</c:v>
                </c:pt>
              </c:numCache>
            </c:numRef>
          </c:val>
        </c:ser>
        <c:gapWidth val="150"/>
        <c:overlap val="0"/>
        <c:axId val="79644640"/>
        <c:axId val="48519054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Input'!$C$19,'volumes Input'!$H$19,'volumes Input'!$M$19,'volumes Input'!$R$19,'volumes Input'!$W$19,'volumes Input'!$AB$19,'volumes Input'!$AG$19,'volumes Input'!$AL$19,'volumes Input'!$AQ$19,'volumes Input'!$AV$19,'volumes Input'!$BA$19,'volumes Input'!$BF$19</c:f>
              <c:numCache>
                <c:formatCode>_(* #,##0_);_(* \(#,##0\);_(* \-??_);_(@_)</c:formatCode>
                <c:ptCount val="12"/>
                <c:pt idx="0">
                  <c:v>199515.983</c:v>
                </c:pt>
                <c:pt idx="1">
                  <c:v>171546.618</c:v>
                </c:pt>
                <c:pt idx="2">
                  <c:v>193331.081</c:v>
                </c:pt>
                <c:pt idx="3">
                  <c:v>150072.627</c:v>
                </c:pt>
                <c:pt idx="4">
                  <c:v>245942.075</c:v>
                </c:pt>
                <c:pt idx="5">
                  <c:v>308437.321</c:v>
                </c:pt>
                <c:pt idx="6">
                  <c:v>253779.674</c:v>
                </c:pt>
                <c:pt idx="7">
                  <c:v>308730.992</c:v>
                </c:pt>
                <c:pt idx="8">
                  <c:v>285951.801</c:v>
                </c:pt>
                <c:pt idx="9">
                  <c:v>310339.722</c:v>
                </c:pt>
                <c:pt idx="10">
                  <c:v>311093.028</c:v>
                </c:pt>
                <c:pt idx="11">
                  <c:v>297885.808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644640"/>
        <c:axId val="48519054"/>
      </c:lineChart>
      <c:catAx>
        <c:axId val="7964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8519054"/>
        <c:crossesAt val="0"/>
        <c:auto val="1"/>
        <c:lblAlgn val="ctr"/>
        <c:lblOffset val="100"/>
        <c:noMultiLvlLbl val="0"/>
      </c:catAx>
      <c:valAx>
        <c:axId val="48519054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(000's BBLs)</a:t>
                </a:r>
              </a:p>
            </c:rich>
          </c:tx>
          <c:layout>
            <c:manualLayout>
              <c:xMode val="edge"/>
              <c:yMode val="edge"/>
              <c:x val="0.0190729483282675"/>
              <c:y val="0.0540540540540541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964464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7066869300912"/>
          <c:y val="0.847097097097097"/>
          <c:w val="0.5790273556231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47433233279458"/>
          <c:y val="0.118272841051314"/>
          <c:w val="0.87208496882937"/>
          <c:h val="0.776345431789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Input'!$B$4,'IS Input'!$I$4,'IS Input'!$P$4,'IS Input'!$W$4,'IS Input'!$AD$4</c:f>
              <c:numCache>
                <c:formatCode>_(* #,##0.0_);_(* \(#,##0.0\);_(* \-??_);_(@_)</c:formatCode>
                <c:ptCount val="5"/>
                <c:pt idx="0">
                  <c:v>14.04090233</c:v>
                </c:pt>
                <c:pt idx="1">
                  <c:v>26.21452352</c:v>
                </c:pt>
                <c:pt idx="2">
                  <c:v>32.464047</c:v>
                </c:pt>
                <c:pt idx="3">
                  <c:v>6.613635</c:v>
                </c:pt>
                <c:pt idx="4">
                  <c:v>79.33310785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Input'!$E$4,'IS Input'!$L$4,'IS Input'!$S$4,'IS Input'!$Z$4,'IS Input'!$AG$4</c:f>
              <c:numCache>
                <c:formatCode>_(* #,##0.0_);_(* \(#,##0.0\);_(* \-??_);_(@_)</c:formatCode>
                <c:ptCount val="5"/>
                <c:pt idx="0">
                  <c:v>18.75</c:v>
                </c:pt>
                <c:pt idx="1">
                  <c:v>18.75</c:v>
                </c:pt>
                <c:pt idx="2">
                  <c:v>18.75</c:v>
                </c:pt>
                <c:pt idx="3">
                  <c:v>18.75</c:v>
                </c:pt>
                <c:pt idx="4">
                  <c:v>75</c:v>
                </c:pt>
              </c:numCache>
            </c:numRef>
          </c:val>
        </c:ser>
        <c:gapWidth val="150"/>
        <c:overlap val="0"/>
        <c:axId val="24838561"/>
        <c:axId val="81770013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Input'!$B$72:$F$72</c:f>
              <c:numCache>
                <c:formatCode>_(* #,##0.0_);_(* \(#,##0.0\);_(* \-??_);_(@_)</c:formatCode>
                <c:ptCount val="5"/>
                <c:pt idx="0">
                  <c:v>6.033</c:v>
                </c:pt>
                <c:pt idx="1">
                  <c:v>-2.909</c:v>
                </c:pt>
                <c:pt idx="2">
                  <c:v>1.4</c:v>
                </c:pt>
                <c:pt idx="3">
                  <c:v>52.971</c:v>
                </c:pt>
                <c:pt idx="4">
                  <c:v>57.495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838561"/>
        <c:axId val="81770013"/>
      </c:lineChart>
      <c:catAx>
        <c:axId val="248385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1770013"/>
        <c:crossesAt val="0"/>
        <c:auto val="1"/>
        <c:lblAlgn val="ctr"/>
        <c:lblOffset val="100"/>
        <c:noMultiLvlLbl val="0"/>
      </c:catAx>
      <c:valAx>
        <c:axId val="81770013"/>
        <c:scaling>
          <c:orientation val="minMax"/>
          <c:max val="80"/>
          <c:min val="-2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252315394242804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4838561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63449549757562"/>
          <c:y val="0.863078848560701"/>
          <c:w val="0.496882936966059"/>
          <c:h val="0.0838548185231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0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5780805048873"/>
          <c:y val="0.123800267282226"/>
          <c:w val="0.884861079042561"/>
          <c:h val="0.7765763576722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Input'!$AL$5,'IS Input'!$AN$5,'IS Input'!$AP$5,'IS Input'!$AR$5,'IS Input'!$AT$5,'IS Input'!$AV$5,'IS Input'!$AX$5,'IS Input'!$AZ$5,'IS Input'!$BB$5,'IS Input'!$BD$5,'IS Input'!$BF$5,'IS Input'!$BH$5</c:f>
              <c:numCache>
                <c:formatCode>General</c:formatCode>
                <c:ptCount val="12"/>
                <c:pt idx="0">
                  <c:v>66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71</c:v>
                </c:pt>
                <c:pt idx="5">
                  <c:v>68</c:v>
                </c:pt>
                <c:pt idx="6">
                  <c:v>73</c:v>
                </c:pt>
                <c:pt idx="7">
                  <c:v>81</c:v>
                </c:pt>
                <c:pt idx="8">
                  <c:v>82</c:v>
                </c:pt>
                <c:pt idx="9">
                  <c:v>96</c:v>
                </c:pt>
              </c:numCache>
            </c:numRef>
          </c:val>
        </c:ser>
        <c:gapWidth val="150"/>
        <c:overlap val="100"/>
        <c:axId val="6844760"/>
        <c:axId val="68774410"/>
      </c:barChart>
      <c:lineChart>
        <c:grouping val="stacke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9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9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Input'!$AM$5,'IS Input'!$AO$5,'IS Input'!$AQ$5,'IS Input'!$AS$5,'IS Input'!$AU$5,'IS Input'!$AW$5,'IS Input'!$AY$5,'IS Input'!$BA$5,'IS Input'!$BC$5,'IS Input'!$BE$5,'IS Input'!$BG$5,'IS Input'!$BI$5</c:f>
              <c:numCache>
                <c:formatCode>General</c:formatCode>
                <c:ptCount val="12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87</c:v>
                </c:pt>
                <c:pt idx="4">
                  <c:v>86</c:v>
                </c:pt>
                <c:pt idx="5">
                  <c:v>87</c:v>
                </c:pt>
                <c:pt idx="6">
                  <c:v>88</c:v>
                </c:pt>
                <c:pt idx="7">
                  <c:v>88</c:v>
                </c:pt>
                <c:pt idx="8">
                  <c:v>88</c:v>
                </c:pt>
                <c:pt idx="9">
                  <c:v>88</c:v>
                </c:pt>
                <c:pt idx="10">
                  <c:v>88</c:v>
                </c:pt>
                <c:pt idx="11">
                  <c:v>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44760"/>
        <c:axId val="68774410"/>
      </c:lineChart>
      <c:catAx>
        <c:axId val="6844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8774410"/>
        <c:crossesAt val="0"/>
        <c:auto val="1"/>
        <c:lblAlgn val="ctr"/>
        <c:lblOffset val="100"/>
        <c:noMultiLvlLbl val="0"/>
      </c:catAx>
      <c:valAx>
        <c:axId val="68774410"/>
        <c:scaling>
          <c:orientation val="minMax"/>
          <c:max val="1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844760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8479181097514"/>
          <c:y val="0.889077876321225"/>
          <c:w val="0.35026552759178"/>
          <c:h val="0.07289515247236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6619803936469"/>
          <c:y val="0.115365365365365"/>
          <c:w val="0.884565696481496"/>
          <c:h val="0.7263513513513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Input'!$D$4,'IS Input'!$K$4,'IS Input'!$R$4,'IS Input'!$Y$4,'IS Input'!$AF$4</c:f>
              <c:numCache>
                <c:formatCode>_(* #,##0.0_);_(* \(#,##0.0\);_(* \-??_);_(@_)</c:formatCode>
                <c:ptCount val="5"/>
                <c:pt idx="0">
                  <c:v>5.95682733</c:v>
                </c:pt>
                <c:pt idx="1">
                  <c:v>17.96685752</c:v>
                </c:pt>
                <c:pt idx="2">
                  <c:v>21.846978</c:v>
                </c:pt>
                <c:pt idx="3">
                  <c:v>-3.009126</c:v>
                </c:pt>
                <c:pt idx="4">
                  <c:v>42.76153685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Input'!$G$4,'IS Input'!$N$4,'IS Input'!$U$4,'IS Input'!$AB$4,'IS Input'!$AI$4</c:f>
              <c:numCache>
                <c:formatCode>_(* #,##0.0_);_(* \(#,##0.0\);_(* \-??_);_(@_)</c:formatCode>
                <c:ptCount val="5"/>
                <c:pt idx="0">
                  <c:v>9.252878</c:v>
                </c:pt>
                <c:pt idx="1">
                  <c:v>9.221984</c:v>
                </c:pt>
                <c:pt idx="2">
                  <c:v>9.126459</c:v>
                </c:pt>
                <c:pt idx="3">
                  <c:v>9.127239</c:v>
                </c:pt>
                <c:pt idx="4">
                  <c:v>36.72856</c:v>
                </c:pt>
              </c:numCache>
            </c:numRef>
          </c:val>
        </c:ser>
        <c:gapWidth val="150"/>
        <c:overlap val="0"/>
        <c:axId val="29269313"/>
        <c:axId val="38280484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Input'!$B$108:$F$108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-7.9</c:v>
                </c:pt>
                <c:pt idx="2">
                  <c:v>-4.7</c:v>
                </c:pt>
                <c:pt idx="3">
                  <c:v>42.9</c:v>
                </c:pt>
                <c:pt idx="4">
                  <c:v>30.3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9269313"/>
        <c:axId val="38280484"/>
      </c:lineChart>
      <c:catAx>
        <c:axId val="2926931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8280484"/>
        <c:crossesAt val="0"/>
        <c:auto val="1"/>
        <c:lblAlgn val="ctr"/>
        <c:lblOffset val="100"/>
        <c:noMultiLvlLbl val="0"/>
      </c:catAx>
      <c:valAx>
        <c:axId val="38280484"/>
        <c:scaling>
          <c:orientation val="minMax"/>
          <c:max val="60"/>
          <c:min val="-2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9269313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7300706740634"/>
          <c:y val="0.859484484484484"/>
          <c:w val="0.471844365073334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Quarterly 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"/>
          <c:y val="0.139418880159621"/>
          <c:w val="0.939893617021277"/>
          <c:h val="0.735627883776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Input'!$B$47:$F$47</c:f>
              <c:numCache>
                <c:formatCode>_(* #,##0.0_);_(* \(#,##0.0\);_(* \-??_);_(@_)</c:formatCode>
                <c:ptCount val="5"/>
                <c:pt idx="0">
                  <c:v>100.66806961</c:v>
                </c:pt>
                <c:pt idx="1">
                  <c:v>94.20920152</c:v>
                </c:pt>
                <c:pt idx="2">
                  <c:v>31.03848</c:v>
                </c:pt>
                <c:pt idx="3">
                  <c:v>-76.862034</c:v>
                </c:pt>
                <c:pt idx="4">
                  <c:v>149.05371713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Input'!$I$47:$M$47</c:f>
              <c:numCache>
                <c:formatCode>_(* #,##0.0_);_(* \(#,##0.0\);_(* \-??_);_(@_)</c:formatCode>
                <c:ptCount val="5"/>
                <c:pt idx="0">
                  <c:v>97.29875</c:v>
                </c:pt>
                <c:pt idx="1">
                  <c:v>111.603422</c:v>
                </c:pt>
                <c:pt idx="2">
                  <c:v>123.813053</c:v>
                </c:pt>
                <c:pt idx="3">
                  <c:v>175.311472</c:v>
                </c:pt>
                <c:pt idx="4">
                  <c:v>508.026697</c:v>
                </c:pt>
              </c:numCache>
            </c:numRef>
          </c:val>
        </c:ser>
        <c:gapWidth val="150"/>
        <c:overlap val="0"/>
        <c:axId val="90367876"/>
        <c:axId val="32704167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Input'!$B$82:$F$82</c:f>
              <c:numCache>
                <c:formatCode>_(* #,##0.0_);_(* \(#,##0.0\);_(* \-??_);_(@_)</c:formatCode>
                <c:ptCount val="5"/>
                <c:pt idx="0">
                  <c:v>71.014</c:v>
                </c:pt>
                <c:pt idx="1">
                  <c:v>29.605</c:v>
                </c:pt>
                <c:pt idx="2">
                  <c:v>20.097</c:v>
                </c:pt>
                <c:pt idx="3">
                  <c:v>83.498</c:v>
                </c:pt>
                <c:pt idx="4">
                  <c:v>204.214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367876"/>
        <c:axId val="32704167"/>
      </c:lineChart>
      <c:catAx>
        <c:axId val="903678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2704167"/>
        <c:crossesAt val="0"/>
        <c:auto val="1"/>
        <c:lblAlgn val="ctr"/>
        <c:lblOffset val="100"/>
        <c:noMultiLvlLbl val="0"/>
      </c:catAx>
      <c:valAx>
        <c:axId val="3270416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 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26686619279211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0367876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838905775076"/>
          <c:y val="0.839132061354284"/>
          <c:w val="0.439665653495441"/>
          <c:h val="0.09240553684998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Net Cash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8921007883753"/>
          <c:y val="0.106289614822038"/>
          <c:w val="0.923017467923945"/>
          <c:h val="0.8202096538274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Team'!$D$22:$O$22</c:f>
              <c:numCache>
                <c:formatCode>_(* #,##0.0_);_(* \(#,##0.0\);_(* \-??_);_(@_)</c:formatCode>
                <c:ptCount val="12"/>
                <c:pt idx="0">
                  <c:v>12.599</c:v>
                </c:pt>
                <c:pt idx="1">
                  <c:v>-6.73</c:v>
                </c:pt>
                <c:pt idx="2">
                  <c:v>-16.241</c:v>
                </c:pt>
                <c:pt idx="3">
                  <c:v>-31.31</c:v>
                </c:pt>
                <c:pt idx="4">
                  <c:v>-73.048</c:v>
                </c:pt>
                <c:pt idx="5">
                  <c:v>7.537</c:v>
                </c:pt>
                <c:pt idx="6">
                  <c:v>2.375</c:v>
                </c:pt>
                <c:pt idx="7">
                  <c:v>7.356</c:v>
                </c:pt>
                <c:pt idx="8">
                  <c:v>-14.707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25668571"/>
        <c:axId val="81697095"/>
      </c:barChart>
      <c:lineChart>
        <c:grouping val="standard"/>
        <c:varyColors val="0"/>
        <c:ser>
          <c:idx val="1"/>
          <c:order val="1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Team'!$D$23:$L$23</c:f>
              <c:numCache>
                <c:formatCode>_(* #,##0.0_);_(* \(#,##0.0\);_(* \-??_);_(@_)</c:formatCode>
                <c:ptCount val="9"/>
                <c:pt idx="0">
                  <c:v>12.599</c:v>
                </c:pt>
                <c:pt idx="1">
                  <c:v>5.869</c:v>
                </c:pt>
                <c:pt idx="2">
                  <c:v>-10.372</c:v>
                </c:pt>
                <c:pt idx="3">
                  <c:v>-41.682</c:v>
                </c:pt>
                <c:pt idx="4">
                  <c:v>-114.73</c:v>
                </c:pt>
                <c:pt idx="5">
                  <c:v>-107.193</c:v>
                </c:pt>
                <c:pt idx="6">
                  <c:v>-104.818</c:v>
                </c:pt>
                <c:pt idx="7">
                  <c:v>-97.462</c:v>
                </c:pt>
                <c:pt idx="8">
                  <c:v>-112.169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668571"/>
        <c:axId val="81697095"/>
      </c:lineChart>
      <c:catAx>
        <c:axId val="256685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1697095"/>
        <c:crossesAt val="0"/>
        <c:auto val="1"/>
        <c:lblAlgn val="ctr"/>
        <c:lblOffset val="100"/>
        <c:noMultiLvlLbl val="0"/>
      </c:catAx>
      <c:valAx>
        <c:axId val="816970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566857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7395269748029"/>
          <c:y val="0.893954168698196"/>
          <c:w val="0.757999690833205"/>
          <c:h val="0.073135056070209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56345724621"/>
          <c:y val="0.120525657071339"/>
          <c:w val="0.866081736319557"/>
          <c:h val="0.770713391739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Input'!$B$18,'IS Input'!$I$18,'IS Input'!$P$18,'IS Input'!$W$18,'IS Input'!$AD$18</c:f>
              <c:numCache>
                <c:formatCode>_(* #,##0.0_);_(* \(#,##0.0\);_(* \-??_);_(@_)</c:formatCode>
                <c:ptCount val="5"/>
                <c:pt idx="0">
                  <c:v>-6.238153</c:v>
                </c:pt>
                <c:pt idx="1">
                  <c:v>0</c:v>
                </c:pt>
                <c:pt idx="4">
                  <c:v>-6.238153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Input'!$E$18,'IS Input'!$L$18,'IS Input'!$S$18,'IS Input'!$Z$18,'IS Input'!$AG$18</c:f>
              <c:numCache>
                <c:formatCode>_(* #,##0.0_);_(* \(#,##0.0\);_(* \-??_);_(@_)</c:formatCode>
                <c:ptCount val="5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gapWidth val="150"/>
        <c:overlap val="0"/>
        <c:axId val="14814220"/>
        <c:axId val="71962082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Input'!$B$73:$F$73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814220"/>
        <c:axId val="71962082"/>
      </c:lineChart>
      <c:catAx>
        <c:axId val="148142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1962082"/>
        <c:crossesAt val="0"/>
        <c:auto val="1"/>
        <c:lblAlgn val="ctr"/>
        <c:lblOffset val="100"/>
        <c:noMultiLvlLbl val="0"/>
      </c:catAx>
      <c:valAx>
        <c:axId val="71962082"/>
        <c:scaling>
          <c:orientation val="minMax"/>
          <c:max val="20"/>
          <c:min val="-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83479349186483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4814220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4317709535904"/>
          <c:y val="0.875719649561953"/>
          <c:w val="0.415454475486801"/>
          <c:h val="0.0838548185231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7477203647417"/>
          <c:y val="0.139685707158893"/>
          <c:w val="0.859346504559271"/>
          <c:h val="0.6753554502369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Input'!$C$18,'IS Input'!$J$18,'IS Input'!$Q$18,'IS Input'!$X$18,'IS Input'!$AE$18</c:f>
              <c:numCache>
                <c:formatCode>_(* #,##0.0_);_(* \(#,##0.0\);_(* \-??_);_(@_)</c:formatCode>
                <c:ptCount val="5"/>
                <c:pt idx="0">
                  <c:v>0.570503</c:v>
                </c:pt>
                <c:pt idx="1">
                  <c:v>0</c:v>
                </c:pt>
                <c:pt idx="4">
                  <c:v>0.570503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Input'!$F$18,'IS Input'!$M$18,'IS Input'!$T$18,'IS Input'!$AA$18,'IS Input'!$AH$18</c:f>
              <c:numCache>
                <c:formatCode>_(* #,##0.0_);_(* \(#,##0.0\);_(* \-??_);_(@_)</c:formatCode>
                <c:ptCount val="5"/>
                <c:pt idx="0">
                  <c:v>1.213619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1.213619</c:v>
                </c:pt>
              </c:numCache>
            </c:numRef>
          </c:val>
        </c:ser>
        <c:gapWidth val="150"/>
        <c:overlap val="0"/>
        <c:axId val="85956266"/>
        <c:axId val="3789464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Input'!$B$91:$F$91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956266"/>
        <c:axId val="3789464"/>
      </c:lineChart>
      <c:catAx>
        <c:axId val="859562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789464"/>
        <c:crossesAt val="0"/>
        <c:auto val="1"/>
        <c:lblAlgn val="ctr"/>
        <c:lblOffset val="100"/>
        <c:noMultiLvlLbl val="0"/>
      </c:catAx>
      <c:valAx>
        <c:axId val="3789464"/>
        <c:scaling>
          <c:orientation val="minMax"/>
          <c:max val="6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27026689947617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5956266"/>
        <c:crossesAt val="1"/>
        <c:crossBetween val="midCat"/>
        <c:majorUnit val="3"/>
        <c:minorUnit val="3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09498480243161"/>
          <c:y val="0.851583936143677"/>
          <c:w val="0.418161094224924"/>
          <c:h val="0.1011474183088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1157546371123"/>
          <c:y val="0.100850850850851"/>
          <c:w val="0.862002616793658"/>
          <c:h val="0.743993993993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Input'!$AL$21,'IS Input'!$AN$21,'IS Input'!$AP$21,'IS Input'!$AR$21,'IS Input'!$AT$21,'IS Input'!$AV$21,'IS Input'!$AX$21,'IS Input'!$AZ$21,'IS Input'!$BB$21,'IS Input'!$BD$21,'IS Input'!$BF$21,'IS Input'!$BH$21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7.5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11</c:v>
                </c:pt>
                <c:pt idx="9">
                  <c:v>7</c:v>
                </c:pt>
              </c:numCache>
            </c:numRef>
          </c:val>
        </c:ser>
        <c:gapWidth val="150"/>
        <c:overlap val="0"/>
        <c:axId val="32826729"/>
        <c:axId val="82368136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Input'!$AM$21,'IS Input'!$AO$21,'IS Input'!$AQ$21,'IS Input'!$AS$21,'IS Input'!$AU$21,'IS Input'!$AW$21,'IS Input'!$AY$21,'IS Input'!$BA$21,'IS Input'!$BC$21,'IS Input'!$BE$21,'IS Input'!$BG$21,'IS Input'!$BI$21</c:f>
              <c:numCache>
                <c:formatCode>General</c:formatCode>
                <c:ptCount val="12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826729"/>
        <c:axId val="82368136"/>
      </c:lineChart>
      <c:catAx>
        <c:axId val="328267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2368136"/>
        <c:crossesAt val="0"/>
        <c:auto val="1"/>
        <c:lblAlgn val="ctr"/>
        <c:lblOffset val="100"/>
        <c:noMultiLvlLbl val="0"/>
      </c:catAx>
      <c:valAx>
        <c:axId val="8236813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2826729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9331178326791"/>
          <c:y val="0.88038038038038"/>
          <c:w val="0.325790810436389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7987377818826"/>
          <c:y val="0.091966966966967"/>
          <c:w val="0.899484337720311"/>
          <c:h val="0.750250250250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Input'!$D$18,'IS Input'!$K$18,'IS Input'!$R$18,'IS Input'!$Y$18,'IS Input'!$AF$18</c:f>
              <c:numCache>
                <c:formatCode>_(* #,##0.0_);_(* \(#,##0.0\);_(* \-??_);_(@_)</c:formatCode>
                <c:ptCount val="5"/>
                <c:pt idx="0">
                  <c:v>-7.560353</c:v>
                </c:pt>
                <c:pt idx="1">
                  <c:v>0</c:v>
                </c:pt>
                <c:pt idx="4">
                  <c:v>-7.560353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Input'!$G$18,'IS Input'!$N$18,'IS Input'!$U$18,'IS Input'!$AB$18,'IS Input'!$AI$18</c:f>
              <c:numCache>
                <c:formatCode>_(* #,##0.0_);_(* \(#,##0.0\);_(* \-??_);_(@_)</c:formatCode>
                <c:ptCount val="5"/>
                <c:pt idx="0">
                  <c:v>2.915624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2.915624</c:v>
                </c:pt>
              </c:numCache>
            </c:numRef>
          </c:val>
        </c:ser>
        <c:gapWidth val="150"/>
        <c:overlap val="0"/>
        <c:axId val="4753217"/>
        <c:axId val="90246237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Input'!$B$109:$F$109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53217"/>
        <c:axId val="90246237"/>
      </c:lineChart>
      <c:catAx>
        <c:axId val="47532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0246237"/>
        <c:crossesAt val="0"/>
        <c:auto val="1"/>
        <c:lblAlgn val="ctr"/>
        <c:lblOffset val="100"/>
        <c:noMultiLvlLbl val="0"/>
      </c:catAx>
      <c:valAx>
        <c:axId val="90246237"/>
        <c:scaling>
          <c:orientation val="minMax"/>
          <c:max val="15"/>
          <c:min val="-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753217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90387131532364"/>
          <c:y val="0.859234234234234"/>
          <c:w val="0.429000230893558"/>
          <c:h val="0.097097097097097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Physical Sales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47433233279458"/>
          <c:y val="0.118272841051314"/>
          <c:w val="0.87208496882937"/>
          <c:h val="0.776345431789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Input'!$B$12,'volumes Input'!$G$12,'volumes Input'!$L$12,'volumes Input'!$Q$12,'volumes Input'!$V$12,'volumes Input'!$AA$12,'volumes Input'!$AF$12,'volumes Input'!$AK$12,'volumes Input'!$AP$12,'volumes Input'!$AU$12,'volumes Input'!$AZ$12,'volumes Input'!$BE$12</c:f>
              <c:numCache>
                <c:formatCode>_(* #,##0_);_(* \(#,##0\);_(* \-??_);_(@_)</c:formatCode>
                <c:ptCount val="12"/>
                <c:pt idx="0">
                  <c:v>6936.721</c:v>
                </c:pt>
                <c:pt idx="1">
                  <c:v>6270.981</c:v>
                </c:pt>
                <c:pt idx="2">
                  <c:v>6325.113</c:v>
                </c:pt>
                <c:pt idx="3">
                  <c:v>8004.107</c:v>
                </c:pt>
                <c:pt idx="4">
                  <c:v>5662.816</c:v>
                </c:pt>
                <c:pt idx="5">
                  <c:v>8026.946</c:v>
                </c:pt>
                <c:pt idx="6">
                  <c:v>7527.629</c:v>
                </c:pt>
                <c:pt idx="7">
                  <c:v>7200.54</c:v>
                </c:pt>
                <c:pt idx="8">
                  <c:v>7909.201</c:v>
                </c:pt>
                <c:pt idx="9">
                  <c:v>6593</c:v>
                </c:pt>
              </c:numCache>
            </c:numRef>
          </c:val>
        </c:ser>
        <c:gapWidth val="150"/>
        <c:overlap val="0"/>
        <c:axId val="3893935"/>
        <c:axId val="70821210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Input'!$B$20,'volumes Input'!$G$20,'volumes Input'!$L$20,'volumes Input'!$Q$20,'volumes Input'!$V$20,'volumes Input'!$AA$20,'volumes Input'!$AF$20,'volumes Input'!$AK$20,'volumes Input'!$AP$20,'volumes Input'!$AU$20,'volumes Input'!$AZ$20,'volumes Input'!$BE$20</c:f>
              <c:numCache>
                <c:formatCode>_(* #,##0_);_(* \(#,##0\);_(* \-??_);_(@_)</c:formatCode>
                <c:ptCount val="12"/>
                <c:pt idx="0">
                  <c:v>2692.75</c:v>
                </c:pt>
                <c:pt idx="1">
                  <c:v>2549.831</c:v>
                </c:pt>
                <c:pt idx="2">
                  <c:v>2692.487</c:v>
                </c:pt>
                <c:pt idx="3">
                  <c:v>2809.562</c:v>
                </c:pt>
                <c:pt idx="4">
                  <c:v>2954.256</c:v>
                </c:pt>
                <c:pt idx="5">
                  <c:v>3265.875</c:v>
                </c:pt>
                <c:pt idx="6">
                  <c:v>2893.06</c:v>
                </c:pt>
                <c:pt idx="7">
                  <c:v>3103.223</c:v>
                </c:pt>
                <c:pt idx="8">
                  <c:v>3022.793</c:v>
                </c:pt>
                <c:pt idx="9">
                  <c:v>4236.09</c:v>
                </c:pt>
                <c:pt idx="10">
                  <c:v>5082.321</c:v>
                </c:pt>
                <c:pt idx="11">
                  <c:v>5140.719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93935"/>
        <c:axId val="70821210"/>
      </c:lineChart>
      <c:catAx>
        <c:axId val="389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0821210"/>
        <c:crossesAt val="0"/>
        <c:auto val="1"/>
        <c:lblAlgn val="ctr"/>
        <c:lblOffset val="100"/>
        <c:noMultiLvlLbl val="0"/>
      </c:catAx>
      <c:valAx>
        <c:axId val="70821210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(000's Tonnes)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00638297872340426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89393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4532440544909"/>
          <c:y val="0.863078848560701"/>
          <c:w val="0.496882936966059"/>
          <c:h val="0.0838548185231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2188449848024"/>
          <c:y val="0.134322773759042"/>
          <c:w val="0.879787234042553"/>
          <c:h val="0.759915190820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Input'!$D$12,'volumes Input'!$I$12,'volumes Input'!$N$12,'volumes Input'!$S$12,'volumes Input'!$X$12,'volumes Input'!$AC$12,'volumes Input'!$AH$12,'volumes Input'!$AM$12,'volumes Input'!$AR$12,'volumes Input'!$AW$12,'volumes Input'!$BB$12,'volumes Input'!$BG$12</c:f>
              <c:numCache>
                <c:formatCode>_(* #,##0_);_(* \(#,##0\);_(* \-??_);_(@_)</c:formatCode>
                <c:ptCount val="12"/>
                <c:pt idx="0">
                  <c:v>331</c:v>
                </c:pt>
                <c:pt idx="1">
                  <c:v>220</c:v>
                </c:pt>
                <c:pt idx="2">
                  <c:v>189</c:v>
                </c:pt>
                <c:pt idx="3">
                  <c:v>116</c:v>
                </c:pt>
                <c:pt idx="4">
                  <c:v>144</c:v>
                </c:pt>
                <c:pt idx="5">
                  <c:v>125</c:v>
                </c:pt>
                <c:pt idx="6">
                  <c:v>372</c:v>
                </c:pt>
                <c:pt idx="7">
                  <c:v>909</c:v>
                </c:pt>
                <c:pt idx="8">
                  <c:v>468</c:v>
                </c:pt>
                <c:pt idx="9">
                  <c:v>466</c:v>
                </c:pt>
              </c:numCache>
            </c:numRef>
          </c:val>
        </c:ser>
        <c:gapWidth val="150"/>
        <c:overlap val="0"/>
        <c:axId val="38844525"/>
        <c:axId val="91005150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Input'!$D$20,'volumes Input'!$I$20,'volumes Input'!$N$20,'volumes Input'!$S$20,'volumes Input'!$X$20,'volumes Input'!$AC$20,'volumes Input'!$AH$20,'volumes Input'!$AM$20,'volumes Input'!$AR$20,'volumes Input'!$AW$20,'volumes Input'!$BB$20,'volumes Input'!$BG$20</c:f>
              <c:numCache>
                <c:formatCode>_(* #,##0_);_(* \(#,##0\);_(* \-??_);_(@_)</c:formatCode>
                <c:ptCount val="12"/>
                <c:pt idx="0">
                  <c:v>93</c:v>
                </c:pt>
                <c:pt idx="1">
                  <c:v>92</c:v>
                </c:pt>
                <c:pt idx="2">
                  <c:v>81</c:v>
                </c:pt>
                <c:pt idx="3">
                  <c:v>96</c:v>
                </c:pt>
                <c:pt idx="4">
                  <c:v>90</c:v>
                </c:pt>
                <c:pt idx="5">
                  <c:v>71</c:v>
                </c:pt>
                <c:pt idx="6">
                  <c:v>106</c:v>
                </c:pt>
                <c:pt idx="7">
                  <c:v>473</c:v>
                </c:pt>
                <c:pt idx="8">
                  <c:v>473</c:v>
                </c:pt>
                <c:pt idx="9">
                  <c:v>955</c:v>
                </c:pt>
                <c:pt idx="10">
                  <c:v>421</c:v>
                </c:pt>
                <c:pt idx="11">
                  <c:v>332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844525"/>
        <c:axId val="91005150"/>
      </c:lineChart>
      <c:catAx>
        <c:axId val="388445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1005150"/>
        <c:crossesAt val="0"/>
        <c:auto val="1"/>
        <c:lblAlgn val="ctr"/>
        <c:lblOffset val="100"/>
        <c:noMultiLvlLbl val="0"/>
      </c:catAx>
      <c:valAx>
        <c:axId val="91005150"/>
        <c:scaling>
          <c:orientation val="minMax"/>
          <c:min val="0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8844525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25661094224924"/>
          <c:y val="0.884010975305563"/>
          <c:w val="0.530775075987842"/>
          <c:h val="0.07919680718383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EOL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3471869468175"/>
          <c:y val="0.120620620620621"/>
          <c:w val="0.885553759716771"/>
          <c:h val="0.7772772772772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Input'!$E$12,'volumes Input'!$J$12,'volumes Input'!$O$12,'volumes Input'!$T$12,'volumes Input'!$Y$12,'volumes Input'!$AD$12,'volumes Input'!$AI$12,'volumes Input'!$AN$12,'volumes Input'!$AS$12,'volumes Input'!$AX$12,'volumes Input'!$BC$12,'volumes Input'!$BH$12</c:f>
              <c:numCache>
                <c:formatCode>_(* #,##0_);_(* \(#,##0\);_(* \-??_);_(@_)</c:formatCode>
                <c:ptCount val="12"/>
                <c:pt idx="0">
                  <c:v>130</c:v>
                </c:pt>
                <c:pt idx="1">
                  <c:v>46</c:v>
                </c:pt>
                <c:pt idx="2">
                  <c:v>11</c:v>
                </c:pt>
                <c:pt idx="3">
                  <c:v>15</c:v>
                </c:pt>
                <c:pt idx="4">
                  <c:v>10</c:v>
                </c:pt>
                <c:pt idx="5">
                  <c:v>6</c:v>
                </c:pt>
                <c:pt idx="6">
                  <c:v>43</c:v>
                </c:pt>
                <c:pt idx="7">
                  <c:v>203</c:v>
                </c:pt>
                <c:pt idx="8">
                  <c:v>116</c:v>
                </c:pt>
                <c:pt idx="9">
                  <c:v>104</c:v>
                </c:pt>
              </c:numCache>
            </c:numRef>
          </c:val>
        </c:ser>
        <c:gapWidth val="150"/>
        <c:overlap val="100"/>
        <c:axId val="77329731"/>
        <c:axId val="68113286"/>
      </c:barChart>
      <c:lineChart>
        <c:grouping val="stacke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Input'!$E$20,'volumes Input'!$J$20,'volumes Input'!$O$20,'volumes Input'!$T$20,'volumes Input'!$Y$20,'volumes Input'!$AD$20,'volumes Input'!$AI$20,'volumes Input'!$AN$20,'volumes Input'!$AS$20,'volumes Input'!$AX$20,'volumes Input'!$BC$20,'volumes Input'!$BH$20</c:f>
              <c:numCache>
                <c:formatCode>_(* #,##0_);_(* \(#,##0\);_(* \-??_);_(@_)</c:formatCode>
                <c:ptCount val="12"/>
                <c:pt idx="0">
                  <c:v>38</c:v>
                </c:pt>
                <c:pt idx="1">
                  <c:v>26</c:v>
                </c:pt>
                <c:pt idx="2">
                  <c:v>20</c:v>
                </c:pt>
                <c:pt idx="3">
                  <c:v>31</c:v>
                </c:pt>
                <c:pt idx="4">
                  <c:v>13</c:v>
                </c:pt>
                <c:pt idx="5">
                  <c:v>15</c:v>
                </c:pt>
                <c:pt idx="6">
                  <c:v>79</c:v>
                </c:pt>
                <c:pt idx="7">
                  <c:v>380</c:v>
                </c:pt>
                <c:pt idx="8">
                  <c:v>385</c:v>
                </c:pt>
                <c:pt idx="9">
                  <c:v>817</c:v>
                </c:pt>
                <c:pt idx="10">
                  <c:v>208</c:v>
                </c:pt>
                <c:pt idx="11">
                  <c:v>164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329731"/>
        <c:axId val="68113286"/>
      </c:lineChart>
      <c:catAx>
        <c:axId val="773297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8113286"/>
        <c:crossesAt val="0"/>
        <c:auto val="1"/>
        <c:lblAlgn val="ctr"/>
        <c:lblOffset val="100"/>
        <c:noMultiLvlLbl val="0"/>
      </c:catAx>
      <c:valAx>
        <c:axId val="68113286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732973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8479181097514"/>
          <c:y val="0.886261261261261"/>
          <c:w val="0.35026552759178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Financial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3217569724143"/>
          <c:y val="0.152402402402402"/>
          <c:w val="0.885781594346075"/>
          <c:h val="0.7271021021021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Input'!$C$12,'volumes Input'!$H$12,'volumes Input'!$M$12,'volumes Input'!$R$12,'volumes Input'!$W$12,'volumes Input'!$AB$12,'volumes Input'!$AG$12,'volumes Input'!$AL$12,'volumes Input'!$AQ$12,'volumes Input'!$AV$12,'volumes Input'!$BA$12,'volumes Input'!$BF$12</c:f>
              <c:numCache>
                <c:formatCode>_(* #,##0_);_(* \(#,##0\);_(* \-??_);_(@_)</c:formatCode>
                <c:ptCount val="12"/>
                <c:pt idx="0">
                  <c:v>767.6</c:v>
                </c:pt>
                <c:pt idx="1">
                  <c:v>1460</c:v>
                </c:pt>
                <c:pt idx="2">
                  <c:v>1795.8</c:v>
                </c:pt>
                <c:pt idx="3">
                  <c:v>240</c:v>
                </c:pt>
                <c:pt idx="4">
                  <c:v>2170.012</c:v>
                </c:pt>
                <c:pt idx="5">
                  <c:v>2483.6</c:v>
                </c:pt>
                <c:pt idx="6">
                  <c:v>287.5</c:v>
                </c:pt>
                <c:pt idx="7">
                  <c:v>277.5</c:v>
                </c:pt>
                <c:pt idx="8">
                  <c:v>277.5</c:v>
                </c:pt>
                <c:pt idx="9">
                  <c:v>533</c:v>
                </c:pt>
              </c:numCache>
            </c:numRef>
          </c:val>
        </c:ser>
        <c:gapWidth val="150"/>
        <c:overlap val="0"/>
        <c:axId val="50647599"/>
        <c:axId val="77766823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Input'!$C$20,'volumes Input'!$H$20,'volumes Input'!$M$20,'volumes Input'!$R$20,'volumes Input'!$W$20,'volumes Input'!$AB$20,'volumes Input'!$AG$20,'volumes Input'!$AL$20,'volumes Input'!$AQ$20,'volumes Input'!$AV$20,'volumes Input'!$BA$20,'volumes Input'!$BF$20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1980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647599"/>
        <c:axId val="77766823"/>
      </c:lineChart>
      <c:catAx>
        <c:axId val="506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7766823"/>
        <c:crossesAt val="0"/>
        <c:auto val="1"/>
        <c:lblAlgn val="ctr"/>
        <c:lblOffset val="100"/>
        <c:noMultiLvlLbl val="0"/>
      </c:catAx>
      <c:valAx>
        <c:axId val="77766823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(000's Tonnes)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064759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88623755604529"/>
          <c:y val="0.858983983983984"/>
          <c:w val="0.471844365073334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3439544370045"/>
          <c:y val="0.127723894697065"/>
          <c:w val="0.901408450704225"/>
          <c:h val="0.7267917873787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Input'!$B$5,'IS Input'!$I$5,'IS Input'!$P$5,'IS Input'!$W$5,'IS Input'!$AD$5</c:f>
              <c:numCache>
                <c:formatCode>_(* #,##0.0_);_(* \(#,##0.0\);_(* \-??_);_(@_)</c:formatCode>
                <c:ptCount val="5"/>
                <c:pt idx="0">
                  <c:v>8.725</c:v>
                </c:pt>
                <c:pt idx="1">
                  <c:v>8.858</c:v>
                </c:pt>
                <c:pt idx="2">
                  <c:v>8.926</c:v>
                </c:pt>
                <c:pt idx="3">
                  <c:v>-9.47</c:v>
                </c:pt>
                <c:pt idx="4">
                  <c:v>17.039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Input'!$E$5,'IS Input'!$L$5,'IS Input'!$S$5,'IS Input'!$Z$5,'IS Input'!$AG$5</c:f>
              <c:numCache>
                <c:formatCode>_(* #,##0.0_);_(* \(#,##0.0\);_(* \-??_);_(@_)</c:formatCode>
                <c:ptCount val="5"/>
                <c:pt idx="0">
                  <c:v>8.509251</c:v>
                </c:pt>
                <c:pt idx="1">
                  <c:v>7.078819</c:v>
                </c:pt>
                <c:pt idx="2">
                  <c:v>8.659352</c:v>
                </c:pt>
                <c:pt idx="3">
                  <c:v>8.75258</c:v>
                </c:pt>
                <c:pt idx="4">
                  <c:v>33.000002</c:v>
                </c:pt>
              </c:numCache>
            </c:numRef>
          </c:val>
        </c:ser>
        <c:gapWidth val="150"/>
        <c:overlap val="0"/>
        <c:axId val="27932672"/>
        <c:axId val="4367474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Input'!$B$74:$F$74</c:f>
              <c:numCache>
                <c:formatCode>_(* #,##0.0_);_(* \(#,##0.0\);_(* \-??_);_(@_)</c:formatCode>
                <c:ptCount val="5"/>
                <c:pt idx="0">
                  <c:v>5.666</c:v>
                </c:pt>
                <c:pt idx="1">
                  <c:v>3.794</c:v>
                </c:pt>
                <c:pt idx="2">
                  <c:v>3.436</c:v>
                </c:pt>
                <c:pt idx="3">
                  <c:v>6.215</c:v>
                </c:pt>
                <c:pt idx="4">
                  <c:v>19.111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932672"/>
        <c:axId val="4367474"/>
      </c:lineChart>
      <c:catAx>
        <c:axId val="2793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367474"/>
        <c:crossesAt val="0"/>
        <c:auto val="1"/>
        <c:lblAlgn val="ctr"/>
        <c:lblOffset val="100"/>
        <c:noMultiLvlLbl val="0"/>
      </c:catAx>
      <c:valAx>
        <c:axId val="4367474"/>
        <c:scaling>
          <c:orientation val="minMax"/>
          <c:max val="40"/>
          <c:min val="-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227862451190326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7932672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7555606865235"/>
          <c:y val="0.818994835621615"/>
          <c:w val="0.409989994612484"/>
          <c:h val="0.079984884746189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 - 4Q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5379939209727"/>
          <c:y val="0.131881881881882"/>
          <c:w val="0.937462006079027"/>
          <c:h val="0.6263763763763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"Actual-to-Date"</c:f>
              <c:strCache>
                <c:ptCount val="1"/>
                <c:pt idx="0">
                  <c:v>Actual-to-Date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Input'!$A$3:$A$12</c:f>
              <c:strCache>
                <c:ptCount val="10"/>
                <c:pt idx="0">
                  <c:v>Crude &amp; Products</c:v>
                </c:pt>
                <c:pt idx="1">
                  <c:v>Coal / Emissions</c:v>
                </c:pt>
                <c:pt idx="2">
                  <c:v>Weather</c:v>
                </c:pt>
                <c:pt idx="3">
                  <c:v>Risk Markets</c:v>
                </c:pt>
                <c:pt idx="4">
                  <c:v>Fin Trading</c:v>
                </c:pt>
                <c:pt idx="5">
                  <c:v>Freight</c:v>
                </c:pt>
                <c:pt idx="6">
                  <c:v>LNG / Puerto Rico</c:v>
                </c:pt>
                <c:pt idx="7">
                  <c:v>Japan</c:v>
                </c:pt>
                <c:pt idx="8">
                  <c:v>Finance / Chair / ME / Other /Drift</c:v>
                </c:pt>
                <c:pt idx="9">
                  <c:v>Total</c:v>
                </c:pt>
              </c:strCache>
            </c:strRef>
          </c:cat>
          <c:val>
            <c:numRef>
              <c:f>'IS Input'!$W$3:$W$12</c:f>
              <c:numCache>
                <c:formatCode>_(* #,##0.0_);_(* \(#,##0.0\);_(* \-??_);_(@_)</c:formatCode>
                <c:ptCount val="10"/>
                <c:pt idx="0">
                  <c:v>-51.497476</c:v>
                </c:pt>
                <c:pt idx="1">
                  <c:v>6.613635</c:v>
                </c:pt>
                <c:pt idx="2">
                  <c:v>-9.47</c:v>
                </c:pt>
                <c:pt idx="3">
                  <c:v>0.858427</c:v>
                </c:pt>
                <c:pt idx="4">
                  <c:v>3.316</c:v>
                </c:pt>
                <c:pt idx="5">
                  <c:v>-0.152096</c:v>
                </c:pt>
                <c:pt idx="6">
                  <c:v>2.321</c:v>
                </c:pt>
                <c:pt idx="7">
                  <c:v>0.001476</c:v>
                </c:pt>
                <c:pt idx="8">
                  <c:v>-28.853</c:v>
                </c:pt>
                <c:pt idx="9">
                  <c:v>-76.862034</c:v>
                </c:pt>
              </c:numCache>
            </c:numRef>
          </c:val>
        </c:ser>
        <c:ser>
          <c:idx val="1"/>
          <c:order val="1"/>
          <c:tx>
            <c:strRef>
              <c:f>"Qtr Plan"</c:f>
              <c:strCache>
                <c:ptCount val="1"/>
                <c:pt idx="0">
                  <c:v>Qtr 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Input'!$A$3:$A$12</c:f>
              <c:strCache>
                <c:ptCount val="10"/>
                <c:pt idx="0">
                  <c:v>Crude &amp; Products</c:v>
                </c:pt>
                <c:pt idx="1">
                  <c:v>Coal / Emissions</c:v>
                </c:pt>
                <c:pt idx="2">
                  <c:v>Weather</c:v>
                </c:pt>
                <c:pt idx="3">
                  <c:v>Risk Markets</c:v>
                </c:pt>
                <c:pt idx="4">
                  <c:v>Fin Trading</c:v>
                </c:pt>
                <c:pt idx="5">
                  <c:v>Freight</c:v>
                </c:pt>
                <c:pt idx="6">
                  <c:v>LNG / Puerto Rico</c:v>
                </c:pt>
                <c:pt idx="7">
                  <c:v>Japan</c:v>
                </c:pt>
                <c:pt idx="8">
                  <c:v>Finance / Chair / ME / Other /Drift</c:v>
                </c:pt>
                <c:pt idx="9">
                  <c:v>Total</c:v>
                </c:pt>
              </c:strCache>
            </c:strRef>
          </c:cat>
          <c:val>
            <c:numRef>
              <c:f>'IS Input'!$Z$3:$Z$12</c:f>
              <c:numCache>
                <c:formatCode>_(* #,##0.0_);_(* \(#,##0.0\);_(* \-??_);_(@_)</c:formatCode>
                <c:ptCount val="10"/>
                <c:pt idx="0">
                  <c:v>45</c:v>
                </c:pt>
                <c:pt idx="1">
                  <c:v>18.75</c:v>
                </c:pt>
                <c:pt idx="2">
                  <c:v>8.75258</c:v>
                </c:pt>
                <c:pt idx="3">
                  <c:v>8.875</c:v>
                </c:pt>
                <c:pt idx="4">
                  <c:v>29.545</c:v>
                </c:pt>
                <c:pt idx="5">
                  <c:v>13.3055</c:v>
                </c:pt>
                <c:pt idx="6">
                  <c:v>44</c:v>
                </c:pt>
                <c:pt idx="7">
                  <c:v>3.75</c:v>
                </c:pt>
                <c:pt idx="8">
                  <c:v>3.333392</c:v>
                </c:pt>
                <c:pt idx="9">
                  <c:v>175.311472</c:v>
                </c:pt>
              </c:numCache>
            </c:numRef>
          </c:val>
        </c:ser>
        <c:gapWidth val="150"/>
        <c:overlap val="0"/>
        <c:axId val="66307865"/>
        <c:axId val="63479739"/>
      </c:barChart>
      <c:catAx>
        <c:axId val="663078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63479739"/>
        <c:crossesAt val="0"/>
        <c:auto val="1"/>
        <c:lblAlgn val="ctr"/>
        <c:lblOffset val="100"/>
        <c:noMultiLvlLbl val="0"/>
      </c:catAx>
      <c:valAx>
        <c:axId val="63479739"/>
        <c:scaling>
          <c:orientation val="minMax"/>
          <c:max val="2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6307865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9012158054711"/>
          <c:y val="0.866241241241241"/>
          <c:w val="0.268085106382979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0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9672131147541"/>
          <c:y val="0.130878600072913"/>
          <c:w val="0.839913799738321"/>
          <c:h val="0.7774942277311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Input'!$AL$6,'IS Input'!$AN$6,'IS Input'!$AP$6,'IS Input'!$AR$6,'IS Input'!$AT$6,'IS Input'!$AV$6,'IS Input'!$AX$6,'IS Input'!$AZ$6,'IS Input'!$BB$6,'IS Input'!$BD$6,'IS Input'!$BF$6,'IS Input'!$BH$6</c:f>
              <c:numCache>
                <c:formatCode>General</c:formatCode>
                <c:ptCount val="12"/>
                <c:pt idx="0">
                  <c:v>27</c:v>
                </c:pt>
                <c:pt idx="1">
                  <c:v>19</c:v>
                </c:pt>
                <c:pt idx="2">
                  <c:v>21</c:v>
                </c:pt>
                <c:pt idx="3">
                  <c:v>23</c:v>
                </c:pt>
                <c:pt idx="4">
                  <c:v>27</c:v>
                </c:pt>
                <c:pt idx="5">
                  <c:v>25</c:v>
                </c:pt>
                <c:pt idx="6">
                  <c:v>31</c:v>
                </c:pt>
                <c:pt idx="7">
                  <c:v>34</c:v>
                </c:pt>
                <c:pt idx="8">
                  <c:v>44</c:v>
                </c:pt>
                <c:pt idx="9">
                  <c:v>48</c:v>
                </c:pt>
              </c:numCache>
            </c:numRef>
          </c:val>
        </c:ser>
        <c:gapWidth val="150"/>
        <c:overlap val="0"/>
        <c:axId val="1167101"/>
        <c:axId val="2803237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6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Input'!$AM$6,'IS Input'!$AO$6,'IS Input'!$AQ$6,'IS Input'!$AS$6,'IS Input'!$AU$6,'IS Input'!$AW$6,'IS Input'!$AY$6,'IS Input'!$BA$6,'IS Input'!$BC$6,'IS Input'!$BE$6,'IS Input'!$BG$6,'IS Input'!$BI$6</c:f>
              <c:numCache>
                <c:formatCode>General</c:formatCode>
                <c:ptCount val="12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67101"/>
        <c:axId val="2803237"/>
      </c:lineChart>
      <c:catAx>
        <c:axId val="11671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803237"/>
        <c:crossesAt val="0"/>
        <c:auto val="1"/>
        <c:lblAlgn val="ctr"/>
        <c:lblOffset val="100"/>
        <c:noMultiLvlLbl val="0"/>
      </c:catAx>
      <c:valAx>
        <c:axId val="280323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167101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3558839375048"/>
          <c:y val="0.959776400534694"/>
          <c:w val="0.35026552759178"/>
          <c:h val="0.072912869121399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9113154495022"/>
          <c:y val="0.134134134134134"/>
          <c:w val="0.809787977809864"/>
          <c:h val="0.776276276276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numFmt formatCode="#,##0.0_);\(#,##0.0\)" sourceLinked="1"/>
            <c:dLbl>
              <c:idx val="1"/>
              <c:numFmt formatCode="#,##0.0_);\(#,##0.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#,##0.0_);\(#,##0.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Input'!$D$5,'IS Input'!$K$5,'IS Input'!$R$5,'IS Input'!$Y$5,'IS Input'!$AF$5</c:f>
              <c:numCache>
                <c:formatCode>_(* #,##0.0_);_(* \(#,##0.0\);_(* \-??_);_(@_)</c:formatCode>
                <c:ptCount val="5"/>
                <c:pt idx="0">
                  <c:v>5.839069</c:v>
                </c:pt>
                <c:pt idx="1">
                  <c:v>6.646931</c:v>
                </c:pt>
                <c:pt idx="2">
                  <c:v>5.161736</c:v>
                </c:pt>
                <c:pt idx="3">
                  <c:v>-13.106833</c:v>
                </c:pt>
                <c:pt idx="4">
                  <c:v>4.540903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Input'!$G$5,'IS Input'!$N$5,'IS Input'!$U$5,'IS Input'!$AB$5,'IS Input'!$AI$5</c:f>
              <c:numCache>
                <c:formatCode>_(* #,##0.0_);_(* \(#,##0.0\);_(* \-??_);_(@_)</c:formatCode>
                <c:ptCount val="5"/>
                <c:pt idx="0">
                  <c:v>4.460982</c:v>
                </c:pt>
                <c:pt idx="1">
                  <c:v>3.838187</c:v>
                </c:pt>
                <c:pt idx="2">
                  <c:v>5.352897</c:v>
                </c:pt>
                <c:pt idx="3">
                  <c:v>5.415747</c:v>
                </c:pt>
                <c:pt idx="4">
                  <c:v>19.067813</c:v>
                </c:pt>
              </c:numCache>
            </c:numRef>
          </c:val>
        </c:ser>
        <c:gapWidth val="150"/>
        <c:overlap val="0"/>
        <c:axId val="68900411"/>
        <c:axId val="3721133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Input'!$B$110:$F$110</c:f>
              <c:numCache>
                <c:formatCode>_(* #,##0.0_);_(* \(#,##0.0\);_(* \-??_);_(@_)</c:formatCode>
                <c:ptCount val="5"/>
                <c:pt idx="0">
                  <c:v>3.057</c:v>
                </c:pt>
                <c:pt idx="1">
                  <c:v>2.397</c:v>
                </c:pt>
                <c:pt idx="2">
                  <c:v>2.235</c:v>
                </c:pt>
                <c:pt idx="3">
                  <c:v>3.676</c:v>
                </c:pt>
                <c:pt idx="4">
                  <c:v>11.365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900411"/>
        <c:axId val="3721133"/>
      </c:lineChart>
      <c:catAx>
        <c:axId val="689004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721133"/>
        <c:crossesAt val="0"/>
        <c:auto val="1"/>
        <c:lblAlgn val="ctr"/>
        <c:lblOffset val="100"/>
        <c:noMultiLvlLbl val="0"/>
      </c:catAx>
      <c:valAx>
        <c:axId val="3721133"/>
        <c:scaling>
          <c:orientation val="minMax"/>
          <c:max val="3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84041340527"/>
              <c:y val="0.30155155155155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8900411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7076525571852"/>
          <c:y val="0.899149149149149"/>
          <c:w val="0.428907971730375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Net Cash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8787598334105"/>
          <c:y val="0.105966703123101"/>
          <c:w val="0.923260836032701"/>
          <c:h val="0.8207558634098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Team'!$D$58:$O$58</c:f>
              <c:numCache>
                <c:formatCode>_(* #,##0.0_);_(* \(#,##0.0\);_(* \-??_);_(@_)</c:formatCode>
                <c:ptCount val="12"/>
                <c:pt idx="0">
                  <c:v>-18.496</c:v>
                </c:pt>
                <c:pt idx="1">
                  <c:v>-30.258</c:v>
                </c:pt>
                <c:pt idx="2">
                  <c:v>19.825</c:v>
                </c:pt>
                <c:pt idx="3">
                  <c:v>-1.018</c:v>
                </c:pt>
                <c:pt idx="4">
                  <c:v>0.284</c:v>
                </c:pt>
                <c:pt idx="5">
                  <c:v>-12.212</c:v>
                </c:pt>
                <c:pt idx="6">
                  <c:v>-7.532</c:v>
                </c:pt>
                <c:pt idx="7">
                  <c:v>-3.225</c:v>
                </c:pt>
                <c:pt idx="8">
                  <c:v>15.262</c:v>
                </c:pt>
              </c:numCache>
            </c:numRef>
          </c:val>
        </c:ser>
        <c:gapWidth val="150"/>
        <c:overlap val="0"/>
        <c:axId val="64866215"/>
        <c:axId val="92175676"/>
      </c:barChart>
      <c:lineChart>
        <c:grouping val="standard"/>
        <c:varyColors val="0"/>
        <c:ser>
          <c:idx val="1"/>
          <c:order val="1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Team'!$D$59:$L$59</c:f>
              <c:numCache>
                <c:formatCode>_(* #,##0.0_);_(* \(#,##0.0\);_(* \-??_);_(@_)</c:formatCode>
                <c:ptCount val="9"/>
                <c:pt idx="0">
                  <c:v>-18.496</c:v>
                </c:pt>
                <c:pt idx="1">
                  <c:v>-48.754</c:v>
                </c:pt>
                <c:pt idx="2">
                  <c:v>-28.929</c:v>
                </c:pt>
                <c:pt idx="3">
                  <c:v>-29.947</c:v>
                </c:pt>
                <c:pt idx="4">
                  <c:v>-29.663</c:v>
                </c:pt>
                <c:pt idx="5">
                  <c:v>-41.875</c:v>
                </c:pt>
                <c:pt idx="6">
                  <c:v>-49.407</c:v>
                </c:pt>
                <c:pt idx="7">
                  <c:v>-52.632</c:v>
                </c:pt>
                <c:pt idx="8">
                  <c:v>-37.37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866215"/>
        <c:axId val="92175676"/>
      </c:lineChart>
      <c:catAx>
        <c:axId val="64866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2175676"/>
        <c:crossesAt val="0"/>
        <c:auto val="1"/>
        <c:lblAlgn val="ctr"/>
        <c:lblOffset val="100"/>
        <c:noMultiLvlLbl val="0"/>
      </c:catAx>
      <c:valAx>
        <c:axId val="921756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486621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3297855930896"/>
          <c:y val="0.89427633977397"/>
          <c:w val="0.756362795002314"/>
          <c:h val="0.072912869121399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Transaction Count</a:t>
            </a:r>
          </a:p>
        </c:rich>
      </c:tx>
      <c:layout>
        <c:manualLayout>
          <c:xMode val="edge"/>
          <c:yMode val="edge"/>
          <c:x val="0.320313093700129"/>
          <c:y val="0.059740583686704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8778782582263"/>
          <c:y val="0.131080069842854"/>
          <c:w val="0.884337715631887"/>
          <c:h val="0.7318533300074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Input'!$D$13,'volumes Input'!$I$13,'volumes Input'!$N$13,'volumes Input'!$S$13,'volumes Input'!$X$13,'volumes Input'!$AC$13,'volumes Input'!$AH$13,'volumes Input'!$AM$13,'volumes Input'!$AR$13,'volumes Input'!$AW$13,'volumes Input'!$BB$13,'volumes Input'!$BG$13</c:f>
              <c:numCache>
                <c:formatCode>_(* #,##0_);_(* \(#,##0\);_(* \-??_);_(@_)</c:formatCode>
                <c:ptCount val="12"/>
                <c:pt idx="0">
                  <c:v>138</c:v>
                </c:pt>
                <c:pt idx="1">
                  <c:v>154</c:v>
                </c:pt>
                <c:pt idx="2">
                  <c:v>86</c:v>
                </c:pt>
                <c:pt idx="3">
                  <c:v>58</c:v>
                </c:pt>
                <c:pt idx="4">
                  <c:v>123</c:v>
                </c:pt>
                <c:pt idx="5">
                  <c:v>147</c:v>
                </c:pt>
                <c:pt idx="6">
                  <c:v>142</c:v>
                </c:pt>
                <c:pt idx="7">
                  <c:v>135</c:v>
                </c:pt>
                <c:pt idx="8">
                  <c:v>77</c:v>
                </c:pt>
                <c:pt idx="9">
                  <c:v>180</c:v>
                </c:pt>
              </c:numCache>
            </c:numRef>
          </c:val>
        </c:ser>
        <c:gapWidth val="150"/>
        <c:overlap val="0"/>
        <c:axId val="27634798"/>
        <c:axId val="35911897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Input'!$D$21,'volumes Input'!$I$21,'volumes Input'!$N$21,'volumes Input'!$S$21,'volumes Input'!$X$21,'volumes Input'!$AC$21,'volumes Input'!$AH$21,'volumes Input'!$AM$21,'volumes Input'!$AR$21,'volumes Input'!$AW$21,'volumes Input'!$BB$21,'volumes Input'!$BG$21</c:f>
              <c:numCache>
                <c:formatCode>_(* #,##0_);_(* \(#,##0\);_(* \-??_);_(@_)</c:formatCode>
                <c:ptCount val="12"/>
                <c:pt idx="0">
                  <c:v>58</c:v>
                </c:pt>
                <c:pt idx="1">
                  <c:v>129</c:v>
                </c:pt>
                <c:pt idx="2">
                  <c:v>63</c:v>
                </c:pt>
                <c:pt idx="3">
                  <c:v>25</c:v>
                </c:pt>
                <c:pt idx="4">
                  <c:v>167</c:v>
                </c:pt>
                <c:pt idx="5">
                  <c:v>179</c:v>
                </c:pt>
                <c:pt idx="6">
                  <c:v>192</c:v>
                </c:pt>
                <c:pt idx="7">
                  <c:v>157</c:v>
                </c:pt>
                <c:pt idx="8">
                  <c:v>138</c:v>
                </c:pt>
                <c:pt idx="9">
                  <c:v>256</c:v>
                </c:pt>
                <c:pt idx="10">
                  <c:v>131</c:v>
                </c:pt>
                <c:pt idx="11">
                  <c:v>134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634798"/>
        <c:axId val="35911897"/>
      </c:lineChart>
      <c:catAx>
        <c:axId val="276347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5911897"/>
        <c:crossesAt val="0"/>
        <c:auto val="1"/>
        <c:lblAlgn val="ctr"/>
        <c:lblOffset val="100"/>
        <c:noMultiLvlLbl val="0"/>
      </c:catAx>
      <c:valAx>
        <c:axId val="35911897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763479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3746485295235"/>
          <c:y val="0.929159391369419"/>
          <c:w val="0.412873318641234"/>
          <c:h val="0.09241706161137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EOL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9525935046945"/>
          <c:y val="0.127377377377377"/>
          <c:w val="0.857241803909497"/>
          <c:h val="0.7781531531531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Input'!$E$13,'volumes Input'!$J$13,'volumes Input'!$O$13,'volumes Input'!$T$13,'volumes Input'!$Y$13,'volumes Input'!$AD$13,'volumes Input'!$AI$13,'volumes Input'!$AN$13,'volumes Input'!$AS$13,'volumes Input'!$AX$13,'volumes Input'!$BC$13,'volumes Input'!$BH$13</c:f>
              <c:numCache>
                <c:formatCode>_(* #,##0_);_(* \(#,##0\);_(* \-??_);_(@_)</c:formatCode>
                <c:ptCount val="12"/>
                <c:pt idx="0">
                  <c:v>62</c:v>
                </c:pt>
                <c:pt idx="1">
                  <c:v>50</c:v>
                </c:pt>
                <c:pt idx="2">
                  <c:v>27</c:v>
                </c:pt>
                <c:pt idx="3">
                  <c:v>32</c:v>
                </c:pt>
                <c:pt idx="4">
                  <c:v>82</c:v>
                </c:pt>
                <c:pt idx="5">
                  <c:v>90</c:v>
                </c:pt>
                <c:pt idx="6">
                  <c:v>58</c:v>
                </c:pt>
                <c:pt idx="7">
                  <c:v>63</c:v>
                </c:pt>
                <c:pt idx="8">
                  <c:v>42</c:v>
                </c:pt>
                <c:pt idx="9">
                  <c:v>118</c:v>
                </c:pt>
              </c:numCache>
            </c:numRef>
          </c:val>
        </c:ser>
        <c:gapWidth val="150"/>
        <c:overlap val="0"/>
        <c:axId val="84185666"/>
        <c:axId val="31425779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Input'!$E$21,'volumes Input'!$J$21,'volumes Input'!$O$21,'volumes Input'!$T$21,'volumes Input'!$Y$21,'volumes Input'!$AD$21,'volumes Input'!$AI$21,'volumes Input'!$AN$21,'volumes Input'!$AS$21,'volumes Input'!$AX$21,'volumes Input'!$BC$21,'volumes Input'!$BH$21</c:f>
              <c:numCache>
                <c:formatCode>_(* #,##0_);_(* \(#,##0\);_(* \-??_);_(@_)</c:formatCode>
                <c:ptCount val="12"/>
                <c:pt idx="0">
                  <c:v>35</c:v>
                </c:pt>
                <c:pt idx="1">
                  <c:v>60</c:v>
                </c:pt>
                <c:pt idx="2">
                  <c:v>29</c:v>
                </c:pt>
                <c:pt idx="3">
                  <c:v>14</c:v>
                </c:pt>
                <c:pt idx="4">
                  <c:v>142</c:v>
                </c:pt>
                <c:pt idx="5">
                  <c:v>241</c:v>
                </c:pt>
                <c:pt idx="6">
                  <c:v>124</c:v>
                </c:pt>
                <c:pt idx="7">
                  <c:v>126</c:v>
                </c:pt>
                <c:pt idx="8">
                  <c:v>54</c:v>
                </c:pt>
                <c:pt idx="9">
                  <c:v>28</c:v>
                </c:pt>
                <c:pt idx="10">
                  <c:v>54</c:v>
                </c:pt>
                <c:pt idx="11">
                  <c:v>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185666"/>
        <c:axId val="31425779"/>
      </c:lineChart>
      <c:catAx>
        <c:axId val="841856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1425779"/>
        <c:crossesAt val="0"/>
        <c:auto val="1"/>
        <c:lblAlgn val="ctr"/>
        <c:lblOffset val="100"/>
        <c:noMultiLvlLbl val="0"/>
      </c:catAx>
      <c:valAx>
        <c:axId val="31425779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418566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322148684008"/>
          <c:y val="0.981606606606607"/>
          <c:w val="0.350238571648453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Financial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54255319148936"/>
          <c:y val="0.139759633254863"/>
          <c:w val="0.869376899696049"/>
          <c:h val="0.7711559905835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Input'!$C$13,'volumes Input'!$H$13,'volumes Input'!$M$13,'volumes Input'!$R$13,'volumes Input'!$W$13,'volumes Input'!$AB$13,'volumes Input'!$AG$13,'volumes Input'!$AL$13,'volumes Input'!$AQ$13,'volumes Input'!$AV$13,'volumes Input'!$BA$13,'volumes Input'!$BF$13</c:f>
              <c:numCache>
                <c:formatCode>_(* #,##0_);_(* \(#,##0\);_(* \-??_);_(@_)</c:formatCode>
                <c:ptCount val="12"/>
                <c:pt idx="0">
                  <c:v>62850</c:v>
                </c:pt>
                <c:pt idx="1">
                  <c:v>167500</c:v>
                </c:pt>
                <c:pt idx="2">
                  <c:v>59750</c:v>
                </c:pt>
                <c:pt idx="3">
                  <c:v>19350</c:v>
                </c:pt>
                <c:pt idx="4">
                  <c:v>56520</c:v>
                </c:pt>
                <c:pt idx="5">
                  <c:v>109335.9</c:v>
                </c:pt>
                <c:pt idx="6">
                  <c:v>113660</c:v>
                </c:pt>
                <c:pt idx="7">
                  <c:v>79850</c:v>
                </c:pt>
                <c:pt idx="8">
                  <c:v>110140</c:v>
                </c:pt>
                <c:pt idx="9">
                  <c:v>259335</c:v>
                </c:pt>
              </c:numCache>
            </c:numRef>
          </c:val>
        </c:ser>
        <c:gapWidth val="150"/>
        <c:overlap val="0"/>
        <c:axId val="26908294"/>
        <c:axId val="44108670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Input'!$C$21,'volumes Input'!$H$21,'volumes Input'!$M$21,'volumes Input'!$R$21,'volumes Input'!$W$21,'volumes Input'!$AB$21,'volumes Input'!$AG$21,'volumes Input'!$AL$21,'volumes Input'!$AQ$21,'volumes Input'!$AV$21,'volumes Input'!$BA$21,'volumes Input'!$BF$21</c:f>
              <c:numCache>
                <c:formatCode>_(* #,##0_);_(* \(#,##0\);_(* \-??_);_(@_)</c:formatCode>
                <c:ptCount val="12"/>
                <c:pt idx="0">
                  <c:v>116753.047</c:v>
                </c:pt>
                <c:pt idx="1">
                  <c:v>137559.875</c:v>
                </c:pt>
                <c:pt idx="2">
                  <c:v>70954.87</c:v>
                </c:pt>
                <c:pt idx="3">
                  <c:v>5092.205</c:v>
                </c:pt>
                <c:pt idx="4">
                  <c:v>8410.276</c:v>
                </c:pt>
                <c:pt idx="5">
                  <c:v>9251.127</c:v>
                </c:pt>
                <c:pt idx="6">
                  <c:v>42465.187</c:v>
                </c:pt>
                <c:pt idx="7">
                  <c:v>26001.776</c:v>
                </c:pt>
                <c:pt idx="8">
                  <c:v>95942.337</c:v>
                </c:pt>
                <c:pt idx="9">
                  <c:v>27649.072</c:v>
                </c:pt>
                <c:pt idx="10">
                  <c:v>18296.405</c:v>
                </c:pt>
                <c:pt idx="11">
                  <c:v>40429.214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908294"/>
        <c:axId val="44108670"/>
      </c:lineChart>
      <c:catAx>
        <c:axId val="269082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4108670"/>
        <c:crossesAt val="0"/>
        <c:auto val="1"/>
        <c:lblAlgn val="ctr"/>
        <c:lblOffset val="100"/>
        <c:noMultiLvlLbl val="0"/>
      </c:catAx>
      <c:valAx>
        <c:axId val="44108670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(Notional Volume $000's)</a:t>
                </a:r>
              </a:p>
            </c:rich>
          </c:tx>
          <c:layout>
            <c:manualLayout>
              <c:xMode val="edge"/>
              <c:yMode val="edge"/>
              <c:x val="0.0190729483282675"/>
              <c:y val="-0.252508982777847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690829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2370820668693"/>
          <c:y val="0.88551604509974"/>
          <c:w val="0.42887537993921"/>
          <c:h val="0.083013257341097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56345724621"/>
          <c:y val="0.146396396396396"/>
          <c:w val="0.848764719464327"/>
          <c:h val="0.729229229229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Input'!$B$6,'IS Input'!$I$6,'IS Input'!$P$6,'IS Input'!$W$6,'IS Input'!$AD$6</c:f>
              <c:numCache>
                <c:formatCode>_(* #,##0.0_);_(* \(#,##0.0\);_(* \-??_);_(@_)</c:formatCode>
                <c:ptCount val="5"/>
                <c:pt idx="0">
                  <c:v>1.67201528</c:v>
                </c:pt>
                <c:pt idx="1">
                  <c:v>2.550569</c:v>
                </c:pt>
                <c:pt idx="2">
                  <c:v>0.996886</c:v>
                </c:pt>
                <c:pt idx="3">
                  <c:v>0.858427</c:v>
                </c:pt>
                <c:pt idx="4">
                  <c:v>6.07789728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Input'!$E$6,'IS Input'!$L$6,'IS Input'!$S$6,'IS Input'!$Z$6,'IS Input'!$AG$6</c:f>
              <c:numCache>
                <c:formatCode>_(* #,##0.0_);_(* \(#,##0.0\);_(* \-??_);_(@_)</c:formatCode>
                <c:ptCount val="5"/>
                <c:pt idx="0">
                  <c:v>4.875</c:v>
                </c:pt>
                <c:pt idx="1">
                  <c:v>11.875</c:v>
                </c:pt>
                <c:pt idx="2">
                  <c:v>11.875</c:v>
                </c:pt>
                <c:pt idx="3">
                  <c:v>8.875</c:v>
                </c:pt>
                <c:pt idx="4">
                  <c:v>37.5</c:v>
                </c:pt>
              </c:numCache>
            </c:numRef>
          </c:val>
        </c:ser>
        <c:gapWidth val="150"/>
        <c:overlap val="0"/>
        <c:axId val="16433511"/>
        <c:axId val="44248262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Input'!$B$75:$F$75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1.22</c:v>
                </c:pt>
                <c:pt idx="2">
                  <c:v>0</c:v>
                </c:pt>
                <c:pt idx="3">
                  <c:v>0</c:v>
                </c:pt>
                <c:pt idx="4">
                  <c:v>1.22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6433511"/>
        <c:axId val="44248262"/>
      </c:lineChart>
      <c:catAx>
        <c:axId val="16433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4248262"/>
        <c:crossesAt val="0"/>
        <c:auto val="1"/>
        <c:lblAlgn val="ctr"/>
        <c:lblOffset val="100"/>
        <c:noMultiLvlLbl val="0"/>
      </c:catAx>
      <c:valAx>
        <c:axId val="44248262"/>
        <c:scaling>
          <c:orientation val="minMax"/>
          <c:min val="-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9692192192192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6433511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5252058800893"/>
          <c:y val="0.851351351351351"/>
          <c:w val="0.418148233664281"/>
          <c:h val="0.0927177177177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0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891864850304"/>
          <c:y val="0.149221296631655"/>
          <c:w val="0.853613484183791"/>
          <c:h val="0.732584812266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Input'!$AL$7,'IS Input'!$AN$7,'IS Input'!$AP$7,'IS Input'!$AR$7,'IS Input'!$AT$7,'IS Input'!$AV$7,'IS Input'!$AX$7,'IS Input'!$AZ$7,'IS Input'!$BB$7,'IS Input'!$BD$7,'IS Input'!$BF$7,'IS Input'!$BH$7</c:f>
              <c:numCache>
                <c:formatCode>General</c:formatCode>
                <c:ptCount val="12"/>
                <c:pt idx="0">
                  <c:v>15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15</c:v>
                </c:pt>
                <c:pt idx="6">
                  <c:v>16</c:v>
                </c:pt>
                <c:pt idx="7">
                  <c:v>15</c:v>
                </c:pt>
                <c:pt idx="8">
                  <c:v>13</c:v>
                </c:pt>
                <c:pt idx="9">
                  <c:v>30</c:v>
                </c:pt>
              </c:numCache>
            </c:numRef>
          </c:val>
        </c:ser>
        <c:gapWidth val="150"/>
        <c:overlap val="0"/>
        <c:axId val="91470888"/>
        <c:axId val="90530158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5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5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Input'!$AM$7,'IS Input'!$AO$7,'IS Input'!$AQ$7,'IS Input'!$AS$7,'IS Input'!$AU$7,'IS Input'!$AW$7,'IS Input'!$AY$7,'IS Input'!$BA$7,'IS Input'!$BC$7,'IS Input'!$BE$7,'IS Input'!$BG$7,'IS Input'!$BI$7</c:f>
              <c:numCache>
                <c:formatCode>General</c:formatCode>
                <c:ptCount val="12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36</c:v>
                </c:pt>
                <c:pt idx="4">
                  <c:v>36</c:v>
                </c:pt>
                <c:pt idx="5">
                  <c:v>40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470888"/>
        <c:axId val="90530158"/>
      </c:lineChart>
      <c:catAx>
        <c:axId val="91470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0530158"/>
        <c:crossesAt val="0"/>
        <c:auto val="1"/>
        <c:lblAlgn val="ctr"/>
        <c:lblOffset val="100"/>
        <c:noMultiLvlLbl val="0"/>
      </c:catAx>
      <c:valAx>
        <c:axId val="90530158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1470888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1717078426845"/>
          <c:y val="0.884824339007606"/>
          <c:w val="0.407296236435003"/>
          <c:h val="0.072437522636725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8335739797857"/>
          <c:y val="0.150775775775776"/>
          <c:w val="0.835017858499886"/>
          <c:h val="0.7214714714714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Input'!$D$6,'IS Input'!$K$6,'IS Input'!$R$6,'IS Input'!$Y$6,'IS Input'!$AF$6</c:f>
              <c:numCache>
                <c:formatCode>_(* #,##0.0_);_(* \(#,##0.0\);_(* \-??_);_(@_)</c:formatCode>
                <c:ptCount val="5"/>
                <c:pt idx="0">
                  <c:v>0.33799628</c:v>
                </c:pt>
                <c:pt idx="1">
                  <c:v>0.604991</c:v>
                </c:pt>
                <c:pt idx="2">
                  <c:v>-1.683844</c:v>
                </c:pt>
                <c:pt idx="3">
                  <c:v>-2.611981</c:v>
                </c:pt>
                <c:pt idx="4">
                  <c:v>-3.35283772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Input'!$G$6,'IS Input'!$N$6,'IS Input'!$U$6,'IS Input'!$AB$6,'IS Input'!$AI$6</c:f>
              <c:numCache>
                <c:formatCode>_(* #,##0.0_);_(* \(#,##0.0\);_(* \-??_);_(@_)</c:formatCode>
                <c:ptCount val="5"/>
                <c:pt idx="0">
                  <c:v>2.259021</c:v>
                </c:pt>
                <c:pt idx="1">
                  <c:v>8.615186</c:v>
                </c:pt>
                <c:pt idx="2">
                  <c:v>8.401542</c:v>
                </c:pt>
                <c:pt idx="3">
                  <c:v>5.404592</c:v>
                </c:pt>
                <c:pt idx="4">
                  <c:v>24.680341</c:v>
                </c:pt>
              </c:numCache>
            </c:numRef>
          </c:val>
        </c:ser>
        <c:gapWidth val="150"/>
        <c:overlap val="0"/>
        <c:axId val="20693864"/>
        <c:axId val="30602192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Input'!$B$111:$F$111</c:f>
              <c:numCache>
                <c:formatCode>_(* #,##0.0_);_(* \(#,##0.0\);_(* \-??_);_(@_)</c:formatCode>
                <c:ptCount val="5"/>
                <c:pt idx="0">
                  <c:v>-1.549</c:v>
                </c:pt>
                <c:pt idx="1">
                  <c:v>-0.528</c:v>
                </c:pt>
                <c:pt idx="2">
                  <c:v>-1.418</c:v>
                </c:pt>
                <c:pt idx="3">
                  <c:v>-3.099</c:v>
                </c:pt>
                <c:pt idx="4">
                  <c:v>-6.594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693864"/>
        <c:axId val="30602192"/>
      </c:lineChart>
      <c:catAx>
        <c:axId val="20693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0602192"/>
        <c:crossesAt val="0"/>
        <c:auto val="1"/>
        <c:lblAlgn val="ctr"/>
        <c:lblOffset val="100"/>
        <c:noMultiLvlLbl val="0"/>
      </c:catAx>
      <c:valAx>
        <c:axId val="30602192"/>
        <c:scaling>
          <c:orientation val="minMax"/>
          <c:max val="30"/>
          <c:min val="-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0693864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5950300174785"/>
          <c:y val="0.859234234234234"/>
          <c:w val="0.418192871798769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Net Cash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8686985299777"/>
          <c:y val="0.111299503451617"/>
          <c:w val="0.92334333872085"/>
          <c:h val="0.81615598885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Team'!$D$67:$O$67</c:f>
              <c:numCache>
                <c:formatCode>_(* #,##0.0_);_(* \(#,##0.0\);_(* \-??_);_(@_)</c:formatCode>
                <c:ptCount val="12"/>
                <c:pt idx="0">
                  <c:v>0.311</c:v>
                </c:pt>
                <c:pt idx="1">
                  <c:v>-0.705</c:v>
                </c:pt>
                <c:pt idx="2">
                  <c:v>0.122</c:v>
                </c:pt>
                <c:pt idx="3">
                  <c:v>-0.724</c:v>
                </c:pt>
                <c:pt idx="4">
                  <c:v>-0.876</c:v>
                </c:pt>
                <c:pt idx="5">
                  <c:v>3.515</c:v>
                </c:pt>
                <c:pt idx="6">
                  <c:v>-1.008</c:v>
                </c:pt>
                <c:pt idx="7">
                  <c:v>0.337</c:v>
                </c:pt>
                <c:pt idx="8">
                  <c:v>-1.292</c:v>
                </c:pt>
              </c:numCache>
            </c:numRef>
          </c:val>
        </c:ser>
        <c:gapWidth val="150"/>
        <c:overlap val="0"/>
        <c:axId val="74597915"/>
        <c:axId val="16738993"/>
      </c:barChart>
      <c:lineChart>
        <c:grouping val="standard"/>
        <c:varyColors val="0"/>
        <c:ser>
          <c:idx val="1"/>
          <c:order val="1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Team'!$D$68:$L$68</c:f>
              <c:numCache>
                <c:formatCode>_(* #,##0.0_);_(* \(#,##0.0\);_(* \-??_);_(@_)</c:formatCode>
                <c:ptCount val="9"/>
                <c:pt idx="0">
                  <c:v>0.311</c:v>
                </c:pt>
                <c:pt idx="1">
                  <c:v>-0.394</c:v>
                </c:pt>
                <c:pt idx="2">
                  <c:v>-0.272</c:v>
                </c:pt>
                <c:pt idx="3">
                  <c:v>-0.996</c:v>
                </c:pt>
                <c:pt idx="4">
                  <c:v>-1.872</c:v>
                </c:pt>
                <c:pt idx="5">
                  <c:v>1.643</c:v>
                </c:pt>
                <c:pt idx="6">
                  <c:v>0.635</c:v>
                </c:pt>
                <c:pt idx="7">
                  <c:v>0.972</c:v>
                </c:pt>
                <c:pt idx="8">
                  <c:v>-0.32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597915"/>
        <c:axId val="16738993"/>
      </c:lineChart>
      <c:catAx>
        <c:axId val="745979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6738993"/>
        <c:crossesAt val="0"/>
        <c:auto val="1"/>
        <c:lblAlgn val="ctr"/>
        <c:lblOffset val="100"/>
        <c:noMultiLvlLbl val="0"/>
      </c:catAx>
      <c:valAx>
        <c:axId val="167389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459791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230739629031"/>
          <c:y val="0.895482620806588"/>
          <c:w val="0.754791041329947"/>
          <c:h val="0.072665617052198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Quarterly 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0037996808268"/>
          <c:y val="0.140434023447244"/>
          <c:w val="0.939889049319857"/>
          <c:h val="0.705288101771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Input'!$B$66:$F$66</c:f>
              <c:numCache>
                <c:formatCode>_(* #,##0.0_);_(* \(#,##0.0\);_(* \-??_);_(@_)</c:formatCode>
                <c:ptCount val="5"/>
                <c:pt idx="0">
                  <c:v>46.31566261</c:v>
                </c:pt>
                <c:pt idx="1">
                  <c:v>34.12996452</c:v>
                </c:pt>
                <c:pt idx="2">
                  <c:v>-31.105954</c:v>
                </c:pt>
                <c:pt idx="3">
                  <c:v>-154.598596</c:v>
                </c:pt>
                <c:pt idx="4">
                  <c:v>-105.25892287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Input'!$I$66:$M$66</c:f>
              <c:numCache>
                <c:formatCode>_(* #,##0.0_);_(* \(#,##0.0\);_(* \-??_);_(@_)</c:formatCode>
                <c:ptCount val="5"/>
                <c:pt idx="0">
                  <c:v>44.98854</c:v>
                </c:pt>
                <c:pt idx="1">
                  <c:v>56.023991</c:v>
                </c:pt>
                <c:pt idx="2">
                  <c:v>65.211131</c:v>
                </c:pt>
                <c:pt idx="3">
                  <c:v>102.71491</c:v>
                </c:pt>
                <c:pt idx="4">
                  <c:v>268.938572</c:v>
                </c:pt>
              </c:numCache>
            </c:numRef>
          </c:val>
        </c:ser>
        <c:gapWidth val="150"/>
        <c:overlap val="0"/>
        <c:axId val="52198690"/>
        <c:axId val="65568422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Input'!$B$118:$F$118</c:f>
              <c:numCache>
                <c:formatCode>_(* #,##0.0_);_(* \(#,##0.0\);_(* \-??_);_(@_)</c:formatCode>
                <c:ptCount val="5"/>
                <c:pt idx="0">
                  <c:v>50.103</c:v>
                </c:pt>
                <c:pt idx="1">
                  <c:v>-3.511</c:v>
                </c:pt>
                <c:pt idx="2">
                  <c:v>-11.777</c:v>
                </c:pt>
                <c:pt idx="3">
                  <c:v>32.378</c:v>
                </c:pt>
                <c:pt idx="4">
                  <c:v>67.193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198690"/>
        <c:axId val="65568422"/>
      </c:lineChart>
      <c:catAx>
        <c:axId val="521986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5568422"/>
        <c:crossesAt val="0"/>
        <c:auto val="1"/>
        <c:lblAlgn val="ctr"/>
        <c:lblOffset val="100"/>
        <c:noMultiLvlLbl val="0"/>
      </c:catAx>
      <c:valAx>
        <c:axId val="6556842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 MM)</a:t>
                </a:r>
              </a:p>
            </c:rich>
          </c:tx>
          <c:layout>
            <c:manualLayout>
              <c:xMode val="edge"/>
              <c:yMode val="edge"/>
              <c:x val="0.0189984041340527"/>
              <c:y val="0.25093539536043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219869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906603845277"/>
          <c:y val="0.858692940883013"/>
          <c:w val="0.431643741925678"/>
          <c:h val="0.08805188326265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534287693373"/>
          <c:y val="0.127627627627628"/>
          <c:w val="0.884861079042561"/>
          <c:h val="0.747997997997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Input'!$B$7,'IS Input'!$I$7,'IS Input'!$P$7,'IS Input'!$W$7,'IS Input'!$AD$7</c:f>
              <c:numCache>
                <c:formatCode>_(* #,##0.0_);_(* \(#,##0.0\);_(* \-??_);_(@_)</c:formatCode>
                <c:ptCount val="5"/>
                <c:pt idx="0">
                  <c:v>13.281757</c:v>
                </c:pt>
                <c:pt idx="1">
                  <c:v>17.176</c:v>
                </c:pt>
                <c:pt idx="2">
                  <c:v>5.72145</c:v>
                </c:pt>
                <c:pt idx="3">
                  <c:v>3.316</c:v>
                </c:pt>
                <c:pt idx="4">
                  <c:v>39.495207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Input'!$E$7,'IS Input'!$L$7,'IS Input'!$S$7,'IS Input'!$Z$7,'IS Input'!$AG$7</c:f>
              <c:numCache>
                <c:formatCode>_(* #,##0.0_);_(* \(#,##0.0\);_(* \-??_);_(@_)</c:formatCode>
                <c:ptCount val="5"/>
                <c:pt idx="0">
                  <c:v>20</c:v>
                </c:pt>
                <c:pt idx="1">
                  <c:v>27.5</c:v>
                </c:pt>
                <c:pt idx="2">
                  <c:v>27.37</c:v>
                </c:pt>
                <c:pt idx="3">
                  <c:v>29.545</c:v>
                </c:pt>
                <c:pt idx="4">
                  <c:v>104.415</c:v>
                </c:pt>
              </c:numCache>
            </c:numRef>
          </c:val>
        </c:ser>
        <c:gapWidth val="150"/>
        <c:overlap val="0"/>
        <c:axId val="61177965"/>
        <c:axId val="29694651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Input'!$B$76:$F$76</c:f>
              <c:numCache>
                <c:formatCode>_(* #,##0.0_);_(* \(#,##0.0\);_(* \-??_);_(@_)</c:formatCode>
                <c:ptCount val="5"/>
                <c:pt idx="0">
                  <c:v>32.515</c:v>
                </c:pt>
                <c:pt idx="1">
                  <c:v>13.6</c:v>
                </c:pt>
                <c:pt idx="2">
                  <c:v>18.67</c:v>
                </c:pt>
                <c:pt idx="3">
                  <c:v>4.083</c:v>
                </c:pt>
                <c:pt idx="4">
                  <c:v>68.868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177965"/>
        <c:axId val="29694651"/>
      </c:lineChart>
      <c:catAx>
        <c:axId val="611779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9694651"/>
        <c:crossesAt val="0"/>
        <c:auto val="1"/>
        <c:lblAlgn val="ctr"/>
        <c:lblOffset val="100"/>
        <c:noMultiLvlLbl val="0"/>
      </c:catAx>
      <c:valAx>
        <c:axId val="29694651"/>
        <c:scaling>
          <c:orientation val="minMax"/>
          <c:max val="125"/>
          <c:min val="-2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24687187187187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1177965"/>
        <c:crossesAt val="1"/>
        <c:crossBetween val="midCat"/>
        <c:majorUnit val="2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5169706765181"/>
          <c:y val="0.847097097097097"/>
          <c:w val="0.429000230893558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0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1157457287979"/>
          <c:y val="0.154173247479043"/>
          <c:w val="0.863706325996614"/>
          <c:h val="0.7402502733568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Input'!$AL$8,'IS Input'!$AN$8,'IS Input'!$AP$8,'IS Input'!$AR$8,'IS Input'!$AT$8,'IS Input'!$AV$8,'IS Input'!$AX$8,'IS Input'!$AZ$8,'IS Input'!$BB$8,'IS Input'!$BD$8,'IS Input'!$BF$8,'IS Input'!$BH$8</c:f>
              <c:numCache>
                <c:formatCode>General</c:formatCode>
                <c:ptCount val="12"/>
                <c:pt idx="0">
                  <c:v>40</c:v>
                </c:pt>
                <c:pt idx="1">
                  <c:v>42</c:v>
                </c:pt>
                <c:pt idx="2">
                  <c:v>41</c:v>
                </c:pt>
                <c:pt idx="3">
                  <c:v>41</c:v>
                </c:pt>
                <c:pt idx="4">
                  <c:v>46</c:v>
                </c:pt>
                <c:pt idx="5">
                  <c:v>48</c:v>
                </c:pt>
                <c:pt idx="6">
                  <c:v>46</c:v>
                </c:pt>
                <c:pt idx="7">
                  <c:v>41</c:v>
                </c:pt>
                <c:pt idx="8">
                  <c:v>38</c:v>
                </c:pt>
                <c:pt idx="9">
                  <c:v>34</c:v>
                </c:pt>
              </c:numCache>
            </c:numRef>
          </c:val>
        </c:ser>
        <c:gapWidth val="150"/>
        <c:overlap val="0"/>
        <c:axId val="34892767"/>
        <c:axId val="74690259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6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Input'!$AM$8,'IS Input'!$AO$8,'IS Input'!$AQ$8,'IS Input'!$AS$8,'IS Input'!$AU$8,'IS Input'!$AW$8,'IS Input'!$AY$8,'IS Input'!$BA$8,'IS Input'!$BC$8,'IS Input'!$BE$8,'IS Input'!$BG$8,'IS Input'!$BI$8</c:f>
              <c:numCache>
                <c:formatCode>General</c:formatCode>
                <c:ptCount val="12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892767"/>
        <c:axId val="74690259"/>
      </c:lineChart>
      <c:catAx>
        <c:axId val="3489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4690259"/>
        <c:crossesAt val="0"/>
        <c:auto val="1"/>
        <c:lblAlgn val="ctr"/>
        <c:lblOffset val="100"/>
        <c:noMultiLvlLbl val="0"/>
      </c:catAx>
      <c:valAx>
        <c:axId val="74690259"/>
        <c:scaling>
          <c:orientation val="minMax"/>
          <c:max val="6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4892767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9305833461598"/>
          <c:y val="0.883732231806585"/>
          <c:w val="0.336616900107742"/>
          <c:h val="0.07289515247236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9969604863222"/>
          <c:y val="0.111389236545682"/>
          <c:w val="0.875151975683891"/>
          <c:h val="0.774718397997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Input'!$D$7,'IS Input'!$K$7,'IS Input'!$R$7,'IS Input'!$Y$7,'IS Input'!$AF$7</c:f>
              <c:numCache>
                <c:formatCode>_(* #,##0.0_);_(* \(#,##0.0\);_(* \-??_);_(@_)</c:formatCode>
                <c:ptCount val="5"/>
                <c:pt idx="0">
                  <c:v>9.464195</c:v>
                </c:pt>
                <c:pt idx="1">
                  <c:v>13.173132</c:v>
                </c:pt>
                <c:pt idx="2">
                  <c:v>1.42898</c:v>
                </c:pt>
                <c:pt idx="3">
                  <c:v>0.185453</c:v>
                </c:pt>
                <c:pt idx="4">
                  <c:v>24.25176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Input'!$G$7,'IS Input'!$N$7,'IS Input'!$U$7,'IS Input'!$AB$7,'IS Input'!$AI$7</c:f>
              <c:numCache>
                <c:formatCode>_(* #,##0.0_);_(* \(#,##0.0\);_(* \-??_);_(@_)</c:formatCode>
                <c:ptCount val="5"/>
                <c:pt idx="0">
                  <c:v>14.454606</c:v>
                </c:pt>
                <c:pt idx="1">
                  <c:v>21.486755</c:v>
                </c:pt>
                <c:pt idx="2">
                  <c:v>21.837183</c:v>
                </c:pt>
                <c:pt idx="3">
                  <c:v>26.414453</c:v>
                </c:pt>
                <c:pt idx="4">
                  <c:v>84.192997</c:v>
                </c:pt>
              </c:numCache>
            </c:numRef>
          </c:val>
        </c:ser>
        <c:gapWidth val="150"/>
        <c:overlap val="0"/>
        <c:axId val="23498519"/>
        <c:axId val="9264606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Input'!$B$112:$F$112</c:f>
              <c:numCache>
                <c:formatCode>_(* #,##0.0_);_(* \(#,##0.0\);_(* \-??_);_(@_)</c:formatCode>
                <c:ptCount val="5"/>
                <c:pt idx="0">
                  <c:v>31.095</c:v>
                </c:pt>
                <c:pt idx="1">
                  <c:v>11.921</c:v>
                </c:pt>
                <c:pt idx="2">
                  <c:v>16.915</c:v>
                </c:pt>
                <c:pt idx="3">
                  <c:v>-1.646</c:v>
                </c:pt>
                <c:pt idx="4">
                  <c:v>58.285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498519"/>
        <c:axId val="9264606"/>
      </c:lineChart>
      <c:catAx>
        <c:axId val="23498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264606"/>
        <c:crossesAt val="0"/>
        <c:auto val="1"/>
        <c:lblAlgn val="ctr"/>
        <c:lblOffset val="100"/>
        <c:noMultiLvlLbl val="0"/>
      </c:catAx>
      <c:valAx>
        <c:axId val="9264606"/>
        <c:scaling>
          <c:orientation val="minMax"/>
          <c:max val="100"/>
          <c:min val="-2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3498519"/>
        <c:crossesAt val="1"/>
        <c:crossBetween val="midCat"/>
        <c:maj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9589665653495"/>
          <c:y val="0.862327909887359"/>
          <c:w val="0.410182370820669"/>
          <c:h val="0.079474342928660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Net Cash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778665233085"/>
          <c:y val="0.110708680429796"/>
          <c:w val="0.92358497811228"/>
          <c:h val="0.816612338524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Team'!$D$76:$O$76</c:f>
              <c:numCache>
                <c:formatCode>_(* #,##0.0_);_(* \(#,##0.0\);_(* \-??_);_(@_)</c:formatCode>
                <c:ptCount val="12"/>
                <c:pt idx="0">
                  <c:v>2.53</c:v>
                </c:pt>
                <c:pt idx="1">
                  <c:v>-20.101</c:v>
                </c:pt>
                <c:pt idx="2">
                  <c:v>-2.104</c:v>
                </c:pt>
                <c:pt idx="3">
                  <c:v>12.176</c:v>
                </c:pt>
                <c:pt idx="4">
                  <c:v>-82.956</c:v>
                </c:pt>
                <c:pt idx="5">
                  <c:v>39.329</c:v>
                </c:pt>
                <c:pt idx="6">
                  <c:v>-47.299</c:v>
                </c:pt>
                <c:pt idx="7">
                  <c:v>-3.985</c:v>
                </c:pt>
                <c:pt idx="8">
                  <c:v>0.449</c:v>
                </c:pt>
              </c:numCache>
            </c:numRef>
          </c:val>
        </c:ser>
        <c:gapWidth val="150"/>
        <c:overlap val="0"/>
        <c:axId val="66190868"/>
        <c:axId val="86801173"/>
      </c:barChart>
      <c:lineChart>
        <c:grouping val="standard"/>
        <c:varyColors val="0"/>
        <c:ser>
          <c:idx val="1"/>
          <c:order val="1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Team'!$D$77:$L$77</c:f>
              <c:numCache>
                <c:formatCode>_(* #,##0.0_);_(* \(#,##0.0\);_(* \-??_);_(@_)</c:formatCode>
                <c:ptCount val="9"/>
                <c:pt idx="0">
                  <c:v>2.53</c:v>
                </c:pt>
                <c:pt idx="1">
                  <c:v>-17.571</c:v>
                </c:pt>
                <c:pt idx="2">
                  <c:v>-19.675</c:v>
                </c:pt>
                <c:pt idx="3">
                  <c:v>-7.499</c:v>
                </c:pt>
                <c:pt idx="4">
                  <c:v>-90.455</c:v>
                </c:pt>
                <c:pt idx="5">
                  <c:v>-51.126</c:v>
                </c:pt>
                <c:pt idx="6">
                  <c:v>-98.425</c:v>
                </c:pt>
                <c:pt idx="7">
                  <c:v>-102.41</c:v>
                </c:pt>
                <c:pt idx="8">
                  <c:v>-101.961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190868"/>
        <c:axId val="86801173"/>
      </c:lineChart>
      <c:catAx>
        <c:axId val="661908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6801173"/>
        <c:crossesAt val="0"/>
        <c:auto val="1"/>
        <c:lblAlgn val="ctr"/>
        <c:lblOffset val="100"/>
        <c:noMultiLvlLbl val="0"/>
      </c:catAx>
      <c:valAx>
        <c:axId val="868011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619086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9988480147454"/>
          <c:y val="0.895810696607509"/>
          <c:w val="0.753167959450119"/>
          <c:h val="0.072437522636725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0328638497653"/>
          <c:y val="0.127377377377377"/>
          <c:w val="0.899022550604172"/>
          <c:h val="0.74461961961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Input'!$B$24,'IS Input'!$I$24,'IS Input'!$P$24,'IS Input'!$W$24,'IS Input'!$AD$24</c:f>
              <c:numCache>
                <c:formatCode>_(* #,##0.0_);_(* \(#,##0.0\);_(* \-??_);_(@_)</c:formatCode>
                <c:ptCount val="5"/>
                <c:pt idx="0">
                  <c:v>-0.959679</c:v>
                </c:pt>
                <c:pt idx="1">
                  <c:v>2.067854</c:v>
                </c:pt>
                <c:pt idx="2">
                  <c:v>0</c:v>
                </c:pt>
                <c:pt idx="4">
                  <c:v>1.108175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Input'!$E$24,'IS Input'!$L$24,'IS Input'!$S$24,'IS Input'!$Z$24,'IS Input'!$AG$24</c:f>
              <c:numCache>
                <c:formatCode>_(* #,##0.0_);_(* \(#,##0.0\);_(* \-??_);_(@_)</c:formatCode>
                <c:ptCount val="5"/>
                <c:pt idx="0">
                  <c:v>-0.858501</c:v>
                </c:pt>
                <c:pt idx="1">
                  <c:v>1.372499</c:v>
                </c:pt>
                <c:pt idx="2">
                  <c:v>0</c:v>
                </c:pt>
                <c:pt idx="3">
                  <c:v>0</c:v>
                </c:pt>
                <c:pt idx="4">
                  <c:v>0.513998</c:v>
                </c:pt>
              </c:numCache>
            </c:numRef>
          </c:val>
        </c:ser>
        <c:gapWidth val="150"/>
        <c:overlap val="0"/>
        <c:axId val="61573036"/>
        <c:axId val="31562044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Input'!$B$79:$F$79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-1.304</c:v>
                </c:pt>
                <c:pt idx="4">
                  <c:v>-1.304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573036"/>
        <c:axId val="31562044"/>
      </c:lineChart>
      <c:catAx>
        <c:axId val="615730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1562044"/>
        <c:crossesAt val="0"/>
        <c:auto val="1"/>
        <c:lblAlgn val="ctr"/>
        <c:lblOffset val="100"/>
        <c:noMultiLvlLbl val="0"/>
      </c:catAx>
      <c:valAx>
        <c:axId val="31562044"/>
        <c:scaling>
          <c:orientation val="minMax"/>
          <c:max val="6"/>
          <c:min val="-3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1573036"/>
        <c:crossesAt val="1"/>
        <c:crossBetween val="midCat"/>
        <c:majorUnit val="3"/>
        <c:minorUnit val="3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61525436773647"/>
          <c:y val="0.853603603603604"/>
          <c:w val="0.445316708997152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686930091185"/>
          <c:y val="0.157271139935146"/>
          <c:w val="0.89468085106383"/>
          <c:h val="0.699426290845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Input'!$C$24,'IS Input'!$J$24,'IS Input'!$Q$24,'IS Input'!$X$24,'IS Input'!$AE$24</c:f>
              <c:numCache>
                <c:formatCode>_(* #,##0.0_);_(* \(#,##0.0\);_(* \-??_);_(@_)</c:formatCode>
                <c:ptCount val="5"/>
                <c:pt idx="0">
                  <c:v>0.428864</c:v>
                </c:pt>
                <c:pt idx="1">
                  <c:v>0.229674</c:v>
                </c:pt>
                <c:pt idx="2">
                  <c:v>0</c:v>
                </c:pt>
                <c:pt idx="4">
                  <c:v>0.658538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Input'!$F$24,'IS Input'!$M$24,'IS Input'!$T$24,'IS Input'!$AA$24,'IS Input'!$AH$24</c:f>
              <c:numCache>
                <c:formatCode>_(* #,##0.0_);_(* \(#,##0.0\);_(* \-??_);_(@_)</c:formatCode>
                <c:ptCount val="5"/>
                <c:pt idx="0">
                  <c:v>0.272542</c:v>
                </c:pt>
                <c:pt idx="1">
                  <c:v>0.302281</c:v>
                </c:pt>
                <c:pt idx="2">
                  <c:v>0</c:v>
                </c:pt>
                <c:pt idx="3">
                  <c:v>0</c:v>
                </c:pt>
                <c:pt idx="4">
                  <c:v>0.574823</c:v>
                </c:pt>
              </c:numCache>
            </c:numRef>
          </c:val>
        </c:ser>
        <c:gapWidth val="150"/>
        <c:overlap val="0"/>
        <c:axId val="51520499"/>
        <c:axId val="82073783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Input'!$B$97:$F$97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0.301</c:v>
                </c:pt>
                <c:pt idx="4">
                  <c:v>0.301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520499"/>
        <c:axId val="82073783"/>
      </c:lineChart>
      <c:catAx>
        <c:axId val="515204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2073783"/>
        <c:crossesAt val="0"/>
        <c:auto val="1"/>
        <c:lblAlgn val="ctr"/>
        <c:lblOffset val="100"/>
        <c:noMultiLvlLbl val="0"/>
      </c:catAx>
      <c:valAx>
        <c:axId val="82073783"/>
        <c:scaling>
          <c:orientation val="minMax"/>
          <c:max val="2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1520499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3495440729483"/>
          <c:y val="0.844100773260165"/>
          <c:w val="0.450379939209726"/>
          <c:h val="0.09241706161137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060643373865"/>
          <c:y val="0.101601601601602"/>
          <c:w val="0.832692011697707"/>
          <c:h val="0.808433433433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Input'!$AL$27,'IS Input'!$AN$27,'IS Input'!$AP$27,'IS Input'!$AR$27,'IS Input'!$AT$27,'IS Input'!$AV$27,'IS Input'!$AX$27,'IS Input'!$AZ$27,'IS Input'!$BB$27,'IS Input'!$BD$27,'IS Input'!$BF$27,'IS Input'!$BH$27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</c:ser>
        <c:gapWidth val="150"/>
        <c:overlap val="0"/>
        <c:axId val="23253047"/>
        <c:axId val="5370178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Input'!$AM$27,'IS Input'!$AO$27,'IS Input'!$AQ$27,'IS Input'!$AS$27,'IS Input'!$AU$27,'IS Input'!$AW$27,'IS Input'!$AY$27,'IS Input'!$BA$27,'IS Input'!$BC$27,'IS Input'!$BE$27,'IS Input'!$BG$27,'IS Input'!$BI$27</c:f>
              <c:numCache>
                <c:formatCode>General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253047"/>
        <c:axId val="5370178"/>
      </c:lineChart>
      <c:catAx>
        <c:axId val="23253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370178"/>
        <c:crossesAt val="0"/>
        <c:auto val="1"/>
        <c:lblAlgn val="ctr"/>
        <c:lblOffset val="100"/>
        <c:noMultiLvlLbl val="0"/>
      </c:catAx>
      <c:valAx>
        <c:axId val="5370178"/>
        <c:scaling>
          <c:orientation val="minMax"/>
          <c:max val="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3253047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8256118208404"/>
          <c:y val="0.88038038038038"/>
          <c:w val="0.298676312144067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8550041796489"/>
          <c:y val="0.124124124124124"/>
          <c:w val="0.839805456341667"/>
          <c:h val="0.7482482482482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Input'!$D$24,'IS Input'!$K$24,'IS Input'!$R$24,'IS Input'!$Y$24,'IS Input'!$AF$24</c:f>
              <c:numCache>
                <c:formatCode>_(* #,##0.0_);_(* \(#,##0.0\);_(* \-??_);_(@_)</c:formatCode>
                <c:ptCount val="5"/>
                <c:pt idx="0">
                  <c:v>-1.885705</c:v>
                </c:pt>
                <c:pt idx="1">
                  <c:v>1.360729</c:v>
                </c:pt>
                <c:pt idx="2">
                  <c:v>0</c:v>
                </c:pt>
                <c:pt idx="4">
                  <c:v>-0.524976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Input'!$G$24,'IS Input'!$N$24,'IS Input'!$U$24,'IS Input'!$AB$24,'IS Input'!$AI$24</c:f>
              <c:numCache>
                <c:formatCode>_(* #,##0.0_);_(* \(#,##0.0\);_(* \-??_);_(@_)</c:formatCode>
                <c:ptCount val="5"/>
                <c:pt idx="0">
                  <c:v>-1.700567</c:v>
                </c:pt>
                <c:pt idx="1">
                  <c:v>0.497153</c:v>
                </c:pt>
                <c:pt idx="2">
                  <c:v>0</c:v>
                </c:pt>
                <c:pt idx="3">
                  <c:v>0</c:v>
                </c:pt>
                <c:pt idx="4">
                  <c:v>-1.203414</c:v>
                </c:pt>
              </c:numCache>
            </c:numRef>
          </c:val>
        </c:ser>
        <c:gapWidth val="150"/>
        <c:overlap val="0"/>
        <c:axId val="15235148"/>
        <c:axId val="48263286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Input'!$B$115:$F$115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-1.605</c:v>
                </c:pt>
                <c:pt idx="4">
                  <c:v>-1.605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235148"/>
        <c:axId val="48263286"/>
      </c:lineChart>
      <c:catAx>
        <c:axId val="152351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8263286"/>
        <c:crossesAt val="0"/>
        <c:auto val="1"/>
        <c:lblAlgn val="ctr"/>
        <c:lblOffset val="100"/>
        <c:noMultiLvlLbl val="0"/>
      </c:catAx>
      <c:valAx>
        <c:axId val="48263286"/>
        <c:scaling>
          <c:orientation val="minMax"/>
          <c:max val="6"/>
          <c:min val="-6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5235148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3308002127821"/>
          <c:y val="0.848973973973974"/>
          <c:w val="0.461129265141728"/>
          <c:h val="0.0927177177177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4957284691757"/>
          <c:y val="0.144894894894895"/>
          <c:w val="0.84037558685446"/>
          <c:h val="0.7334834834834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Input'!$B$8,'IS Input'!$I$8,'IS Input'!$P$8,'IS Input'!$W$8,'IS Input'!$AD$8</c:f>
              <c:numCache>
                <c:formatCode>_(* #,##0.0_);_(* \(#,##0.0\);_(* \-??_);_(@_)</c:formatCode>
                <c:ptCount val="5"/>
                <c:pt idx="0">
                  <c:v>0.040954</c:v>
                </c:pt>
                <c:pt idx="1">
                  <c:v>1.648452</c:v>
                </c:pt>
                <c:pt idx="2">
                  <c:v>1.26649</c:v>
                </c:pt>
                <c:pt idx="3">
                  <c:v>-0.152096</c:v>
                </c:pt>
                <c:pt idx="4">
                  <c:v>2.8038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Input'!$E$8,'IS Input'!$L$8,'IS Input'!$S$8,'IS Input'!$Z$8,'IS Input'!$AG$8</c:f>
              <c:numCache>
                <c:formatCode>_(* #,##0.0_);_(* \(#,##0.0\);_(* \-??_);_(@_)</c:formatCode>
                <c:ptCount val="5"/>
                <c:pt idx="0">
                  <c:v>0.5</c:v>
                </c:pt>
                <c:pt idx="1">
                  <c:v>1.311</c:v>
                </c:pt>
                <c:pt idx="2">
                  <c:v>5.705</c:v>
                </c:pt>
                <c:pt idx="3">
                  <c:v>13.3055</c:v>
                </c:pt>
                <c:pt idx="4">
                  <c:v>20.8215</c:v>
                </c:pt>
              </c:numCache>
            </c:numRef>
          </c:val>
        </c:ser>
        <c:gapWidth val="150"/>
        <c:overlap val="0"/>
        <c:axId val="59155846"/>
        <c:axId val="65919964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0">
              <a:solidFill>
                <a:srgbClr val="000000"/>
              </a:solidFill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Input'!$B$77:$F$77</c:f>
              <c:numCache>
                <c:formatCode>_(* #,##0.0_);_(* \(#,##0.0\);_(* \-??_);_(@_)</c:formatCode>
                <c:ptCount val="5"/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155846"/>
        <c:axId val="65919964"/>
      </c:lineChart>
      <c:catAx>
        <c:axId val="591558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5919964"/>
        <c:crossesAt val="0"/>
        <c:auto val="1"/>
        <c:lblAlgn val="ctr"/>
        <c:lblOffset val="100"/>
        <c:noMultiLvlLbl val="0"/>
      </c:catAx>
      <c:valAx>
        <c:axId val="65919964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9692192192192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9155846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901793273301"/>
          <c:y val="0.859734734734735"/>
          <c:w val="0.429000230893558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0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2567338771741"/>
          <c:y val="0.14187725631769"/>
          <c:w val="0.888948745574881"/>
          <c:h val="0.6966305655836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Input'!$AL$9,'IS Input'!$AN$9,'IS Input'!$AP$9,'IS Input'!$AR$9,'IS Input'!$AT$9,'IS Input'!$AV$9,'IS Input'!$AX$9,'IS Input'!$AZ$9,'IS Input'!$BB$9,'IS Input'!$BD$9,'IS Input'!$BF$9,'IS Input'!$BH$9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20</c:v>
                </c:pt>
                <c:pt idx="3">
                  <c:v>22</c:v>
                </c:pt>
                <c:pt idx="4">
                  <c:v>57</c:v>
                </c:pt>
                <c:pt idx="5">
                  <c:v>42</c:v>
                </c:pt>
                <c:pt idx="6">
                  <c:v>51</c:v>
                </c:pt>
                <c:pt idx="7">
                  <c:v>55</c:v>
                </c:pt>
                <c:pt idx="8">
                  <c:v>62</c:v>
                </c:pt>
                <c:pt idx="9">
                  <c:v>62</c:v>
                </c:pt>
              </c:numCache>
            </c:numRef>
          </c:val>
        </c:ser>
        <c:gapWidth val="150"/>
        <c:overlap val="0"/>
        <c:axId val="76909365"/>
        <c:axId val="79563187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Input'!$AM$9,'IS Input'!$AO$9,'IS Input'!$AQ$9,'IS Input'!$AS$9,'IS Input'!$AU$9,'IS Input'!$AW$9,'IS Input'!$AY$9,'IS Input'!$BA$9,'IS Input'!$BC$9,'IS Input'!$BE$9,'IS Input'!$BG$9,'IS Input'!$BI$9</c:f>
              <c:numCache>
                <c:formatCode>General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20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63</c:v>
                </c:pt>
                <c:pt idx="7">
                  <c:v>63</c:v>
                </c:pt>
                <c:pt idx="8">
                  <c:v>63</c:v>
                </c:pt>
                <c:pt idx="9">
                  <c:v>92</c:v>
                </c:pt>
                <c:pt idx="10">
                  <c:v>92</c:v>
                </c:pt>
                <c:pt idx="11">
                  <c:v>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"Revised Staff Plan"</c:f>
              <c:strCache>
                <c:ptCount val="1"/>
                <c:pt idx="0">
                  <c:v>Revised Staff 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Pt>
            <c:idx val="8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9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10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11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Lbls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Input'!$AM$35,'IS Input'!$AO$35,'IS Input'!$AQ$35,'IS Input'!$AS$35,'IS Input'!$AU$35,'IS Input'!$AW$35,'IS Input'!$AY$35,'IS Input'!$BA$35,'IS Input'!$BC$35,'IS Input'!$BE$35,'IS Input'!$BG$35,'IS Input'!$BI$35</c:f>
              <c:numCache>
                <c:formatCode>General</c:formatCode>
                <c:ptCount val="12"/>
                <c:pt idx="8">
                  <c:v>63</c:v>
                </c:pt>
                <c:pt idx="9">
                  <c:v>65</c:v>
                </c:pt>
                <c:pt idx="10">
                  <c:v>67</c:v>
                </c:pt>
                <c:pt idx="11">
                  <c:v>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909365"/>
        <c:axId val="79563187"/>
      </c:lineChart>
      <c:catAx>
        <c:axId val="769093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9563187"/>
        <c:crossesAt val="0"/>
        <c:auto val="1"/>
        <c:lblAlgn val="ctr"/>
        <c:lblOffset val="100"/>
        <c:noMultiLvlLbl val="0"/>
      </c:catAx>
      <c:valAx>
        <c:axId val="79563187"/>
        <c:scaling>
          <c:orientation val="minMax"/>
          <c:max val="1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6909365"/>
        <c:crossesAt val="1"/>
        <c:crossBetween val="midCat"/>
        <c:majorUnit val="25"/>
        <c:minorUnit val="2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4257349545944"/>
          <c:y val="0.84043321299639"/>
          <c:w val="0.624442050177005"/>
          <c:h val="0.10192539109506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October 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285615544121"/>
          <c:y val="0.150286854577201"/>
          <c:w val="0.919975424314569"/>
          <c:h val="0.588176602644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Input'!$AK$4:$AK$13</c:f>
              <c:strCache>
                <c:ptCount val="10"/>
                <c:pt idx="0">
                  <c:v>Crude &amp; Products</c:v>
                </c:pt>
                <c:pt idx="1">
                  <c:v>Coal/Emissions</c:v>
                </c:pt>
                <c:pt idx="2">
                  <c:v>Weather</c:v>
                </c:pt>
                <c:pt idx="3">
                  <c:v>Global Risk Markets</c:v>
                </c:pt>
                <c:pt idx="4">
                  <c:v>Financial Trading</c:v>
                </c:pt>
                <c:pt idx="5">
                  <c:v>Freight</c:v>
                </c:pt>
                <c:pt idx="6">
                  <c:v>LNG/Middle East/Puerto Rico</c:v>
                </c:pt>
                <c:pt idx="7">
                  <c:v>Japan</c:v>
                </c:pt>
                <c:pt idx="8">
                  <c:v>Other</c:v>
                </c:pt>
                <c:pt idx="9">
                  <c:v>Total Monthly Headcount</c:v>
                </c:pt>
              </c:strCache>
            </c:strRef>
          </c:cat>
          <c:val>
            <c:numRef>
              <c:f>'IS Input'!$BD$4:$BD$13</c:f>
              <c:numCache>
                <c:formatCode>General</c:formatCode>
                <c:ptCount val="10"/>
                <c:pt idx="0">
                  <c:v>143</c:v>
                </c:pt>
                <c:pt idx="1">
                  <c:v>96</c:v>
                </c:pt>
                <c:pt idx="2">
                  <c:v>48</c:v>
                </c:pt>
                <c:pt idx="3">
                  <c:v>30</c:v>
                </c:pt>
                <c:pt idx="4">
                  <c:v>34</c:v>
                </c:pt>
                <c:pt idx="5">
                  <c:v>62</c:v>
                </c:pt>
                <c:pt idx="6">
                  <c:v>38</c:v>
                </c:pt>
                <c:pt idx="7">
                  <c:v>18</c:v>
                </c:pt>
                <c:pt idx="8">
                  <c:v>165</c:v>
                </c:pt>
                <c:pt idx="9">
                  <c:v>634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8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Input'!$AK$4:$AK$13</c:f>
              <c:strCache>
                <c:ptCount val="10"/>
                <c:pt idx="0">
                  <c:v>Crude &amp; Products</c:v>
                </c:pt>
                <c:pt idx="1">
                  <c:v>Coal/Emissions</c:v>
                </c:pt>
                <c:pt idx="2">
                  <c:v>Weather</c:v>
                </c:pt>
                <c:pt idx="3">
                  <c:v>Global Risk Markets</c:v>
                </c:pt>
                <c:pt idx="4">
                  <c:v>Financial Trading</c:v>
                </c:pt>
                <c:pt idx="5">
                  <c:v>Freight</c:v>
                </c:pt>
                <c:pt idx="6">
                  <c:v>LNG/Middle East/Puerto Rico</c:v>
                </c:pt>
                <c:pt idx="7">
                  <c:v>Japan</c:v>
                </c:pt>
                <c:pt idx="8">
                  <c:v>Other</c:v>
                </c:pt>
                <c:pt idx="9">
                  <c:v>Total Monthly Headcount</c:v>
                </c:pt>
              </c:strCache>
            </c:strRef>
          </c:cat>
          <c:val>
            <c:numRef>
              <c:f>'IS Input'!$BE$4:$BE$13</c:f>
              <c:numCache>
                <c:formatCode>General</c:formatCode>
                <c:ptCount val="10"/>
                <c:pt idx="0">
                  <c:v>119</c:v>
                </c:pt>
                <c:pt idx="1">
                  <c:v>88</c:v>
                </c:pt>
                <c:pt idx="2">
                  <c:v>26</c:v>
                </c:pt>
                <c:pt idx="3">
                  <c:v>42</c:v>
                </c:pt>
                <c:pt idx="4">
                  <c:v>54</c:v>
                </c:pt>
                <c:pt idx="5">
                  <c:v>92</c:v>
                </c:pt>
                <c:pt idx="6">
                  <c:v>44</c:v>
                </c:pt>
                <c:pt idx="7">
                  <c:v>27</c:v>
                </c:pt>
                <c:pt idx="8">
                  <c:v>118</c:v>
                </c:pt>
                <c:pt idx="9">
                  <c:v>610</c:v>
                </c:pt>
              </c:numCache>
            </c:numRef>
          </c:val>
        </c:ser>
        <c:gapWidth val="150"/>
        <c:overlap val="0"/>
        <c:axId val="69490664"/>
        <c:axId val="90722248"/>
      </c:barChart>
      <c:catAx>
        <c:axId val="69490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90722248"/>
        <c:crossesAt val="0"/>
        <c:auto val="1"/>
        <c:lblAlgn val="ctr"/>
        <c:lblOffset val="100"/>
        <c:noMultiLvlLbl val="0"/>
      </c:catAx>
      <c:valAx>
        <c:axId val="90722248"/>
        <c:scaling>
          <c:orientation val="minMax"/>
          <c:max val="800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layout>
            <c:manualLayout>
              <c:xMode val="edge"/>
              <c:yMode val="edge"/>
              <c:x val="0.0191997542431457"/>
              <c:y val="0.27026689947617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9490664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1658858766608"/>
          <c:y val="0.894237964579696"/>
          <c:w val="0.230320251900776"/>
          <c:h val="0.0748316288351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4203206930618"/>
          <c:y val="0.120620620620621"/>
          <c:w val="0.866555209362414"/>
          <c:h val="0.764139139139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Input'!$D$8,'IS Input'!$K$8,'IS Input'!$R$8,'IS Input'!$Y$8,'IS Input'!$AF$8</c:f>
              <c:numCache>
                <c:formatCode>_(* #,##0.0_);_(* \(#,##0.0\);_(* \-??_);_(@_)</c:formatCode>
                <c:ptCount val="5"/>
                <c:pt idx="0">
                  <c:v>-1.843474</c:v>
                </c:pt>
                <c:pt idx="1">
                  <c:v>-3.767201</c:v>
                </c:pt>
                <c:pt idx="2">
                  <c:v>-4.15813</c:v>
                </c:pt>
                <c:pt idx="3">
                  <c:v>-8.915306</c:v>
                </c:pt>
                <c:pt idx="4">
                  <c:v>-18.684111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Input'!$G$8,'IS Input'!$N$8,'IS Input'!$U$8,'IS Input'!$AB$8,'IS Input'!$AI$8</c:f>
              <c:numCache>
                <c:formatCode>_(* #,##0.0_);_(* \(#,##0.0\);_(* \-??_);_(@_)</c:formatCode>
                <c:ptCount val="5"/>
                <c:pt idx="0">
                  <c:v>-1.244696</c:v>
                </c:pt>
                <c:pt idx="1">
                  <c:v>-3.623711</c:v>
                </c:pt>
                <c:pt idx="2">
                  <c:v>0.246839999999999</c:v>
                </c:pt>
                <c:pt idx="3">
                  <c:v>4.54229</c:v>
                </c:pt>
                <c:pt idx="4">
                  <c:v>-0.0792769999999985</c:v>
                </c:pt>
              </c:numCache>
            </c:numRef>
          </c:val>
        </c:ser>
        <c:gapWidth val="150"/>
        <c:overlap val="0"/>
        <c:axId val="94877219"/>
        <c:axId val="78787906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Input'!$B$113:$F$113</c:f>
              <c:numCache>
                <c:formatCode>_(* #,##0.0_);_(* \(#,##0.0\);_(* \-??_);_(@_)</c:formatCode>
                <c:ptCount val="5"/>
                <c:pt idx="3">
                  <c:v>-1.602</c:v>
                </c:pt>
                <c:pt idx="4">
                  <c:v>-1.602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4877219"/>
        <c:axId val="78787906"/>
      </c:lineChart>
      <c:catAx>
        <c:axId val="948772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8787906"/>
        <c:crossesAt val="0"/>
        <c:auto val="1"/>
        <c:lblAlgn val="ctr"/>
        <c:lblOffset val="100"/>
        <c:noMultiLvlLbl val="0"/>
      </c:catAx>
      <c:valAx>
        <c:axId val="7878790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7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4877219"/>
        <c:crossesAt val="1"/>
        <c:crossBetween val="midCat"/>
        <c:majorUnit val="4"/>
        <c:minorUnit val="4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2060946880462"/>
          <c:y val="0.856731731731732"/>
          <c:w val="0.412873318641234"/>
          <c:h val="0.08833833833833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Net Cash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7656525404246"/>
          <c:y val="0.110469314079422"/>
          <c:w val="0.923365775155184"/>
          <c:h val="0.81720818291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Team'!$D$85:$O$85</c:f>
              <c:numCache>
                <c:formatCode>_(* #,##0.0_);_(* \(#,##0.0\);_(* \-??_);_(@_)</c:formatCode>
                <c:ptCount val="12"/>
                <c:pt idx="0">
                  <c:v>-0.103</c:v>
                </c:pt>
                <c:pt idx="1">
                  <c:v>-0.186</c:v>
                </c:pt>
                <c:pt idx="2">
                  <c:v>-14.027</c:v>
                </c:pt>
                <c:pt idx="3">
                  <c:v>-1.993</c:v>
                </c:pt>
                <c:pt idx="4">
                  <c:v>-1.925</c:v>
                </c:pt>
                <c:pt idx="5">
                  <c:v>-1.925</c:v>
                </c:pt>
                <c:pt idx="6">
                  <c:v>-1.143</c:v>
                </c:pt>
                <c:pt idx="7">
                  <c:v>-1.922</c:v>
                </c:pt>
                <c:pt idx="8">
                  <c:v>-1.968</c:v>
                </c:pt>
              </c:numCache>
            </c:numRef>
          </c:val>
        </c:ser>
        <c:gapWidth val="150"/>
        <c:overlap val="0"/>
        <c:axId val="74022377"/>
        <c:axId val="5202256"/>
      </c:barChart>
      <c:lineChart>
        <c:grouping val="standard"/>
        <c:varyColors val="0"/>
        <c:ser>
          <c:idx val="1"/>
          <c:order val="1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Team'!$D$86:$L$86</c:f>
              <c:numCache>
                <c:formatCode>_(* #,##0.0_);_(* \(#,##0.0\);_(* \-??_);_(@_)</c:formatCode>
                <c:ptCount val="9"/>
                <c:pt idx="0">
                  <c:v>-0.103</c:v>
                </c:pt>
                <c:pt idx="1">
                  <c:v>-0.289</c:v>
                </c:pt>
                <c:pt idx="2">
                  <c:v>-14.316</c:v>
                </c:pt>
                <c:pt idx="3">
                  <c:v>-16.309</c:v>
                </c:pt>
                <c:pt idx="4">
                  <c:v>-18.234</c:v>
                </c:pt>
                <c:pt idx="5">
                  <c:v>-20.159</c:v>
                </c:pt>
                <c:pt idx="6">
                  <c:v>-21.302</c:v>
                </c:pt>
                <c:pt idx="7">
                  <c:v>-23.224</c:v>
                </c:pt>
                <c:pt idx="8">
                  <c:v>-25.192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022377"/>
        <c:axId val="5202256"/>
      </c:lineChart>
      <c:catAx>
        <c:axId val="740223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202256"/>
        <c:crossesAt val="0"/>
        <c:auto val="1"/>
        <c:lblAlgn val="ctr"/>
        <c:lblOffset val="100"/>
        <c:noMultiLvlLbl val="0"/>
      </c:catAx>
      <c:valAx>
        <c:axId val="52022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402237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8747030423787"/>
          <c:y val="0.896149217809868"/>
          <c:w val="0.751551843053108"/>
          <c:h val="0.07220216606498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Physical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4957284691757"/>
          <c:y val="0.143268268268268"/>
          <c:w val="0.839913799738321"/>
          <c:h val="0.7354854854854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Input'!$B$14,'volumes Input'!$G$14,'volumes Input'!$L$14,'volumes Input'!$Q$14,'volumes Input'!$V$14,'volumes Input'!$AA$14,'volumes Input'!$AF$14,'volumes Input'!$AK$14,'volumes Input'!$AP$14,'volumes Input'!$AU$14,'volumes Input'!$AZ$14,'volumes Input'!$BE$14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772.799</c:v>
                </c:pt>
                <c:pt idx="3">
                  <c:v>787.527</c:v>
                </c:pt>
                <c:pt idx="4">
                  <c:v>795.274</c:v>
                </c:pt>
                <c:pt idx="5">
                  <c:v>580.078</c:v>
                </c:pt>
                <c:pt idx="6">
                  <c:v>690.348</c:v>
                </c:pt>
                <c:pt idx="7">
                  <c:v>508.312</c:v>
                </c:pt>
                <c:pt idx="8">
                  <c:v>1447</c:v>
                </c:pt>
                <c:pt idx="9">
                  <c:v>2291</c:v>
                </c:pt>
              </c:numCache>
            </c:numRef>
          </c:val>
        </c:ser>
        <c:gapWidth val="150"/>
        <c:overlap val="0"/>
        <c:axId val="26317237"/>
        <c:axId val="45442911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Input'!$B$22,'volumes Input'!$G$22,'volumes Input'!$L$22,'volumes Input'!$Q$22,'volumes Input'!$V$22,'volumes Input'!$AA$22,'volumes Input'!$AF$22,'volumes Input'!$AK$22,'volumes Input'!$AP$22,'volumes Input'!$AU$22,'volumes Input'!$AZ$22,'volumes Input'!$BE$22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317237"/>
        <c:axId val="45442911"/>
      </c:lineChart>
      <c:catAx>
        <c:axId val="263172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5442911"/>
        <c:crossesAt val="0"/>
        <c:auto val="1"/>
        <c:lblAlgn val="ctr"/>
        <c:lblOffset val="100"/>
        <c:noMultiLvlLbl val="0"/>
      </c:catAx>
      <c:valAx>
        <c:axId val="4544291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($ 000's)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196446446446446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6317237"/>
        <c:crossesAt val="1"/>
        <c:crossBetween val="midCat"/>
      </c:valAx>
      <c:spPr>
        <a:noFill/>
        <a:ln w="126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40183175556069"/>
          <c:y val="0.858608608608609"/>
          <c:w val="0.429000230893558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8905775075988"/>
          <c:y val="0.111873285108506"/>
          <c:w val="0.904787234042553"/>
          <c:h val="0.721751060114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Input'!$D$14,'volumes Input'!$I$14,'volumes Input'!$N$14,'volumes Input'!$S$14,'volumes Input'!$X$14,'volumes Input'!$AC$14,'volumes Input'!$AH$14,'volumes Input'!$AM$14,'volumes Input'!$AR$14,'volumes Input'!$AW$14,'volumes Input'!$BB$14,'volumes Input'!$BG$14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2211</c:v>
                </c:pt>
                <c:pt idx="3">
                  <c:v>2244</c:v>
                </c:pt>
                <c:pt idx="4">
                  <c:v>1865</c:v>
                </c:pt>
                <c:pt idx="5">
                  <c:v>1581</c:v>
                </c:pt>
                <c:pt idx="6">
                  <c:v>1925</c:v>
                </c:pt>
                <c:pt idx="7">
                  <c:v>1330</c:v>
                </c:pt>
                <c:pt idx="8">
                  <c:v>2101</c:v>
                </c:pt>
                <c:pt idx="9">
                  <c:v>3335</c:v>
                </c:pt>
              </c:numCache>
            </c:numRef>
          </c:val>
        </c:ser>
        <c:gapWidth val="150"/>
        <c:overlap val="0"/>
        <c:axId val="17671638"/>
        <c:axId val="4894150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Input'!$D$22,'volumes Input'!$I$22,'volumes Input'!$N$22,'volumes Input'!$S$22,'volumes Input'!$X$22,'volumes Input'!$AC$22,'volumes Input'!$AH$22,'volumes Input'!$AM$22,'volumes Input'!$AR$22,'volumes Input'!$AW$22,'volumes Input'!$BB$22,'volumes Input'!$BG$22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671638"/>
        <c:axId val="4894150"/>
      </c:lineChart>
      <c:catAx>
        <c:axId val="176716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894150"/>
        <c:crossesAt val="0"/>
        <c:auto val="1"/>
        <c:lblAlgn val="ctr"/>
        <c:lblOffset val="100"/>
        <c:noMultiLvlLbl val="0"/>
      </c:catAx>
      <c:valAx>
        <c:axId val="4894150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7671638"/>
        <c:crossesAt val="1"/>
        <c:crossBetween val="midCat"/>
      </c:valAx>
      <c:spPr>
        <a:noFill/>
        <a:ln w="126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16261398176292"/>
          <c:y val="0.854701920678473"/>
          <c:w val="0.444984802431611"/>
          <c:h val="0.0835619855325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EOL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6424503617054"/>
          <c:y val="0.137637637637638"/>
          <c:w val="0.886255194705249"/>
          <c:h val="0.694944944944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Input'!$E$14,'volumes Input'!$J$14,'volumes Input'!$O$14,'volumes Input'!$T$14,'volumes Input'!$Y$14,'volumes Input'!$AD$14,'volumes Input'!$AI$14,'volumes Input'!$AN$14,'volumes Input'!$AS$14,'volumes Input'!$AX$14,'volumes Input'!$BC$14,'volumes Input'!$BH$14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50"/>
        <c:overlap val="0"/>
        <c:axId val="6991869"/>
        <c:axId val="4659105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Input'!$E$22,'volumes Input'!$J$22,'volumes Input'!$O$22,'volumes Input'!$T$22,'volumes Input'!$Y$22,'volumes Input'!$AD$22,'volumes Input'!$AI$22,'volumes Input'!$AN$22,'volumes Input'!$AS$22,'volumes Input'!$AX$22,'volumes Input'!$BC$22,'volumes Input'!$BH$22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91869"/>
        <c:axId val="4659105"/>
      </c:lineChart>
      <c:catAx>
        <c:axId val="69918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659105"/>
        <c:crossesAt val="0"/>
        <c:auto val="1"/>
        <c:lblAlgn val="ctr"/>
        <c:lblOffset val="100"/>
        <c:noMultiLvlLbl val="0"/>
      </c:catAx>
      <c:valAx>
        <c:axId val="4659105"/>
        <c:scaling>
          <c:orientation val="minMax"/>
          <c:max val="40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991869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75250115437894"/>
          <c:y val="0.883883883883884"/>
          <c:w val="0.344774511312914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Financial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3534463105099"/>
          <c:y val="0.120745745745746"/>
          <c:w val="0.845808952048028"/>
          <c:h val="0.763638638638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Input'!$C$14,'volumes Input'!$H$14,'volumes Input'!$M$14,'volumes Input'!$R$14,'volumes Input'!$W$14,'volumes Input'!$AB$14,'volumes Input'!$AG$14,'volumes Input'!$AL$14,'volumes Input'!$AQ$14,'volumes Input'!$AV$14,'volumes Input'!$BA$14,'volumes Input'!$BF$14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50"/>
        <c:overlap val="0"/>
        <c:axId val="65560752"/>
        <c:axId val="36463244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Input'!$C$22,'volumes Input'!$H$22,'volumes Input'!$M$22,'volumes Input'!$R$22,'volumes Input'!$W$22,'volumes Input'!$AB$22,'volumes Input'!$AG$22,'volumes Input'!$AL$22,'volumes Input'!$AQ$22,'volumes Input'!$AV$22,'volumes Input'!$BA$22,'volumes Input'!$BF$22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560752"/>
        <c:axId val="36463244"/>
      </c:lineChart>
      <c:catAx>
        <c:axId val="6556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6463244"/>
        <c:crossesAt val="0"/>
        <c:auto val="1"/>
        <c:lblAlgn val="ctr"/>
        <c:lblOffset val="100"/>
        <c:noMultiLvlLbl val="0"/>
      </c:catAx>
      <c:valAx>
        <c:axId val="36463244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($ 000's)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5560752"/>
        <c:crossesAt val="1"/>
        <c:crossBetween val="midCat"/>
      </c:valAx>
      <c:spPr>
        <a:noFill/>
        <a:ln w="126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24416748993085"/>
          <c:y val="0.856731731731732"/>
          <c:w val="0.412873318641234"/>
          <c:h val="0.08833833833833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8550041796489"/>
          <c:y val="0.124124124124124"/>
          <c:w val="0.78881373964587"/>
          <c:h val="0.7416166166166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Input'!$D$23,'IS Input'!$K$23,'IS Input'!$R$23,'IS Input'!$Y$23,'IS Input'!$AF$23</c:f>
              <c:numCache>
                <c:formatCode>_(* #,##0.0_);_(* \(#,##0.0\);_(* \-??_);_(@_)</c:formatCode>
                <c:ptCount val="5"/>
                <c:pt idx="0">
                  <c:v>-2.158565</c:v>
                </c:pt>
                <c:pt idx="1">
                  <c:v>-5.892272</c:v>
                </c:pt>
                <c:pt idx="2">
                  <c:v>-5.75662</c:v>
                </c:pt>
                <c:pt idx="3">
                  <c:v>-5.138428</c:v>
                </c:pt>
                <c:pt idx="4">
                  <c:v>-18.945885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Input'!$G$23,'IS Input'!$N$23,'IS Input'!$U$23,'IS Input'!$AB$23,'IS Input'!$AI$23</c:f>
              <c:numCache>
                <c:formatCode>_(* #,##0.0_);_(* \(#,##0.0\);_(* \-??_);_(@_)</c:formatCode>
                <c:ptCount val="5"/>
                <c:pt idx="0">
                  <c:v>0.365936</c:v>
                </c:pt>
                <c:pt idx="1">
                  <c:v>2.377904</c:v>
                </c:pt>
                <c:pt idx="2">
                  <c:v>5.376787</c:v>
                </c:pt>
                <c:pt idx="3">
                  <c:v>41.380572</c:v>
                </c:pt>
                <c:pt idx="4">
                  <c:v>49.501199</c:v>
                </c:pt>
              </c:numCache>
            </c:numRef>
          </c:val>
        </c:ser>
        <c:gapWidth val="150"/>
        <c:overlap val="0"/>
        <c:axId val="97327136"/>
        <c:axId val="65798273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Input'!$B$114:$F$114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2.864</c:v>
                </c:pt>
                <c:pt idx="4">
                  <c:v>2.864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327136"/>
        <c:axId val="65798273"/>
      </c:lineChart>
      <c:catAx>
        <c:axId val="973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5798273"/>
        <c:crossesAt val="0"/>
        <c:auto val="1"/>
        <c:lblAlgn val="ctr"/>
        <c:lblOffset val="100"/>
        <c:noMultiLvlLbl val="0"/>
      </c:catAx>
      <c:valAx>
        <c:axId val="65798273"/>
        <c:scaling>
          <c:orientation val="minMax"/>
          <c:max val="60"/>
          <c:min val="-2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7327136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8185272437115"/>
          <c:y val="0.866241241241241"/>
          <c:w val="0.431643741925678"/>
          <c:h val="0.07945445445445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6469637497114"/>
          <c:y val="0.145895895895896"/>
          <c:w val="0.83722004156084"/>
          <c:h val="0.6986986986986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Input'!$B$23,'IS Input'!$I$23,'IS Input'!$P$23,'IS Input'!$W$23,'IS Input'!$AD$23</c:f>
              <c:numCache>
                <c:formatCode>_(* #,##0.0_);_(* \(#,##0.0\);_(* \-??_);_(@_)</c:formatCode>
                <c:ptCount val="5"/>
                <c:pt idx="0">
                  <c:v>1.679991</c:v>
                </c:pt>
                <c:pt idx="1">
                  <c:v>0.765215</c:v>
                </c:pt>
                <c:pt idx="2">
                  <c:v>1.574353</c:v>
                </c:pt>
                <c:pt idx="3">
                  <c:v>2.321</c:v>
                </c:pt>
                <c:pt idx="4">
                  <c:v>6.340559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Input'!$E$23,'IS Input'!$L$23,'IS Input'!$S$23,'IS Input'!$Z$23,'IS Input'!$AG$23</c:f>
              <c:numCache>
                <c:formatCode>_(* #,##0.0_);_(* \(#,##0.0\);_(* \-??_);_(@_)</c:formatCode>
                <c:ptCount val="5"/>
                <c:pt idx="0">
                  <c:v>3</c:v>
                </c:pt>
                <c:pt idx="1">
                  <c:v>5</c:v>
                </c:pt>
                <c:pt idx="2">
                  <c:v>8</c:v>
                </c:pt>
                <c:pt idx="3">
                  <c:v>44</c:v>
                </c:pt>
                <c:pt idx="4">
                  <c:v>60</c:v>
                </c:pt>
              </c:numCache>
            </c:numRef>
          </c:val>
        </c:ser>
        <c:gapWidth val="150"/>
        <c:overlap val="0"/>
        <c:axId val="37250428"/>
        <c:axId val="30456270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Input'!$B$78:$F$78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5.489</c:v>
                </c:pt>
                <c:pt idx="4">
                  <c:v>5.489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250428"/>
        <c:axId val="30456270"/>
      </c:lineChart>
      <c:catAx>
        <c:axId val="372504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0456270"/>
        <c:crossesAt val="0"/>
        <c:auto val="1"/>
        <c:lblAlgn val="ctr"/>
        <c:lblOffset val="100"/>
        <c:noMultiLvlLbl val="0"/>
      </c:catAx>
      <c:valAx>
        <c:axId val="30456270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7250428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5225121219118"/>
          <c:y val="0.859484484484484"/>
          <c:w val="0.431693989071038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0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060643373865"/>
          <c:y val="0.139590854392298"/>
          <c:w val="0.832692011697707"/>
          <c:h val="0.7622141997593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9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Input'!$AL$26,'IS Input'!$AN$26,'IS Input'!$AP$26,'IS Input'!$AR$26,'IS Input'!$AT$26,'IS Input'!$AV$26,'IS Input'!$AX$26,'IS Input'!$AZ$26,'IS Input'!$BB$26,'IS Input'!$BD$26,'IS Input'!$BF$26,'IS Input'!$BH$26</c:f>
              <c:numCache>
                <c:formatCode>General</c:formatCode>
                <c:ptCount val="12"/>
                <c:pt idx="0">
                  <c:v>33</c:v>
                </c:pt>
                <c:pt idx="1">
                  <c:v>32</c:v>
                </c:pt>
                <c:pt idx="2">
                  <c:v>33.5</c:v>
                </c:pt>
                <c:pt idx="3">
                  <c:v>34.5</c:v>
                </c:pt>
                <c:pt idx="4">
                  <c:v>37</c:v>
                </c:pt>
                <c:pt idx="5">
                  <c:v>33</c:v>
                </c:pt>
                <c:pt idx="6">
                  <c:v>35</c:v>
                </c:pt>
                <c:pt idx="7">
                  <c:v>36</c:v>
                </c:pt>
                <c:pt idx="8">
                  <c:v>34</c:v>
                </c:pt>
                <c:pt idx="9">
                  <c:v>38</c:v>
                </c:pt>
              </c:numCache>
            </c:numRef>
          </c:val>
        </c:ser>
        <c:gapWidth val="150"/>
        <c:overlap val="0"/>
        <c:axId val="44715977"/>
        <c:axId val="63347600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Input'!$AM$26,'IS Input'!$AO$26,'IS Input'!$AQ$26,'IS Input'!$AS$26,'IS Input'!$AU$26,'IS Input'!$AW$26,'IS Input'!$AY$26,'IS Input'!$BA$26,'IS Input'!$BC$26,'IS Input'!$BE$26,'IS Input'!$BG$26,'IS Input'!$BI$26</c:f>
              <c:numCache>
                <c:formatCode>General</c:formatCode>
                <c:ptCount val="12"/>
                <c:pt idx="0">
                  <c:v>44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715977"/>
        <c:axId val="63347600"/>
      </c:lineChart>
      <c:catAx>
        <c:axId val="447159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3347600"/>
        <c:crossesAt val="0"/>
        <c:auto val="1"/>
        <c:lblAlgn val="ctr"/>
        <c:lblOffset val="100"/>
        <c:noMultiLvlLbl val="0"/>
      </c:catAx>
      <c:valAx>
        <c:axId val="63347600"/>
        <c:scaling>
          <c:orientation val="minMax"/>
          <c:max val="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4715977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199938433123"/>
          <c:y val="0.884837545126354"/>
          <c:w val="0.331229798368478"/>
          <c:h val="0.07220216606498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Net Cash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7558886509636"/>
          <c:y val="0.109884836852207"/>
          <c:w val="0.923447537473233"/>
          <c:h val="0.817778310940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Team'!$D$94:$O$94</c:f>
              <c:numCache>
                <c:formatCode>_(* #,##0.0_);_(* \(#,##0.0\);_(* \-??_);_(@_)</c:formatCode>
                <c:ptCount val="12"/>
                <c:pt idx="0">
                  <c:v>0.129</c:v>
                </c:pt>
                <c:pt idx="1">
                  <c:v>-24.236</c:v>
                </c:pt>
                <c:pt idx="2">
                  <c:v>11.357</c:v>
                </c:pt>
                <c:pt idx="3">
                  <c:v>-1.88</c:v>
                </c:pt>
                <c:pt idx="4">
                  <c:v>-11.257</c:v>
                </c:pt>
                <c:pt idx="5">
                  <c:v>6.45</c:v>
                </c:pt>
                <c:pt idx="6">
                  <c:v>-0.567</c:v>
                </c:pt>
                <c:pt idx="7">
                  <c:v>-15.481</c:v>
                </c:pt>
                <c:pt idx="8">
                  <c:v>14.911</c:v>
                </c:pt>
              </c:numCache>
            </c:numRef>
          </c:val>
        </c:ser>
        <c:gapWidth val="150"/>
        <c:overlap val="0"/>
        <c:axId val="84844480"/>
        <c:axId val="43397824"/>
      </c:barChart>
      <c:lineChart>
        <c:grouping val="standard"/>
        <c:varyColors val="0"/>
        <c:ser>
          <c:idx val="1"/>
          <c:order val="1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Team'!$D$95:$L$95</c:f>
              <c:numCache>
                <c:formatCode>_(* #,##0.0_);_(* \(#,##0.0\);_(* \-??_);_(@_)</c:formatCode>
                <c:ptCount val="9"/>
                <c:pt idx="0">
                  <c:v>0.129</c:v>
                </c:pt>
                <c:pt idx="1">
                  <c:v>-24.107</c:v>
                </c:pt>
                <c:pt idx="2">
                  <c:v>-12.75</c:v>
                </c:pt>
                <c:pt idx="3">
                  <c:v>-14.63</c:v>
                </c:pt>
                <c:pt idx="4">
                  <c:v>-25.887</c:v>
                </c:pt>
                <c:pt idx="5">
                  <c:v>-19.437</c:v>
                </c:pt>
                <c:pt idx="6">
                  <c:v>-20.004</c:v>
                </c:pt>
                <c:pt idx="7">
                  <c:v>-35.485</c:v>
                </c:pt>
                <c:pt idx="8">
                  <c:v>-20.574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844480"/>
        <c:axId val="43397824"/>
      </c:lineChart>
      <c:catAx>
        <c:axId val="8484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3397824"/>
        <c:crossesAt val="0"/>
        <c:auto val="1"/>
        <c:lblAlgn val="ctr"/>
        <c:lblOffset val="100"/>
        <c:noMultiLvlLbl val="0"/>
      </c:catAx>
      <c:valAx>
        <c:axId val="433978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484448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9663505659223"/>
          <c:y val="0.895513435700576"/>
          <c:w val="0.75"/>
          <c:h val="0.071976967370441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Capital Employed / Annualized ROIC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4850252819914"/>
          <c:y val="0.107632826141182"/>
          <c:w val="0.921431349669389"/>
          <c:h val="0.8187827388376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"Capital Employed"</c:f>
              <c:strCache>
                <c:ptCount val="1"/>
                <c:pt idx="0">
                  <c:v>Capital Employed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Employed'!$D$25:$O$25</c:f>
              <c:numCache>
                <c:formatCode>_(* #,##0.0_);_(* \(#,##0.0\);_(* \-??_);_(@_)</c:formatCode>
                <c:ptCount val="12"/>
                <c:pt idx="0">
                  <c:v>1133.565</c:v>
                </c:pt>
                <c:pt idx="1">
                  <c:v>687.761</c:v>
                </c:pt>
                <c:pt idx="2">
                  <c:v>985.129</c:v>
                </c:pt>
                <c:pt idx="3">
                  <c:v>1094.5</c:v>
                </c:pt>
                <c:pt idx="4">
                  <c:v>1180.695738</c:v>
                </c:pt>
                <c:pt idx="5">
                  <c:v>1251</c:v>
                </c:pt>
                <c:pt idx="6">
                  <c:v>1094.253</c:v>
                </c:pt>
                <c:pt idx="7">
                  <c:v>1116.799</c:v>
                </c:pt>
                <c:pt idx="8">
                  <c:v>1113.447</c:v>
                </c:pt>
              </c:numCache>
            </c:numRef>
          </c:val>
        </c:ser>
        <c:gapWidth val="150"/>
        <c:overlap val="100"/>
        <c:axId val="23815502"/>
        <c:axId val="52512681"/>
      </c:barChart>
      <c:lineChart>
        <c:grouping val="stacked"/>
        <c:varyColors val="0"/>
        <c:ser>
          <c:idx val="1"/>
          <c:order val="1"/>
          <c:tx>
            <c:strRef>
              <c:f>"Annualized ROIC"</c:f>
              <c:strCache>
                <c:ptCount val="1"/>
                <c:pt idx="0">
                  <c:v>Annualized ROIC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3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Employed'!$D$34:$O$34</c:f>
              <c:numCache>
                <c:formatCode>0.00%</c:formatCode>
                <c:ptCount val="12"/>
                <c:pt idx="0">
                  <c:v>0.0202666319970223</c:v>
                </c:pt>
                <c:pt idx="1">
                  <c:v>0.0202666319970223</c:v>
                </c:pt>
                <c:pt idx="2">
                  <c:v>0.0202666319970223</c:v>
                </c:pt>
                <c:pt idx="3">
                  <c:v>0.0202666319970223</c:v>
                </c:pt>
                <c:pt idx="4">
                  <c:v>0.0202666319970223</c:v>
                </c:pt>
                <c:pt idx="5">
                  <c:v>0.0202666319970223</c:v>
                </c:pt>
                <c:pt idx="6">
                  <c:v>0.0202666319970223</c:v>
                </c:pt>
                <c:pt idx="7">
                  <c:v>0.0202666319970223</c:v>
                </c:pt>
                <c:pt idx="8">
                  <c:v>0.0202666319970223</c:v>
                </c:pt>
                <c:pt idx="9">
                  <c:v>0.0202666319970223</c:v>
                </c:pt>
                <c:pt idx="10">
                  <c:v>0.0202666319970223</c:v>
                </c:pt>
                <c:pt idx="11">
                  <c:v>0.0202666319970223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571487"/>
        <c:axId val="68867938"/>
      </c:lineChart>
      <c:catAx>
        <c:axId val="238155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2512681"/>
        <c:crossesAt val="0"/>
        <c:auto val="1"/>
        <c:lblAlgn val="ctr"/>
        <c:lblOffset val="100"/>
        <c:noMultiLvlLbl val="0"/>
      </c:catAx>
      <c:valAx>
        <c:axId val="525126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3815502"/>
        <c:crossesAt val="1"/>
        <c:crossBetween val="midCat"/>
      </c:valAx>
      <c:catAx>
        <c:axId val="1557148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867938"/>
        <c:auto val="1"/>
        <c:lblAlgn val="ctr"/>
        <c:lblOffset val="100"/>
        <c:noMultiLvlLbl val="0"/>
      </c:catAx>
      <c:valAx>
        <c:axId val="68867938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5571487"/>
        <c:crosses val="max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121742512641"/>
          <c:y val="0.881391868296333"/>
          <c:w val="0.768416958381953"/>
          <c:h val="0.07919680718383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0328638497653"/>
          <c:y val="0.127377377377377"/>
          <c:w val="0.899022550604172"/>
          <c:h val="0.74461961961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Input'!$B$25,'IS Input'!$I$25,'IS Input'!$P$25,'IS Input'!$W$25,'IS Input'!$AD$25</c:f>
              <c:numCache>
                <c:formatCode>_(* #,##0.0_);_(* \(#,##0.0\);_(* \-??_);_(@_)</c:formatCode>
                <c:ptCount val="5"/>
                <c:pt idx="2">
                  <c:v>0.000849</c:v>
                </c:pt>
                <c:pt idx="3">
                  <c:v>0.001476</c:v>
                </c:pt>
                <c:pt idx="4">
                  <c:v>0.002325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Input'!$E$25,'IS Input'!$L$25,'IS Input'!$S$25,'IS Input'!$Z$25,'IS Input'!$AG$25</c:f>
              <c:numCache>
                <c:formatCode>_(* #,##0.0_);_(* \(#,##0.0\);_(* \-??_);_(@_)</c:formatCode>
                <c:ptCount val="5"/>
                <c:pt idx="2">
                  <c:v>3.75</c:v>
                </c:pt>
                <c:pt idx="3">
                  <c:v>3.75</c:v>
                </c:pt>
                <c:pt idx="4">
                  <c:v>7.5</c:v>
                </c:pt>
              </c:numCache>
            </c:numRef>
          </c:val>
        </c:ser>
        <c:gapWidth val="150"/>
        <c:overlap val="0"/>
        <c:axId val="1735921"/>
        <c:axId val="71696798"/>
      </c:barChart>
      <c:catAx>
        <c:axId val="17359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1696798"/>
        <c:crossesAt val="0"/>
        <c:auto val="1"/>
        <c:lblAlgn val="ctr"/>
        <c:lblOffset val="100"/>
        <c:noMultiLvlLbl val="0"/>
      </c:catAx>
      <c:valAx>
        <c:axId val="71696798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735921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8215962441315"/>
          <c:y val="0.853603603603604"/>
          <c:w val="0.445316708997152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0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499153455441"/>
          <c:y val="0.102236039698673"/>
          <c:w val="0.830998922579652"/>
          <c:h val="0.8092789668779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Input'!$AL$25,'IS Input'!$AN$25,'IS Input'!$AP$25,'IS Input'!$AR$25,'IS Input'!$AT$25,'IS Input'!$AV$25,'IS Input'!$AX$25,'IS Input'!$AZ$25,'IS Input'!$BB$25,'IS Input'!$BD$25,'IS Input'!$BF$25,'IS Input'!$BH$25</c:f>
              <c:numCache>
                <c:formatCode>General</c:formatCode>
                <c:ptCount val="12"/>
                <c:pt idx="6">
                  <c:v>19</c:v>
                </c:pt>
                <c:pt idx="7">
                  <c:v>19</c:v>
                </c:pt>
                <c:pt idx="8">
                  <c:v>18</c:v>
                </c:pt>
                <c:pt idx="9">
                  <c:v>18</c:v>
                </c:pt>
              </c:numCache>
            </c:numRef>
          </c:val>
        </c:ser>
        <c:gapWidth val="150"/>
        <c:overlap val="0"/>
        <c:axId val="7127610"/>
        <c:axId val="51973939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Input'!$AM$25,'IS Input'!$AO$25,'IS Input'!$AQ$25,'IS Input'!$AS$25,'IS Input'!$AU$25,'IS Input'!$AW$25,'IS Input'!$AY$25,'IS Input'!$BA$25,'IS Input'!$BC$25,'IS Input'!$BE$25,'IS Input'!$BG$25,'IS Input'!$BI$25</c:f>
              <c:numCache>
                <c:formatCode>General</c:formatCode>
                <c:ptCount val="12"/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27610"/>
        <c:axId val="51973939"/>
      </c:lineChart>
      <c:catAx>
        <c:axId val="71276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1973939"/>
        <c:crossesAt val="0"/>
        <c:auto val="1"/>
        <c:lblAlgn val="ctr"/>
        <c:lblOffset val="100"/>
        <c:noMultiLvlLbl val="0"/>
      </c:catAx>
      <c:valAx>
        <c:axId val="5197393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12761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8948745574881"/>
          <c:y val="0.884491211287815"/>
          <c:w val="0.298676312144067"/>
          <c:h val="0.071744589262226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8550041796489"/>
          <c:y val="0.124124124124124"/>
          <c:w val="0.839805456341667"/>
          <c:h val="0.7482482482482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Input'!$D$25,'IS Input'!$K$25,'IS Input'!$R$25,'IS Input'!$Y$25,'IS Input'!$AF$25</c:f>
              <c:numCache>
                <c:formatCode>_(* #,##0.0_);_(* \(#,##0.0\);_(* \-??_);_(@_)</c:formatCode>
                <c:ptCount val="5"/>
                <c:pt idx="2">
                  <c:v>-2.53091</c:v>
                </c:pt>
                <c:pt idx="3">
                  <c:v>-3.364902</c:v>
                </c:pt>
                <c:pt idx="4">
                  <c:v>-5.895812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Input'!$G$25,'IS Input'!$N$25,'IS Input'!$U$25,'IS Input'!$AB$25,'IS Input'!$AI$25</c:f>
              <c:numCache>
                <c:formatCode>_(* #,##0.0_);_(* \(#,##0.0\);_(* \-??_);_(@_)</c:formatCode>
                <c:ptCount val="5"/>
                <c:pt idx="2">
                  <c:v>0.383622</c:v>
                </c:pt>
                <c:pt idx="3">
                  <c:v>0.383622</c:v>
                </c:pt>
                <c:pt idx="4">
                  <c:v>0.767244</c:v>
                </c:pt>
              </c:numCache>
            </c:numRef>
          </c:val>
        </c:ser>
        <c:gapWidth val="150"/>
        <c:overlap val="0"/>
        <c:axId val="32218757"/>
        <c:axId val="87736775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Input'!$B$109:$F$109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218757"/>
        <c:axId val="87736775"/>
      </c:lineChart>
      <c:catAx>
        <c:axId val="322187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7736775"/>
        <c:crossesAt val="0"/>
        <c:auto val="1"/>
        <c:lblAlgn val="ctr"/>
        <c:lblOffset val="100"/>
        <c:noMultiLvlLbl val="0"/>
      </c:catAx>
      <c:valAx>
        <c:axId val="87736775"/>
        <c:scaling>
          <c:orientation val="minMax"/>
          <c:max val="6"/>
          <c:min val="-8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2218757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333308002127821"/>
          <c:y val="0.848973973973974"/>
          <c:w val="0.461129265141728"/>
          <c:h val="0.0927177177177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Net Cash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8339438339438"/>
          <c:y val="0.181752959464307"/>
          <c:w val="0.923687423687424"/>
          <c:h val="0.8182470405356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Team'!$D$103:$O$103</c:f>
              <c:numCache>
                <c:formatCode>_(* #,##0.0_);_(* \(#,##0.0\);_(* \-??_);_(@_)</c:formatCode>
                <c:ptCount val="12"/>
                <c:pt idx="6">
                  <c:v>-1.573</c:v>
                </c:pt>
                <c:pt idx="7">
                  <c:v>-0.99</c:v>
                </c:pt>
                <c:pt idx="8">
                  <c:v>0.125</c:v>
                </c:pt>
              </c:numCache>
            </c:numRef>
          </c:val>
        </c:ser>
        <c:gapWidth val="150"/>
        <c:overlap val="0"/>
        <c:axId val="33159283"/>
        <c:axId val="99861717"/>
      </c:barChart>
      <c:lineChart>
        <c:grouping val="standard"/>
        <c:varyColors val="0"/>
        <c:ser>
          <c:idx val="1"/>
          <c:order val="1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'Cash Flow by Team'!$D$8:$O$8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'Cash Flow by Team'!$D$104:$L$104</c:f>
              <c:numCache>
                <c:formatCode>_(* #,##0.0_);_(* \(#,##0.0\);_(* \-??_);_(@_)</c:formatCode>
                <c:ptCount val="9"/>
                <c:pt idx="6">
                  <c:v>-1.573</c:v>
                </c:pt>
                <c:pt idx="7">
                  <c:v>-2.563</c:v>
                </c:pt>
                <c:pt idx="8">
                  <c:v>-2.438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159283"/>
        <c:axId val="99861717"/>
      </c:lineChart>
      <c:catAx>
        <c:axId val="331592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9861717"/>
        <c:crossesAt val="0"/>
        <c:auto val="1"/>
        <c:lblAlgn val="ctr"/>
        <c:lblOffset val="100"/>
        <c:noMultiLvlLbl val="0"/>
      </c:catAx>
      <c:valAx>
        <c:axId val="998617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315928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4612332112332"/>
          <c:y val="0.896089919885209"/>
          <c:w val="0.748397435897436"/>
          <c:h val="0.071744589262226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1022858462249"/>
          <c:y val="0.145895895895896"/>
          <c:w val="0.844454706380359"/>
          <c:h val="0.6933183183183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ser>
          <c:idx val="1"/>
          <c:order val="1"/>
          <c:spPr>
            <a:solidFill>
              <a:srgbClr val="00ff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gapWidth val="150"/>
        <c:overlap val="0"/>
        <c:axId val="9961008"/>
        <c:axId val="58443770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Input'!$B$80:$F$80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0.132</c:v>
                </c:pt>
                <c:pt idx="4">
                  <c:v>0.132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961008"/>
        <c:axId val="58443770"/>
      </c:lineChart>
      <c:catAx>
        <c:axId val="996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8443770"/>
        <c:crossesAt val="0"/>
        <c:auto val="1"/>
        <c:lblAlgn val="ctr"/>
        <c:lblOffset val="100"/>
        <c:noMultiLvlLbl val="0"/>
      </c:catAx>
      <c:valAx>
        <c:axId val="58443770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961008"/>
        <c:crossesAt val="1"/>
        <c:crossBetween val="midCat"/>
        <c:majorUnit val="4"/>
        <c:minorUnit val="4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0888170553375"/>
          <c:y val="0.822947947947948"/>
          <c:w val="0.483260217039945"/>
          <c:h val="0.08833833833833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686930091185"/>
          <c:y val="0.160389124469943"/>
          <c:w val="0.893009118541034"/>
          <c:h val="0.6990521327014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ser>
          <c:idx val="1"/>
          <c:order val="1"/>
          <c:spPr>
            <a:solidFill>
              <a:srgbClr val="ffff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gapWidth val="150"/>
        <c:overlap val="0"/>
        <c:axId val="15311574"/>
        <c:axId val="33703941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Input'!$B$98:$F$98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1.344</c:v>
                </c:pt>
                <c:pt idx="4">
                  <c:v>1.344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311574"/>
        <c:axId val="33703941"/>
      </c:lineChart>
      <c:catAx>
        <c:axId val="153115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3703941"/>
        <c:crossesAt val="0"/>
        <c:auto val="1"/>
        <c:lblAlgn val="ctr"/>
        <c:lblOffset val="100"/>
        <c:noMultiLvlLbl val="0"/>
      </c:catAx>
      <c:valAx>
        <c:axId val="33703941"/>
        <c:scaling>
          <c:orientation val="minMax"/>
          <c:max val="4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5311574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7370820668693"/>
          <c:y val="0.846719880269394"/>
          <c:w val="0.450379939209726"/>
          <c:h val="0.0835619855325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3438510081576"/>
          <c:y val="0.100475475475475"/>
          <c:w val="0.850469447437279"/>
          <c:h val="0.7650150150150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0">
              <a:noFill/>
            </a:ln>
          </c:spPr>
          <c:invertIfNegative val="0"/>
          <c:cat>
            <c:strRef>
              <c:f>'IS Input'!$AL$3,'IS Input'!$AN$3,'IS Input'!$AP$3,'IS Input'!$AR$3,'IS Input'!$AT$3,'IS Input'!$AV$3,'IS Input'!$AX$3,'IS Input'!$AZ$3,'IS Input'!$BB$3,'IS Input'!$BD$3,'IS Input'!$BF$3,'IS Input'!$BH$3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</c:ser>
        <c:gapWidth val="150"/>
        <c:overlap val="0"/>
        <c:axId val="83605362"/>
        <c:axId val="91410591"/>
      </c:barChart>
      <c:lineChart>
        <c:grouping val="standard"/>
        <c:varyColors val="0"/>
        <c:ser>
          <c:idx val="1"/>
          <c:order val="1"/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cat>
            <c:strRef>
              <c:f>'IS Input'!$AL$3,'IS Input'!$AN$3,'IS Input'!$AP$3,'IS Input'!$AR$3,'IS Input'!$AT$3,'IS Input'!$AV$3,'IS Input'!$AX$3,'IS Input'!$AZ$3,'IS Input'!$BB$3,'IS Input'!$BD$3,'IS Input'!$BF$3,'IS Input'!$BH$3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smooth val="0"/>
        </c:ser>
        <c:hiLowLines>
          <c:spPr>
            <a:ln w="0">
              <a:noFill/>
            </a:ln>
          </c:spPr>
        </c:hiLowLines>
        <c:marker val="1"/>
        <c:axId val="83605362"/>
        <c:axId val="91410591"/>
      </c:lineChart>
      <c:catAx>
        <c:axId val="836053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1410591"/>
        <c:crossesAt val="0"/>
        <c:auto val="1"/>
        <c:lblAlgn val="ctr"/>
        <c:lblOffset val="100"/>
        <c:noMultiLvlLbl val="0"/>
      </c:catAx>
      <c:valAx>
        <c:axId val="91410591"/>
        <c:scaling>
          <c:orientation val="minMax"/>
          <c:max val="2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3605362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9686008927197"/>
          <c:y val="0.8820070070070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9029216262173"/>
          <c:y val="0.124374374374374"/>
          <c:w val="0.787215953006647"/>
          <c:h val="0.744619619619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80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ser>
          <c:idx val="1"/>
          <c:order val="1"/>
          <c:spPr>
            <a:solidFill>
              <a:srgbClr val="8000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gapWidth val="150"/>
        <c:overlap val="0"/>
        <c:axId val="24573415"/>
        <c:axId val="60084779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Input'!$B$116:$F$116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-1.871</c:v>
                </c:pt>
                <c:pt idx="4">
                  <c:v>-1.871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573415"/>
        <c:axId val="60084779"/>
      </c:lineChart>
      <c:catAx>
        <c:axId val="24573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0084779"/>
        <c:crossesAt val="0"/>
        <c:auto val="1"/>
        <c:lblAlgn val="ctr"/>
        <c:lblOffset val="100"/>
        <c:noMultiLvlLbl val="0"/>
      </c:catAx>
      <c:valAx>
        <c:axId val="60084779"/>
        <c:scaling>
          <c:orientation val="minMax"/>
          <c:max val="12"/>
          <c:min val="-4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4573415"/>
        <c:crossesAt val="1"/>
        <c:crossBetween val="midCat"/>
        <c:majorUnit val="4"/>
        <c:minorUnit val="4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4315968464987"/>
          <c:y val="0.846096096096096"/>
          <c:w val="0.439016849590354"/>
          <c:h val="0.0927177177177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Funds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933245362105"/>
          <c:y val="0.107116564417178"/>
          <c:w val="0.923154544748894"/>
          <c:h val="0.819386503067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Employed'!$D$10:$O$10</c:f>
              <c:numCache>
                <c:formatCode>_(* #,##0.0_);_(* \(#,##0.0\);_(* \-??_);_(@_)</c:formatCode>
                <c:ptCount val="12"/>
                <c:pt idx="0">
                  <c:v>-149.726</c:v>
                </c:pt>
                <c:pt idx="1">
                  <c:v>5.85900000000001</c:v>
                </c:pt>
                <c:pt idx="2">
                  <c:v>-9.8</c:v>
                </c:pt>
                <c:pt idx="3">
                  <c:v>4.00900000000001</c:v>
                </c:pt>
                <c:pt idx="4">
                  <c:v>-70.4</c:v>
                </c:pt>
                <c:pt idx="5">
                  <c:v>-61.3</c:v>
                </c:pt>
                <c:pt idx="6">
                  <c:v>-82.9</c:v>
                </c:pt>
                <c:pt idx="7">
                  <c:v>19.042</c:v>
                </c:pt>
                <c:pt idx="8">
                  <c:v>84.108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51520436"/>
        <c:axId val="57265388"/>
      </c:barChart>
      <c:lineChart>
        <c:grouping val="standard"/>
        <c:varyColors val="0"/>
        <c:ser>
          <c:idx val="1"/>
          <c:order val="1"/>
          <c:tx>
            <c:strRef>
              <c:f>"YTD Plan"</c:f>
              <c:strCache>
                <c:ptCount val="1"/>
                <c:pt idx="0">
                  <c:v>YTD 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Employed'!$D$13:$O$13</c:f>
              <c:numCache>
                <c:formatCode>_(* #,##0.0_);_(* \(#,##0.0\);_(* \-??_);_(@_)</c:formatCode>
                <c:ptCount val="12"/>
                <c:pt idx="0">
                  <c:v>0.7</c:v>
                </c:pt>
                <c:pt idx="1">
                  <c:v>1.3</c:v>
                </c:pt>
                <c:pt idx="2">
                  <c:v>10.7</c:v>
                </c:pt>
                <c:pt idx="3">
                  <c:v>23.6</c:v>
                </c:pt>
                <c:pt idx="4">
                  <c:v>23.3</c:v>
                </c:pt>
                <c:pt idx="5">
                  <c:v>31.7</c:v>
                </c:pt>
                <c:pt idx="6">
                  <c:v>32.8</c:v>
                </c:pt>
                <c:pt idx="7">
                  <c:v>33.8</c:v>
                </c:pt>
                <c:pt idx="8">
                  <c:v>51.1</c:v>
                </c:pt>
                <c:pt idx="9">
                  <c:v>67.4</c:v>
                </c:pt>
                <c:pt idx="10">
                  <c:v>71.8</c:v>
                </c:pt>
                <c:pt idx="11">
                  <c:v>150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Employed'!$D$11:$L$11</c:f>
              <c:numCache>
                <c:formatCode>_(* #,##0.0_);_(* \(#,##0.0\);_(* \-??_);_(@_)</c:formatCode>
                <c:ptCount val="9"/>
                <c:pt idx="0">
                  <c:v>-149.726</c:v>
                </c:pt>
                <c:pt idx="1">
                  <c:v>-143.867</c:v>
                </c:pt>
                <c:pt idx="2">
                  <c:v>-153.667</c:v>
                </c:pt>
                <c:pt idx="3">
                  <c:v>-149.658</c:v>
                </c:pt>
                <c:pt idx="4">
                  <c:v>-220.1</c:v>
                </c:pt>
                <c:pt idx="5">
                  <c:v>-281.4</c:v>
                </c:pt>
                <c:pt idx="6">
                  <c:v>-364.3</c:v>
                </c:pt>
                <c:pt idx="7">
                  <c:v>-345.258</c:v>
                </c:pt>
                <c:pt idx="8">
                  <c:v>-261.15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520436"/>
        <c:axId val="57265388"/>
      </c:lineChart>
      <c:catAx>
        <c:axId val="515204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7265388"/>
        <c:crossesAt val="0"/>
        <c:auto val="1"/>
        <c:lblAlgn val="ctr"/>
        <c:lblOffset val="100"/>
        <c:noMultiLvlLbl val="0"/>
      </c:catAx>
      <c:valAx>
        <c:axId val="572653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152043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6006364977102"/>
          <c:y val="0.89398773006135"/>
          <c:w val="0.761235737017775"/>
          <c:h val="0.07361963190184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Net Cash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797072263961"/>
          <c:y val="0.108165035311609"/>
          <c:w val="0.922933932305786"/>
          <c:h val="0.818238136538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Employed'!$D$40:$O$40</c:f>
              <c:numCache>
                <c:formatCode>General</c:formatCode>
                <c:ptCount val="12"/>
                <c:pt idx="0">
                  <c:v>4.60000000000002</c:v>
                </c:pt>
                <c:pt idx="1">
                  <c:v>-111.7</c:v>
                </c:pt>
                <c:pt idx="2">
                  <c:v>-51.2</c:v>
                </c:pt>
                <c:pt idx="3">
                  <c:v>-48.2</c:v>
                </c:pt>
                <c:pt idx="4">
                  <c:v>-113.3</c:v>
                </c:pt>
                <c:pt idx="5">
                  <c:v>11.5</c:v>
                </c:pt>
                <c:pt idx="6">
                  <c:v>104.3</c:v>
                </c:pt>
                <c:pt idx="7">
                  <c:v>-49.5</c:v>
                </c:pt>
                <c:pt idx="8">
                  <c:v>12.5</c:v>
                </c:pt>
              </c:numCache>
            </c:numRef>
          </c:val>
        </c:ser>
        <c:gapWidth val="150"/>
        <c:overlap val="0"/>
        <c:axId val="59106673"/>
        <c:axId val="24923066"/>
      </c:barChart>
      <c:lineChart>
        <c:grouping val="standard"/>
        <c:varyColors val="0"/>
        <c:ser>
          <c:idx val="1"/>
          <c:order val="1"/>
          <c:tx>
            <c:strRef>
              <c:f>"YTD Plan"</c:f>
              <c:strCache>
                <c:ptCount val="1"/>
                <c:pt idx="0">
                  <c:v>YTD 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Employed'!$D$43:$O$43</c:f>
              <c:numCache>
                <c:formatCode>General</c:formatCode>
                <c:ptCount val="12"/>
                <c:pt idx="0">
                  <c:v>0.5</c:v>
                </c:pt>
                <c:pt idx="1">
                  <c:v>-12.2</c:v>
                </c:pt>
                <c:pt idx="2">
                  <c:v>-32.3</c:v>
                </c:pt>
                <c:pt idx="3">
                  <c:v>-21.6</c:v>
                </c:pt>
                <c:pt idx="4">
                  <c:v>-22.2</c:v>
                </c:pt>
                <c:pt idx="5">
                  <c:v>-11.4</c:v>
                </c:pt>
                <c:pt idx="6">
                  <c:v>-10.7</c:v>
                </c:pt>
                <c:pt idx="7">
                  <c:v>-10</c:v>
                </c:pt>
                <c:pt idx="8">
                  <c:v>1.1</c:v>
                </c:pt>
                <c:pt idx="9">
                  <c:v>17</c:v>
                </c:pt>
                <c:pt idx="10">
                  <c:v>21</c:v>
                </c:pt>
                <c:pt idx="11">
                  <c:v>58.6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Employed'!$D$41:$L$41</c:f>
              <c:numCache>
                <c:formatCode>General</c:formatCode>
                <c:ptCount val="9"/>
                <c:pt idx="0">
                  <c:v>4.60000000000002</c:v>
                </c:pt>
                <c:pt idx="1">
                  <c:v>-107.1</c:v>
                </c:pt>
                <c:pt idx="2">
                  <c:v>-158.3</c:v>
                </c:pt>
                <c:pt idx="3">
                  <c:v>-206.5</c:v>
                </c:pt>
                <c:pt idx="4">
                  <c:v>-319.8</c:v>
                </c:pt>
                <c:pt idx="5">
                  <c:v>-308.3</c:v>
                </c:pt>
                <c:pt idx="6">
                  <c:v>-204</c:v>
                </c:pt>
                <c:pt idx="7">
                  <c:v>-253.5</c:v>
                </c:pt>
                <c:pt idx="8">
                  <c:v>-241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106673"/>
        <c:axId val="24923066"/>
      </c:lineChart>
      <c:catAx>
        <c:axId val="591066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4923066"/>
        <c:crossesAt val="0"/>
        <c:auto val="1"/>
        <c:lblAlgn val="ctr"/>
        <c:lblOffset val="100"/>
        <c:noMultiLvlLbl val="0"/>
      </c:catAx>
      <c:valAx>
        <c:axId val="249230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910667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6696615289288"/>
          <c:y val="0.89282616776112"/>
          <c:w val="0.759584850127798"/>
          <c:h val="0.07434023045471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7330870468714"/>
          <c:y val="0.120745745745746"/>
          <c:w val="0.874009081813284"/>
          <c:h val="0.760635635635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Input'!$B$3,'IS Input'!$I$3,'IS Input'!$P$3,'IS Input'!$W$3,'IS Input'!$AD$3</c:f>
              <c:numCache>
                <c:formatCode>_(* #,##0.0_);_(* \(#,##0.0\);_(* \-??_);_(@_)</c:formatCode>
                <c:ptCount val="5"/>
                <c:pt idx="0">
                  <c:v>61.971161</c:v>
                </c:pt>
                <c:pt idx="1">
                  <c:v>32.796825</c:v>
                </c:pt>
                <c:pt idx="2">
                  <c:v>-16.135789</c:v>
                </c:pt>
                <c:pt idx="3">
                  <c:v>-51.497476</c:v>
                </c:pt>
                <c:pt idx="4">
                  <c:v>27.134721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Input'!$E$3,'IS Input'!$L$3,'IS Input'!$S$3,'IS Input'!$Z$3,'IS Input'!$AG$3</c:f>
              <c:numCache>
                <c:formatCode>_(* #,##0.0_);_(* \(#,##0.0\);_(* \-??_);_(@_)</c:formatCode>
                <c:ptCount val="5"/>
                <c:pt idx="0">
                  <c:v>40</c:v>
                </c:pt>
                <c:pt idx="1">
                  <c:v>32.5</c:v>
                </c:pt>
                <c:pt idx="2">
                  <c:v>32.5</c:v>
                </c:pt>
                <c:pt idx="3">
                  <c:v>45</c:v>
                </c:pt>
                <c:pt idx="4">
                  <c:v>150</c:v>
                </c:pt>
              </c:numCache>
            </c:numRef>
          </c:val>
        </c:ser>
        <c:gapWidth val="150"/>
        <c:overlap val="0"/>
        <c:axId val="80591341"/>
        <c:axId val="23771159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Input'!$B$71:$F$71</c:f>
              <c:numCache>
                <c:formatCode>_(* #,##0.0_);_(* \(#,##0.0\);_(* \-??_);_(@_)</c:formatCode>
                <c:ptCount val="5"/>
                <c:pt idx="0">
                  <c:v>27.4</c:v>
                </c:pt>
                <c:pt idx="1">
                  <c:v>14.5</c:v>
                </c:pt>
                <c:pt idx="2">
                  <c:v>-2.909</c:v>
                </c:pt>
                <c:pt idx="3">
                  <c:v>16.412</c:v>
                </c:pt>
                <c:pt idx="4">
                  <c:v>55.403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591341"/>
        <c:axId val="23771159"/>
      </c:lineChart>
      <c:catAx>
        <c:axId val="805913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3771159"/>
        <c:crossesAt val="0"/>
        <c:auto val="1"/>
        <c:lblAlgn val="ctr"/>
        <c:lblOffset val="100"/>
        <c:noMultiLvlLbl val="0"/>
      </c:catAx>
      <c:valAx>
        <c:axId val="23771159"/>
        <c:scaling>
          <c:orientation val="minMax"/>
          <c:min val="-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84284284284284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0591341"/>
        <c:crossesAt val="1"/>
        <c:crossBetween val="midCat"/>
        <c:majorUnit val="5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52751481567"/>
          <c:y val="0.848473473473474"/>
          <c:w val="0.602786115600708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<Relationship Id="rId3" Type="http://schemas.openxmlformats.org/officeDocument/2006/relationships/chart" Target="../charts/chart19.xml"/><Relationship Id="rId4" Type="http://schemas.openxmlformats.org/officeDocument/2006/relationships/chart" Target="../charts/chart20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21.xml"/><Relationship Id="rId2" Type="http://schemas.openxmlformats.org/officeDocument/2006/relationships/chart" Target="../charts/chart22.xml"/><Relationship Id="rId3" Type="http://schemas.openxmlformats.org/officeDocument/2006/relationships/chart" Target="../charts/chart23.xml"/><Relationship Id="rId4" Type="http://schemas.openxmlformats.org/officeDocument/2006/relationships/chart" Target="../charts/chart24.xml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chart" Target="../charts/chart25.xml"/><Relationship Id="rId2" Type="http://schemas.openxmlformats.org/officeDocument/2006/relationships/chart" Target="../charts/chart26.xml"/><Relationship Id="rId3" Type="http://schemas.openxmlformats.org/officeDocument/2006/relationships/chart" Target="../charts/chart27.xml"/><Relationship Id="rId4" Type="http://schemas.openxmlformats.org/officeDocument/2006/relationships/chart" Target="../charts/chart28.xml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chart" Target="../charts/chart29.xml"/><Relationship Id="rId2" Type="http://schemas.openxmlformats.org/officeDocument/2006/relationships/chart" Target="../charts/chart30.xml"/><Relationship Id="rId3" Type="http://schemas.openxmlformats.org/officeDocument/2006/relationships/chart" Target="../charts/chart31.xml"/><Relationship Id="rId4" Type="http://schemas.openxmlformats.org/officeDocument/2006/relationships/chart" Target="../charts/chart32.xml"/>
</Relationships>
</file>

<file path=xl/drawings/_rels/drawing18.xml.rels><?xml version="1.0" encoding="UTF-8"?>
<Relationships xmlns="http://schemas.openxmlformats.org/package/2006/relationships"><Relationship Id="rId1" Type="http://schemas.openxmlformats.org/officeDocument/2006/relationships/chart" Target="../charts/chart33.xml"/><Relationship Id="rId2" Type="http://schemas.openxmlformats.org/officeDocument/2006/relationships/chart" Target="../charts/chart34.xml"/><Relationship Id="rId3" Type="http://schemas.openxmlformats.org/officeDocument/2006/relationships/chart" Target="../charts/chart35.xml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Relationship Id="rId3" Type="http://schemas.openxmlformats.org/officeDocument/2006/relationships/chart" Target="../charts/chart38.xml"/><Relationship Id="rId4" Type="http://schemas.openxmlformats.org/officeDocument/2006/relationships/chart" Target="../charts/chart39.xml"/>
</Relationships>
</file>

<file path=xl/drawings/_rels/drawing21.xml.rels><?xml version="1.0" encoding="UTF-8"?>
<Relationships xmlns="http://schemas.openxmlformats.org/package/2006/relationships"><Relationship Id="rId1" Type="http://schemas.openxmlformats.org/officeDocument/2006/relationships/chart" Target="../charts/chart40.xml"/><Relationship Id="rId2" Type="http://schemas.openxmlformats.org/officeDocument/2006/relationships/chart" Target="../charts/chart41.xml"/><Relationship Id="rId3" Type="http://schemas.openxmlformats.org/officeDocument/2006/relationships/chart" Target="../charts/chart42.xml"/><Relationship Id="rId4" Type="http://schemas.openxmlformats.org/officeDocument/2006/relationships/chart" Target="../charts/chart43.xml"/>
</Relationships>
</file>

<file path=xl/drawings/_rels/drawing22.xml.rels><?xml version="1.0" encoding="UTF-8"?>
<Relationships xmlns="http://schemas.openxmlformats.org/package/2006/relationships"><Relationship Id="rId1" Type="http://schemas.openxmlformats.org/officeDocument/2006/relationships/chart" Target="../charts/chart44.xml"/><Relationship Id="rId2" Type="http://schemas.openxmlformats.org/officeDocument/2006/relationships/chart" Target="../charts/chart45.xml"/><Relationship Id="rId3" Type="http://schemas.openxmlformats.org/officeDocument/2006/relationships/chart" Target="../charts/chart46.xml"/><Relationship Id="rId4" Type="http://schemas.openxmlformats.org/officeDocument/2006/relationships/chart" Target="../charts/chart47.xml"/>
</Relationships>
</file>

<file path=xl/drawings/_rels/drawing23.xml.rels><?xml version="1.0" encoding="UTF-8"?>
<Relationships xmlns="http://schemas.openxmlformats.org/package/2006/relationships"><Relationship Id="rId1" Type="http://schemas.openxmlformats.org/officeDocument/2006/relationships/chart" Target="../charts/chart48.xml"/><Relationship Id="rId2" Type="http://schemas.openxmlformats.org/officeDocument/2006/relationships/chart" Target="../charts/chart49.xml"/><Relationship Id="rId3" Type="http://schemas.openxmlformats.org/officeDocument/2006/relationships/chart" Target="../charts/chart50.xml"/><Relationship Id="rId4" Type="http://schemas.openxmlformats.org/officeDocument/2006/relationships/chart" Target="../charts/chart51.xml"/>
</Relationships>
</file>

<file path=xl/drawings/_rels/drawing24.xml.rels><?xml version="1.0" encoding="UTF-8"?>
<Relationships xmlns="http://schemas.openxmlformats.org/package/2006/relationships"><Relationship Id="rId1" Type="http://schemas.openxmlformats.org/officeDocument/2006/relationships/chart" Target="../charts/chart52.xml"/><Relationship Id="rId2" Type="http://schemas.openxmlformats.org/officeDocument/2006/relationships/chart" Target="../charts/chart53.xml"/><Relationship Id="rId3" Type="http://schemas.openxmlformats.org/officeDocument/2006/relationships/chart" Target="../charts/chart54.xml"/><Relationship Id="rId4" Type="http://schemas.openxmlformats.org/officeDocument/2006/relationships/chart" Target="../charts/chart55.xml"/>
</Relationships>
</file>

<file path=xl/drawings/_rels/drawing25.xml.rels><?xml version="1.0" encoding="UTF-8"?>
<Relationships xmlns="http://schemas.openxmlformats.org/package/2006/relationships"><Relationship Id="rId1" Type="http://schemas.openxmlformats.org/officeDocument/2006/relationships/chart" Target="../charts/chart56.xml"/><Relationship Id="rId2" Type="http://schemas.openxmlformats.org/officeDocument/2006/relationships/chart" Target="../charts/chart57.xml"/><Relationship Id="rId3" Type="http://schemas.openxmlformats.org/officeDocument/2006/relationships/chart" Target="../charts/chart58.xml"/><Relationship Id="rId4" Type="http://schemas.openxmlformats.org/officeDocument/2006/relationships/chart" Target="../charts/chart59.xml"/>
</Relationships>
</file>

<file path=xl/drawings/_rels/drawing26.xml.rels><?xml version="1.0" encoding="UTF-8"?>
<Relationships xmlns="http://schemas.openxmlformats.org/package/2006/relationships"><Relationship Id="rId1" Type="http://schemas.openxmlformats.org/officeDocument/2006/relationships/chart" Target="../charts/chart60.xml"/><Relationship Id="rId2" Type="http://schemas.openxmlformats.org/officeDocument/2006/relationships/chart" Target="../charts/chart61.xml"/><Relationship Id="rId3" Type="http://schemas.openxmlformats.org/officeDocument/2006/relationships/chart" Target="../charts/chart62.xml"/><Relationship Id="rId4" Type="http://schemas.openxmlformats.org/officeDocument/2006/relationships/chart" Target="../charts/chart63.xml"/>
</Relationships>
</file>

<file path=xl/drawings/_rels/drawing27.xml.rels><?xml version="1.0" encoding="UTF-8"?>
<Relationships xmlns="http://schemas.openxmlformats.org/package/2006/relationships"><Relationship Id="rId1" Type="http://schemas.openxmlformats.org/officeDocument/2006/relationships/chart" Target="../charts/chart64.xml"/><Relationship Id="rId2" Type="http://schemas.openxmlformats.org/officeDocument/2006/relationships/chart" Target="../charts/chart65.xml"/><Relationship Id="rId3" Type="http://schemas.openxmlformats.org/officeDocument/2006/relationships/chart" Target="../charts/chart66.xml"/><Relationship Id="rId4" Type="http://schemas.openxmlformats.org/officeDocument/2006/relationships/chart" Target="../charts/chart67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Relationship Id="rId3" Type="http://schemas.openxmlformats.org/officeDocument/2006/relationships/chart" Target="../charts/chart11.xml"/><Relationship Id="rId4" Type="http://schemas.openxmlformats.org/officeDocument/2006/relationships/chart" Target="../charts/chart1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438840</xdr:colOff>
      <xdr:row>4</xdr:row>
      <xdr:rowOff>37800</xdr:rowOff>
    </xdr:from>
    <xdr:to>
      <xdr:col>15</xdr:col>
      <xdr:colOff>10440</xdr:colOff>
      <xdr:row>21</xdr:row>
      <xdr:rowOff>162000</xdr:rowOff>
    </xdr:to>
    <xdr:graphicFrame>
      <xdr:nvGraphicFramePr>
        <xdr:cNvPr id="0" name="Chart 1"/>
        <xdr:cNvGraphicFramePr/>
      </xdr:nvGraphicFramePr>
      <xdr:xfrm>
        <a:off x="4906080" y="95220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23</xdr:row>
      <xdr:rowOff>37800</xdr:rowOff>
    </xdr:from>
    <xdr:to>
      <xdr:col>7</xdr:col>
      <xdr:colOff>270000</xdr:colOff>
      <xdr:row>41</xdr:row>
      <xdr:rowOff>9720</xdr:rowOff>
    </xdr:to>
    <xdr:graphicFrame>
      <xdr:nvGraphicFramePr>
        <xdr:cNvPr id="10" name="Chart 2"/>
        <xdr:cNvGraphicFramePr/>
      </xdr:nvGraphicFramePr>
      <xdr:xfrm>
        <a:off x="0" y="4028760"/>
        <a:ext cx="4737240" cy="288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</xdr:row>
      <xdr:rowOff>19080</xdr:rowOff>
    </xdr:from>
    <xdr:to>
      <xdr:col>7</xdr:col>
      <xdr:colOff>270000</xdr:colOff>
      <xdr:row>21</xdr:row>
      <xdr:rowOff>143280</xdr:rowOff>
    </xdr:to>
    <xdr:graphicFrame>
      <xdr:nvGraphicFramePr>
        <xdr:cNvPr id="11" name="Chart 4"/>
        <xdr:cNvGraphicFramePr/>
      </xdr:nvGraphicFramePr>
      <xdr:xfrm>
        <a:off x="0" y="933480"/>
        <a:ext cx="473724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22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23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468720</xdr:colOff>
      <xdr:row>23</xdr:row>
      <xdr:rowOff>47520</xdr:rowOff>
    </xdr:from>
    <xdr:to>
      <xdr:col>15</xdr:col>
      <xdr:colOff>100080</xdr:colOff>
      <xdr:row>41</xdr:row>
      <xdr:rowOff>19080</xdr:rowOff>
    </xdr:to>
    <xdr:graphicFrame>
      <xdr:nvGraphicFramePr>
        <xdr:cNvPr id="24" name="Chart 28"/>
        <xdr:cNvGraphicFramePr/>
      </xdr:nvGraphicFramePr>
      <xdr:xfrm>
        <a:off x="4935960" y="4038480"/>
        <a:ext cx="473688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13</xdr:col>
      <xdr:colOff>0</xdr:colOff>
      <xdr:row>16</xdr:row>
      <xdr:rowOff>133200</xdr:rowOff>
    </xdr:from>
    <xdr:to>
      <xdr:col>13</xdr:col>
      <xdr:colOff>329760</xdr:colOff>
      <xdr:row>18</xdr:row>
      <xdr:rowOff>77040</xdr:rowOff>
    </xdr:to>
    <xdr:sp>
      <xdr:nvSpPr>
        <xdr:cNvPr id="26" name="Text 29"/>
        <xdr:cNvSpPr/>
      </xdr:nvSpPr>
      <xdr:spPr>
        <a:xfrm>
          <a:off x="8296200" y="2990880"/>
          <a:ext cx="32976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800" strike="noStrike" u="none">
              <a:effectLst/>
              <a:uFillTx/>
              <a:latin typeface="Arial Narrow"/>
            </a:rPr>
            <a:t>Japan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142920</xdr:rowOff>
    </xdr:from>
    <xdr:to>
      <xdr:col>7</xdr:col>
      <xdr:colOff>209880</xdr:colOff>
      <xdr:row>22</xdr:row>
      <xdr:rowOff>105120</xdr:rowOff>
    </xdr:to>
    <xdr:graphicFrame>
      <xdr:nvGraphicFramePr>
        <xdr:cNvPr id="52" name="Chart 1"/>
        <xdr:cNvGraphicFramePr/>
      </xdr:nvGraphicFramePr>
      <xdr:xfrm>
        <a:off x="0" y="105732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56880</xdr:rowOff>
    </xdr:from>
    <xdr:to>
      <xdr:col>7</xdr:col>
      <xdr:colOff>270000</xdr:colOff>
      <xdr:row>42</xdr:row>
      <xdr:rowOff>28440</xdr:rowOff>
    </xdr:to>
    <xdr:graphicFrame>
      <xdr:nvGraphicFramePr>
        <xdr:cNvPr id="53" name="Chart 2"/>
        <xdr:cNvGraphicFramePr/>
      </xdr:nvGraphicFramePr>
      <xdr:xfrm>
        <a:off x="0" y="42098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379080</xdr:colOff>
      <xdr:row>24</xdr:row>
      <xdr:rowOff>56880</xdr:rowOff>
    </xdr:from>
    <xdr:to>
      <xdr:col>14</xdr:col>
      <xdr:colOff>588960</xdr:colOff>
      <xdr:row>42</xdr:row>
      <xdr:rowOff>19080</xdr:rowOff>
    </xdr:to>
    <xdr:graphicFrame>
      <xdr:nvGraphicFramePr>
        <xdr:cNvPr id="54" name="Chart 3"/>
        <xdr:cNvGraphicFramePr/>
      </xdr:nvGraphicFramePr>
      <xdr:xfrm>
        <a:off x="4846320" y="4209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329040</xdr:colOff>
      <xdr:row>4</xdr:row>
      <xdr:rowOff>133560</xdr:rowOff>
    </xdr:from>
    <xdr:to>
      <xdr:col>14</xdr:col>
      <xdr:colOff>599040</xdr:colOff>
      <xdr:row>22</xdr:row>
      <xdr:rowOff>95760</xdr:rowOff>
    </xdr:to>
    <xdr:graphicFrame>
      <xdr:nvGraphicFramePr>
        <xdr:cNvPr id="56" name="Chart 4"/>
        <xdr:cNvGraphicFramePr/>
      </xdr:nvGraphicFramePr>
      <xdr:xfrm>
        <a:off x="4796280" y="1047960"/>
        <a:ext cx="473724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57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58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1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0.16547371661664</cdr:x>
      <cdr:y>0.0797047047047047</cdr:y>
    </cdr:from>
    <cdr:to>
      <cdr:x>0.187254675594551</cdr:x>
      <cdr:y>0.148023023023023</cdr:y>
    </cdr:to>
    <cdr:sp>
      <cdr:nvSpPr>
        <cdr:cNvPr id="55" name="Text 4"/>
        <cdr:cNvSpPr/>
      </cdr:nvSpPr>
      <cdr:spPr>
        <a:xfrm>
          <a:off x="774000" y="229320"/>
          <a:ext cx="101880" cy="196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95400</xdr:rowOff>
    </xdr:from>
    <xdr:to>
      <xdr:col>7</xdr:col>
      <xdr:colOff>209880</xdr:colOff>
      <xdr:row>22</xdr:row>
      <xdr:rowOff>56880</xdr:rowOff>
    </xdr:to>
    <xdr:graphicFrame>
      <xdr:nvGraphicFramePr>
        <xdr:cNvPr id="59" name="Chart 1"/>
        <xdr:cNvGraphicFramePr/>
      </xdr:nvGraphicFramePr>
      <xdr:xfrm>
        <a:off x="0" y="1009800"/>
        <a:ext cx="467712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398880</xdr:colOff>
      <xdr:row>24</xdr:row>
      <xdr:rowOff>37800</xdr:rowOff>
    </xdr:from>
    <xdr:to>
      <xdr:col>14</xdr:col>
      <xdr:colOff>608760</xdr:colOff>
      <xdr:row>42</xdr:row>
      <xdr:rowOff>86040</xdr:rowOff>
    </xdr:to>
    <xdr:graphicFrame>
      <xdr:nvGraphicFramePr>
        <xdr:cNvPr id="60" name="Chart 3"/>
        <xdr:cNvGraphicFramePr/>
      </xdr:nvGraphicFramePr>
      <xdr:xfrm>
        <a:off x="4866120" y="4190760"/>
        <a:ext cx="4677120" cy="2962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75960</xdr:rowOff>
    </xdr:from>
    <xdr:to>
      <xdr:col>14</xdr:col>
      <xdr:colOff>608760</xdr:colOff>
      <xdr:row>22</xdr:row>
      <xdr:rowOff>38160</xdr:rowOff>
    </xdr:to>
    <xdr:graphicFrame>
      <xdr:nvGraphicFramePr>
        <xdr:cNvPr id="61" name="Chart 4"/>
        <xdr:cNvGraphicFramePr/>
      </xdr:nvGraphicFramePr>
      <xdr:xfrm>
        <a:off x="4806360" y="9903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62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63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578520</xdr:colOff>
      <xdr:row>16</xdr:row>
      <xdr:rowOff>132840</xdr:rowOff>
    </xdr:from>
    <xdr:to>
      <xdr:col>3</xdr:col>
      <xdr:colOff>60480</xdr:colOff>
      <xdr:row>17</xdr:row>
      <xdr:rowOff>56520</xdr:rowOff>
    </xdr:to>
    <xdr:sp>
      <xdr:nvSpPr>
        <xdr:cNvPr id="64" name="Line 8"/>
        <xdr:cNvSpPr/>
      </xdr:nvSpPr>
      <xdr:spPr>
        <a:xfrm flipH="1" flipV="1">
          <a:off x="1854720" y="2990520"/>
          <a:ext cx="120240" cy="853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24</xdr:row>
      <xdr:rowOff>47520</xdr:rowOff>
    </xdr:from>
    <xdr:to>
      <xdr:col>7</xdr:col>
      <xdr:colOff>200160</xdr:colOff>
      <xdr:row>42</xdr:row>
      <xdr:rowOff>86040</xdr:rowOff>
    </xdr:to>
    <xdr:graphicFrame>
      <xdr:nvGraphicFramePr>
        <xdr:cNvPr id="65" name="Chart 9"/>
        <xdr:cNvGraphicFramePr/>
      </xdr:nvGraphicFramePr>
      <xdr:xfrm>
        <a:off x="10080" y="4200480"/>
        <a:ext cx="4657320" cy="2953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86040</xdr:rowOff>
    </xdr:from>
    <xdr:to>
      <xdr:col>7</xdr:col>
      <xdr:colOff>209880</xdr:colOff>
      <xdr:row>22</xdr:row>
      <xdr:rowOff>47520</xdr:rowOff>
    </xdr:to>
    <xdr:graphicFrame>
      <xdr:nvGraphicFramePr>
        <xdr:cNvPr id="66" name="Chart 1"/>
        <xdr:cNvGraphicFramePr/>
      </xdr:nvGraphicFramePr>
      <xdr:xfrm>
        <a:off x="0" y="1000440"/>
        <a:ext cx="467712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19080</xdr:rowOff>
    </xdr:from>
    <xdr:to>
      <xdr:col>7</xdr:col>
      <xdr:colOff>270000</xdr:colOff>
      <xdr:row>41</xdr:row>
      <xdr:rowOff>152640</xdr:rowOff>
    </xdr:to>
    <xdr:graphicFrame>
      <xdr:nvGraphicFramePr>
        <xdr:cNvPr id="67" name="Chart 2"/>
        <xdr:cNvGraphicFramePr/>
      </xdr:nvGraphicFramePr>
      <xdr:xfrm>
        <a:off x="0" y="41720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398880</xdr:colOff>
      <xdr:row>24</xdr:row>
      <xdr:rowOff>37800</xdr:rowOff>
    </xdr:from>
    <xdr:to>
      <xdr:col>14</xdr:col>
      <xdr:colOff>608760</xdr:colOff>
      <xdr:row>41</xdr:row>
      <xdr:rowOff>162000</xdr:rowOff>
    </xdr:to>
    <xdr:graphicFrame>
      <xdr:nvGraphicFramePr>
        <xdr:cNvPr id="69" name="Chart 3"/>
        <xdr:cNvGraphicFramePr/>
      </xdr:nvGraphicFramePr>
      <xdr:xfrm>
        <a:off x="4866120" y="41907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379080</xdr:colOff>
      <xdr:row>4</xdr:row>
      <xdr:rowOff>75960</xdr:rowOff>
    </xdr:from>
    <xdr:to>
      <xdr:col>14</xdr:col>
      <xdr:colOff>588960</xdr:colOff>
      <xdr:row>22</xdr:row>
      <xdr:rowOff>38160</xdr:rowOff>
    </xdr:to>
    <xdr:graphicFrame>
      <xdr:nvGraphicFramePr>
        <xdr:cNvPr id="70" name="Chart 4"/>
        <xdr:cNvGraphicFramePr/>
      </xdr:nvGraphicFramePr>
      <xdr:xfrm>
        <a:off x="4846320" y="9903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71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72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0.867477203647416</cdr:x>
      <cdr:y>0.521701172362185</cdr:y>
    </cdr:from>
    <cdr:to>
      <cdr:x>0.898024316109423</cdr:x>
      <cdr:y>0.532551758543278</cdr:y>
    </cdr:to>
    <cdr:sp>
      <cdr:nvSpPr>
        <cdr:cNvPr id="68" name="Line 1"/>
        <cdr:cNvSpPr/>
      </cdr:nvSpPr>
      <cdr:spPr>
        <a:xfrm flipH="1">
          <a:off x="4109760" y="1505880"/>
          <a:ext cx="144720" cy="313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95400</xdr:rowOff>
    </xdr:from>
    <xdr:to>
      <xdr:col>7</xdr:col>
      <xdr:colOff>209880</xdr:colOff>
      <xdr:row>22</xdr:row>
      <xdr:rowOff>56880</xdr:rowOff>
    </xdr:to>
    <xdr:graphicFrame>
      <xdr:nvGraphicFramePr>
        <xdr:cNvPr id="73" name="Chart 1"/>
        <xdr:cNvGraphicFramePr/>
      </xdr:nvGraphicFramePr>
      <xdr:xfrm>
        <a:off x="0" y="1009800"/>
        <a:ext cx="467712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19080</xdr:rowOff>
    </xdr:from>
    <xdr:to>
      <xdr:col>7</xdr:col>
      <xdr:colOff>270000</xdr:colOff>
      <xdr:row>41</xdr:row>
      <xdr:rowOff>152640</xdr:rowOff>
    </xdr:to>
    <xdr:graphicFrame>
      <xdr:nvGraphicFramePr>
        <xdr:cNvPr id="74" name="Chart 2"/>
        <xdr:cNvGraphicFramePr/>
      </xdr:nvGraphicFramePr>
      <xdr:xfrm>
        <a:off x="0" y="41720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398880</xdr:colOff>
      <xdr:row>24</xdr:row>
      <xdr:rowOff>37800</xdr:rowOff>
    </xdr:from>
    <xdr:to>
      <xdr:col>14</xdr:col>
      <xdr:colOff>608760</xdr:colOff>
      <xdr:row>41</xdr:row>
      <xdr:rowOff>162000</xdr:rowOff>
    </xdr:to>
    <xdr:graphicFrame>
      <xdr:nvGraphicFramePr>
        <xdr:cNvPr id="75" name="Chart 3"/>
        <xdr:cNvGraphicFramePr/>
      </xdr:nvGraphicFramePr>
      <xdr:xfrm>
        <a:off x="4866120" y="41907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75960</xdr:rowOff>
    </xdr:from>
    <xdr:to>
      <xdr:col>14</xdr:col>
      <xdr:colOff>608760</xdr:colOff>
      <xdr:row>22</xdr:row>
      <xdr:rowOff>38160</xdr:rowOff>
    </xdr:to>
    <xdr:graphicFrame>
      <xdr:nvGraphicFramePr>
        <xdr:cNvPr id="76" name="Chart 4"/>
        <xdr:cNvGraphicFramePr/>
      </xdr:nvGraphicFramePr>
      <xdr:xfrm>
        <a:off x="4806360" y="9903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77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78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56880</xdr:rowOff>
    </xdr:from>
    <xdr:to>
      <xdr:col>7</xdr:col>
      <xdr:colOff>209880</xdr:colOff>
      <xdr:row>21</xdr:row>
      <xdr:rowOff>162000</xdr:rowOff>
    </xdr:to>
    <xdr:graphicFrame>
      <xdr:nvGraphicFramePr>
        <xdr:cNvPr id="79" name="Chart 1"/>
        <xdr:cNvGraphicFramePr/>
      </xdr:nvGraphicFramePr>
      <xdr:xfrm>
        <a:off x="0" y="971280"/>
        <a:ext cx="4677120" cy="2857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438840</xdr:colOff>
      <xdr:row>24</xdr:row>
      <xdr:rowOff>19080</xdr:rowOff>
    </xdr:from>
    <xdr:to>
      <xdr:col>15</xdr:col>
      <xdr:colOff>10440</xdr:colOff>
      <xdr:row>42</xdr:row>
      <xdr:rowOff>66600</xdr:rowOff>
    </xdr:to>
    <xdr:graphicFrame>
      <xdr:nvGraphicFramePr>
        <xdr:cNvPr id="80" name="Chart 3"/>
        <xdr:cNvGraphicFramePr/>
      </xdr:nvGraphicFramePr>
      <xdr:xfrm>
        <a:off x="4906080" y="4172040"/>
        <a:ext cx="4677120" cy="2962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379080</xdr:colOff>
      <xdr:row>4</xdr:row>
      <xdr:rowOff>9360</xdr:rowOff>
    </xdr:from>
    <xdr:to>
      <xdr:col>15</xdr:col>
      <xdr:colOff>10440</xdr:colOff>
      <xdr:row>21</xdr:row>
      <xdr:rowOff>133560</xdr:rowOff>
    </xdr:to>
    <xdr:graphicFrame>
      <xdr:nvGraphicFramePr>
        <xdr:cNvPr id="81" name="Chart 4"/>
        <xdr:cNvGraphicFramePr/>
      </xdr:nvGraphicFramePr>
      <xdr:xfrm>
        <a:off x="4846320" y="9237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85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86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24</xdr:row>
      <xdr:rowOff>19080</xdr:rowOff>
    </xdr:from>
    <xdr:to>
      <xdr:col>7</xdr:col>
      <xdr:colOff>200160</xdr:colOff>
      <xdr:row>42</xdr:row>
      <xdr:rowOff>66600</xdr:rowOff>
    </xdr:to>
    <xdr:graphicFrame>
      <xdr:nvGraphicFramePr>
        <xdr:cNvPr id="87" name="Chart 7"/>
        <xdr:cNvGraphicFramePr/>
      </xdr:nvGraphicFramePr>
      <xdr:xfrm>
        <a:off x="0" y="4172040"/>
        <a:ext cx="4667400" cy="2962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0.345390987157079</cdr:x>
      <cdr:y>0.526026026026026</cdr:y>
    </cdr:from>
    <cdr:to>
      <cdr:x>0.392886997492211</cdr:x>
      <cdr:y>0.582457457457458</cdr:y>
    </cdr:to>
    <cdr:sp>
      <cdr:nvSpPr>
        <cdr:cNvPr id="82" name="Line 2"/>
        <cdr:cNvSpPr/>
      </cdr:nvSpPr>
      <cdr:spPr>
        <a:xfrm flipV="1">
          <a:off x="1667520" y="1482120"/>
          <a:ext cx="162360" cy="2250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0.878790181624744</cdr:x>
      <cdr:y>0.362112112112112</cdr:y>
    </cdr:from>
    <cdr:to>
      <cdr:x>0.927426096207919</cdr:x>
      <cdr:y>0.423673673673674</cdr:y>
    </cdr:to>
    <cdr:sp>
      <cdr:nvSpPr>
        <cdr:cNvPr id="83" name="Line 3"/>
        <cdr:cNvSpPr/>
      </cdr:nvSpPr>
      <cdr:spPr>
        <a:xfrm flipH="1" flipV="1">
          <a:off x="4163040" y="1041840"/>
          <a:ext cx="230400" cy="1771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0.493122577703473</cdr:x>
      <cdr:y>0.502252252252252</cdr:y>
    </cdr:from>
    <cdr:to>
      <cdr:x>0.540618588038605</cdr:x>
      <cdr:y>0.558683683683684</cdr:y>
    </cdr:to>
    <cdr:sp>
      <cdr:nvSpPr>
        <cdr:cNvPr id="84" name="Line 4"/>
        <cdr:cNvSpPr/>
      </cdr:nvSpPr>
      <cdr:spPr>
        <a:xfrm flipV="1">
          <a:off x="2367360" y="1413720"/>
          <a:ext cx="162360" cy="2250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398880</xdr:colOff>
      <xdr:row>4</xdr:row>
      <xdr:rowOff>0</xdr:rowOff>
    </xdr:from>
    <xdr:to>
      <xdr:col>15</xdr:col>
      <xdr:colOff>30240</xdr:colOff>
      <xdr:row>21</xdr:row>
      <xdr:rowOff>133560</xdr:rowOff>
    </xdr:to>
    <xdr:graphicFrame>
      <xdr:nvGraphicFramePr>
        <xdr:cNvPr id="88" name="Chart 2"/>
        <xdr:cNvGraphicFramePr/>
      </xdr:nvGraphicFramePr>
      <xdr:xfrm>
        <a:off x="4866120" y="914400"/>
        <a:ext cx="473688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19800</xdr:colOff>
      <xdr:row>23</xdr:row>
      <xdr:rowOff>152280</xdr:rowOff>
    </xdr:from>
    <xdr:to>
      <xdr:col>7</xdr:col>
      <xdr:colOff>230040</xdr:colOff>
      <xdr:row>41</xdr:row>
      <xdr:rowOff>114480</xdr:rowOff>
    </xdr:to>
    <xdr:graphicFrame>
      <xdr:nvGraphicFramePr>
        <xdr:cNvPr id="89" name="Chart 3"/>
        <xdr:cNvGraphicFramePr/>
      </xdr:nvGraphicFramePr>
      <xdr:xfrm>
        <a:off x="19800" y="414324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</xdr:row>
      <xdr:rowOff>152640</xdr:rowOff>
    </xdr:from>
    <xdr:to>
      <xdr:col>7</xdr:col>
      <xdr:colOff>299880</xdr:colOff>
      <xdr:row>21</xdr:row>
      <xdr:rowOff>143280</xdr:rowOff>
    </xdr:to>
    <xdr:graphicFrame>
      <xdr:nvGraphicFramePr>
        <xdr:cNvPr id="90" name="Chart 4"/>
        <xdr:cNvGraphicFramePr/>
      </xdr:nvGraphicFramePr>
      <xdr:xfrm>
        <a:off x="29880" y="905040"/>
        <a:ext cx="4737240" cy="290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91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92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4</xdr:row>
      <xdr:rowOff>75960</xdr:rowOff>
    </xdr:from>
    <xdr:to>
      <xdr:col>7</xdr:col>
      <xdr:colOff>219960</xdr:colOff>
      <xdr:row>22</xdr:row>
      <xdr:rowOff>38160</xdr:rowOff>
    </xdr:to>
    <xdr:graphicFrame>
      <xdr:nvGraphicFramePr>
        <xdr:cNvPr id="93" name="Chart 1"/>
        <xdr:cNvGraphicFramePr/>
      </xdr:nvGraphicFramePr>
      <xdr:xfrm>
        <a:off x="10080" y="9903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398880</xdr:colOff>
      <xdr:row>24</xdr:row>
      <xdr:rowOff>19080</xdr:rowOff>
    </xdr:from>
    <xdr:to>
      <xdr:col>14</xdr:col>
      <xdr:colOff>608760</xdr:colOff>
      <xdr:row>42</xdr:row>
      <xdr:rowOff>86040</xdr:rowOff>
    </xdr:to>
    <xdr:graphicFrame>
      <xdr:nvGraphicFramePr>
        <xdr:cNvPr id="96" name="Chart 3"/>
        <xdr:cNvGraphicFramePr/>
      </xdr:nvGraphicFramePr>
      <xdr:xfrm>
        <a:off x="4866120" y="4172040"/>
        <a:ext cx="4677120" cy="2981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47520</xdr:rowOff>
    </xdr:from>
    <xdr:to>
      <xdr:col>14</xdr:col>
      <xdr:colOff>608760</xdr:colOff>
      <xdr:row>22</xdr:row>
      <xdr:rowOff>9720</xdr:rowOff>
    </xdr:to>
    <xdr:graphicFrame>
      <xdr:nvGraphicFramePr>
        <xdr:cNvPr id="97" name="Chart 4"/>
        <xdr:cNvGraphicFramePr/>
      </xdr:nvGraphicFramePr>
      <xdr:xfrm>
        <a:off x="4806360" y="96192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98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99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24</xdr:row>
      <xdr:rowOff>28440</xdr:rowOff>
    </xdr:from>
    <xdr:to>
      <xdr:col>7</xdr:col>
      <xdr:colOff>209880</xdr:colOff>
      <xdr:row>42</xdr:row>
      <xdr:rowOff>86040</xdr:rowOff>
    </xdr:to>
    <xdr:graphicFrame>
      <xdr:nvGraphicFramePr>
        <xdr:cNvPr id="100" name="Chart 7"/>
        <xdr:cNvGraphicFramePr/>
      </xdr:nvGraphicFramePr>
      <xdr:xfrm>
        <a:off x="0" y="4181400"/>
        <a:ext cx="4677120" cy="2972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0.115523743554222</cdr:x>
      <cdr:y>0.72022022022022</cdr:y>
    </cdr:from>
    <cdr:to>
      <cdr:x>0.211267605633803</cdr:x>
      <cdr:y>0.853728728728729</cdr:y>
    </cdr:to>
    <cdr:sp>
      <cdr:nvSpPr>
        <cdr:cNvPr id="1" name="Text 28"/>
        <cdr:cNvSpPr/>
      </cdr:nvSpPr>
      <cdr:spPr>
        <a:xfrm>
          <a:off x="540360" y="2072160"/>
          <a:ext cx="44784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Crude &amp;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Products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0.210267066882167</cdr:x>
      <cdr:y>0.72022022022022</cdr:y>
    </cdr:from>
    <cdr:to>
      <cdr:x>0.323250981297622</cdr:x>
      <cdr:y>0.846471471471472</cdr:y>
    </cdr:to>
    <cdr:sp>
      <cdr:nvSpPr>
        <cdr:cNvPr id="2" name="Text 29"/>
        <cdr:cNvSpPr/>
      </cdr:nvSpPr>
      <cdr:spPr>
        <a:xfrm>
          <a:off x="983520" y="2072160"/>
          <a:ext cx="528480" cy="363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Coal/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Vessel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0.301239128761641</cdr:x>
      <cdr:y>0.723473473473474</cdr:y>
    </cdr:from>
    <cdr:to>
      <cdr:x>0.39051797121527</cdr:x>
      <cdr:y>0.817192192192192</cdr:y>
    </cdr:to>
    <cdr:sp>
      <cdr:nvSpPr>
        <cdr:cNvPr id="3" name="Text 30"/>
        <cdr:cNvSpPr/>
      </cdr:nvSpPr>
      <cdr:spPr>
        <a:xfrm>
          <a:off x="1409040" y="2081520"/>
          <a:ext cx="41760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Weather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0.378511506195644</cdr:x>
      <cdr:y>0.71021021021021</cdr:y>
    </cdr:from>
    <cdr:to>
      <cdr:x>0.487262372046487</cdr:x>
      <cdr:y>0.803928928928929</cdr:y>
    </cdr:to>
    <cdr:sp>
      <cdr:nvSpPr>
        <cdr:cNvPr id="4" name="Text 31"/>
        <cdr:cNvSpPr/>
      </cdr:nvSpPr>
      <cdr:spPr>
        <a:xfrm>
          <a:off x="1770480" y="2043360"/>
          <a:ext cx="50868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Insurance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Risk Mkts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0.47302393596552</cdr:x>
      <cdr:y>0.713463463463464</cdr:y>
    </cdr:from>
    <cdr:to>
      <cdr:x>0.588239821442315</cdr:x>
      <cdr:y>0.839714714714715</cdr:y>
    </cdr:to>
    <cdr:sp>
      <cdr:nvSpPr>
        <cdr:cNvPr id="5" name="Text 32"/>
        <cdr:cNvSpPr/>
      </cdr:nvSpPr>
      <cdr:spPr>
        <a:xfrm>
          <a:off x="2212560" y="2052720"/>
          <a:ext cx="538920" cy="363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Financial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Trading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0.574771030554914</cdr:x>
      <cdr:y>0.72022022022022</cdr:y>
    </cdr:from>
    <cdr:to>
      <cdr:x>0.650735011159855</cdr:x>
      <cdr:y>0.795295295295295</cdr:y>
    </cdr:to>
    <cdr:sp>
      <cdr:nvSpPr>
        <cdr:cNvPr id="6" name="Text 33"/>
        <cdr:cNvSpPr/>
      </cdr:nvSpPr>
      <cdr:spPr>
        <a:xfrm>
          <a:off x="2688480" y="2072160"/>
          <a:ext cx="355320" cy="2160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Freight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0.662972369737551</cdr:x>
      <cdr:y>0.72022022022022</cdr:y>
    </cdr:from>
    <cdr:to>
      <cdr:x>0.721773262525976</cdr:x>
      <cdr:y>0.813938938938939</cdr:y>
    </cdr:to>
    <cdr:sp>
      <cdr:nvSpPr>
        <cdr:cNvPr id="7" name="Text 34"/>
        <cdr:cNvSpPr/>
      </cdr:nvSpPr>
      <cdr:spPr>
        <a:xfrm>
          <a:off x="3101040" y="2072160"/>
          <a:ext cx="27504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LNG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0.820749634418533</cdr:x>
      <cdr:y>0.720720720720721</cdr:y>
    </cdr:from>
    <cdr:to>
      <cdr:x>0.892480566458862</cdr:x>
      <cdr:y>0.814439439439439</cdr:y>
    </cdr:to>
    <cdr:sp>
      <cdr:nvSpPr>
        <cdr:cNvPr id="8" name="Text 35"/>
        <cdr:cNvSpPr/>
      </cdr:nvSpPr>
      <cdr:spPr>
        <a:xfrm>
          <a:off x="3839040" y="2073600"/>
          <a:ext cx="33552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Drift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/Other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0.924266912953129</cdr:x>
      <cdr:y>0.740490490490491</cdr:y>
    </cdr:from>
    <cdr:to>
      <cdr:x>0.984991918725468</cdr:x>
      <cdr:y>0.794419419419419</cdr:y>
    </cdr:to>
    <cdr:sp>
      <cdr:nvSpPr>
        <cdr:cNvPr id="9" name="Text 36"/>
        <cdr:cNvSpPr/>
      </cdr:nvSpPr>
      <cdr:spPr>
        <a:xfrm>
          <a:off x="4323240" y="2130480"/>
          <a:ext cx="284040" cy="15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Total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20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0.867467097667975</cdr:x>
      <cdr:y>0.652027027027027</cdr:y>
    </cdr:from>
    <cdr:to>
      <cdr:x>0.907026860617256</cdr:x>
      <cdr:y>0.68531031031031</cdr:y>
    </cdr:to>
    <cdr:sp>
      <cdr:nvSpPr>
        <cdr:cNvPr id="94" name="Line 1"/>
        <cdr:cNvSpPr/>
      </cdr:nvSpPr>
      <cdr:spPr>
        <a:xfrm flipH="1">
          <a:off x="4057560" y="1875960"/>
          <a:ext cx="185040" cy="9576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0.364350034634034</cdr:x>
      <cdr:y>0.709209209209209</cdr:y>
    </cdr:from>
    <cdr:to>
      <cdr:x>0.39590548757023</cdr:x>
      <cdr:y>0.758758758758759</cdr:y>
    </cdr:to>
    <cdr:sp>
      <cdr:nvSpPr>
        <cdr:cNvPr id="95" name="Line 2"/>
        <cdr:cNvSpPr/>
      </cdr:nvSpPr>
      <cdr:spPr>
        <a:xfrm flipH="1" flipV="1">
          <a:off x="1704240" y="2040480"/>
          <a:ext cx="147600" cy="14256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123840</xdr:rowOff>
    </xdr:from>
    <xdr:to>
      <xdr:col>7</xdr:col>
      <xdr:colOff>209880</xdr:colOff>
      <xdr:row>22</xdr:row>
      <xdr:rowOff>86040</xdr:rowOff>
    </xdr:to>
    <xdr:graphicFrame>
      <xdr:nvGraphicFramePr>
        <xdr:cNvPr id="101" name="Chart 1"/>
        <xdr:cNvGraphicFramePr/>
      </xdr:nvGraphicFramePr>
      <xdr:xfrm>
        <a:off x="0" y="10382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42</xdr:row>
      <xdr:rowOff>86040</xdr:rowOff>
    </xdr:to>
    <xdr:graphicFrame>
      <xdr:nvGraphicFramePr>
        <xdr:cNvPr id="102" name="Chart 3"/>
        <xdr:cNvGraphicFramePr/>
      </xdr:nvGraphicFramePr>
      <xdr:xfrm>
        <a:off x="4885920" y="4190760"/>
        <a:ext cx="4677480" cy="2962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348840</xdr:colOff>
      <xdr:row>4</xdr:row>
      <xdr:rowOff>105120</xdr:rowOff>
    </xdr:from>
    <xdr:to>
      <xdr:col>14</xdr:col>
      <xdr:colOff>618840</xdr:colOff>
      <xdr:row>22</xdr:row>
      <xdr:rowOff>66600</xdr:rowOff>
    </xdr:to>
    <xdr:graphicFrame>
      <xdr:nvGraphicFramePr>
        <xdr:cNvPr id="103" name="Chart 4"/>
        <xdr:cNvGraphicFramePr/>
      </xdr:nvGraphicFramePr>
      <xdr:xfrm>
        <a:off x="4816080" y="1019520"/>
        <a:ext cx="473724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04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05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24</xdr:row>
      <xdr:rowOff>28440</xdr:rowOff>
    </xdr:from>
    <xdr:to>
      <xdr:col>7</xdr:col>
      <xdr:colOff>219960</xdr:colOff>
      <xdr:row>42</xdr:row>
      <xdr:rowOff>95400</xdr:rowOff>
    </xdr:to>
    <xdr:graphicFrame>
      <xdr:nvGraphicFramePr>
        <xdr:cNvPr id="106" name="Chart 8"/>
        <xdr:cNvGraphicFramePr/>
      </xdr:nvGraphicFramePr>
      <xdr:xfrm>
        <a:off x="0" y="4181400"/>
        <a:ext cx="4687200" cy="2981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28440</xdr:rowOff>
    </xdr:from>
    <xdr:to>
      <xdr:col>7</xdr:col>
      <xdr:colOff>209880</xdr:colOff>
      <xdr:row>21</xdr:row>
      <xdr:rowOff>152640</xdr:rowOff>
    </xdr:to>
    <xdr:graphicFrame>
      <xdr:nvGraphicFramePr>
        <xdr:cNvPr id="107" name="Chart 1"/>
        <xdr:cNvGraphicFramePr/>
      </xdr:nvGraphicFramePr>
      <xdr:xfrm>
        <a:off x="0" y="942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08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09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379080</xdr:colOff>
      <xdr:row>4</xdr:row>
      <xdr:rowOff>28440</xdr:rowOff>
    </xdr:from>
    <xdr:to>
      <xdr:col>15</xdr:col>
      <xdr:colOff>10440</xdr:colOff>
      <xdr:row>21</xdr:row>
      <xdr:rowOff>152640</xdr:rowOff>
    </xdr:to>
    <xdr:graphicFrame>
      <xdr:nvGraphicFramePr>
        <xdr:cNvPr id="110" name="Chart 4"/>
        <xdr:cNvGraphicFramePr/>
      </xdr:nvGraphicFramePr>
      <xdr:xfrm>
        <a:off x="4846320" y="94284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11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12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28440</xdr:rowOff>
    </xdr:from>
    <xdr:to>
      <xdr:col>7</xdr:col>
      <xdr:colOff>209880</xdr:colOff>
      <xdr:row>21</xdr:row>
      <xdr:rowOff>152640</xdr:rowOff>
    </xdr:to>
    <xdr:graphicFrame>
      <xdr:nvGraphicFramePr>
        <xdr:cNvPr id="113" name="Chart 1"/>
        <xdr:cNvGraphicFramePr/>
      </xdr:nvGraphicFramePr>
      <xdr:xfrm>
        <a:off x="0" y="942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42</xdr:row>
      <xdr:rowOff>114480</xdr:rowOff>
    </xdr:to>
    <xdr:graphicFrame>
      <xdr:nvGraphicFramePr>
        <xdr:cNvPr id="114" name="Chart 3"/>
        <xdr:cNvGraphicFramePr/>
      </xdr:nvGraphicFramePr>
      <xdr:xfrm>
        <a:off x="4885920" y="4190760"/>
        <a:ext cx="4677480" cy="2991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9360</xdr:rowOff>
    </xdr:from>
    <xdr:to>
      <xdr:col>14</xdr:col>
      <xdr:colOff>608760</xdr:colOff>
      <xdr:row>21</xdr:row>
      <xdr:rowOff>133560</xdr:rowOff>
    </xdr:to>
    <xdr:graphicFrame>
      <xdr:nvGraphicFramePr>
        <xdr:cNvPr id="115" name="Chart 4"/>
        <xdr:cNvGraphicFramePr/>
      </xdr:nvGraphicFramePr>
      <xdr:xfrm>
        <a:off x="4806360" y="9237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16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17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24</xdr:row>
      <xdr:rowOff>28440</xdr:rowOff>
    </xdr:from>
    <xdr:to>
      <xdr:col>7</xdr:col>
      <xdr:colOff>230040</xdr:colOff>
      <xdr:row>42</xdr:row>
      <xdr:rowOff>105120</xdr:rowOff>
    </xdr:to>
    <xdr:graphicFrame>
      <xdr:nvGraphicFramePr>
        <xdr:cNvPr id="118" name="Chart 10"/>
        <xdr:cNvGraphicFramePr/>
      </xdr:nvGraphicFramePr>
      <xdr:xfrm>
        <a:off x="0" y="4181400"/>
        <a:ext cx="4697280" cy="2991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28440</xdr:rowOff>
    </xdr:from>
    <xdr:to>
      <xdr:col>7</xdr:col>
      <xdr:colOff>209880</xdr:colOff>
      <xdr:row>21</xdr:row>
      <xdr:rowOff>152640</xdr:rowOff>
    </xdr:to>
    <xdr:graphicFrame>
      <xdr:nvGraphicFramePr>
        <xdr:cNvPr id="119" name="Chart 1"/>
        <xdr:cNvGraphicFramePr/>
      </xdr:nvGraphicFramePr>
      <xdr:xfrm>
        <a:off x="0" y="942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20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21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9360</xdr:rowOff>
    </xdr:from>
    <xdr:to>
      <xdr:col>14</xdr:col>
      <xdr:colOff>608760</xdr:colOff>
      <xdr:row>21</xdr:row>
      <xdr:rowOff>133560</xdr:rowOff>
    </xdr:to>
    <xdr:graphicFrame>
      <xdr:nvGraphicFramePr>
        <xdr:cNvPr id="122" name="Chart 4"/>
        <xdr:cNvGraphicFramePr/>
      </xdr:nvGraphicFramePr>
      <xdr:xfrm>
        <a:off x="4806360" y="9237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23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24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379080</xdr:colOff>
      <xdr:row>4</xdr:row>
      <xdr:rowOff>28440</xdr:rowOff>
    </xdr:from>
    <xdr:to>
      <xdr:col>15</xdr:col>
      <xdr:colOff>10440</xdr:colOff>
      <xdr:row>21</xdr:row>
      <xdr:rowOff>152640</xdr:rowOff>
    </xdr:to>
    <xdr:graphicFrame>
      <xdr:nvGraphicFramePr>
        <xdr:cNvPr id="125" name="Chart 4"/>
        <xdr:cNvGraphicFramePr/>
      </xdr:nvGraphicFramePr>
      <xdr:xfrm>
        <a:off x="4846320" y="94284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</xdr:row>
      <xdr:rowOff>37800</xdr:rowOff>
    </xdr:from>
    <xdr:to>
      <xdr:col>7</xdr:col>
      <xdr:colOff>209880</xdr:colOff>
      <xdr:row>21</xdr:row>
      <xdr:rowOff>162000</xdr:rowOff>
    </xdr:to>
    <xdr:graphicFrame>
      <xdr:nvGraphicFramePr>
        <xdr:cNvPr id="126" name="Chart 1"/>
        <xdr:cNvGraphicFramePr/>
      </xdr:nvGraphicFramePr>
      <xdr:xfrm>
        <a:off x="0" y="95220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42</xdr:row>
      <xdr:rowOff>114480</xdr:rowOff>
    </xdr:to>
    <xdr:graphicFrame>
      <xdr:nvGraphicFramePr>
        <xdr:cNvPr id="127" name="Chart 3"/>
        <xdr:cNvGraphicFramePr/>
      </xdr:nvGraphicFramePr>
      <xdr:xfrm>
        <a:off x="4885920" y="4190760"/>
        <a:ext cx="4677480" cy="2991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28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29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378720</xdr:colOff>
      <xdr:row>14</xdr:row>
      <xdr:rowOff>95040</xdr:rowOff>
    </xdr:from>
    <xdr:to>
      <xdr:col>12</xdr:col>
      <xdr:colOff>379440</xdr:colOff>
      <xdr:row>15</xdr:row>
      <xdr:rowOff>9000</xdr:rowOff>
    </xdr:to>
    <xdr:sp>
      <xdr:nvSpPr>
        <xdr:cNvPr id="130" name="Line 9"/>
        <xdr:cNvSpPr/>
      </xdr:nvSpPr>
      <xdr:spPr>
        <a:xfrm flipV="1">
          <a:off x="8037000" y="2628720"/>
          <a:ext cx="720" cy="7596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239760</xdr:colOff>
      <xdr:row>42</xdr:row>
      <xdr:rowOff>123840</xdr:rowOff>
    </xdr:to>
    <xdr:graphicFrame>
      <xdr:nvGraphicFramePr>
        <xdr:cNvPr id="131" name="Chart 11"/>
        <xdr:cNvGraphicFramePr/>
      </xdr:nvGraphicFramePr>
      <xdr:xfrm>
        <a:off x="0" y="4190760"/>
        <a:ext cx="4707000" cy="3000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28440</xdr:rowOff>
    </xdr:from>
    <xdr:to>
      <xdr:col>7</xdr:col>
      <xdr:colOff>209880</xdr:colOff>
      <xdr:row>21</xdr:row>
      <xdr:rowOff>152640</xdr:rowOff>
    </xdr:to>
    <xdr:graphicFrame>
      <xdr:nvGraphicFramePr>
        <xdr:cNvPr id="132" name="Chart 1"/>
        <xdr:cNvGraphicFramePr/>
      </xdr:nvGraphicFramePr>
      <xdr:xfrm>
        <a:off x="0" y="942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42</xdr:row>
      <xdr:rowOff>133560</xdr:rowOff>
    </xdr:to>
    <xdr:graphicFrame>
      <xdr:nvGraphicFramePr>
        <xdr:cNvPr id="133" name="Chart 3"/>
        <xdr:cNvGraphicFramePr/>
      </xdr:nvGraphicFramePr>
      <xdr:xfrm>
        <a:off x="4885920" y="4190760"/>
        <a:ext cx="4677480" cy="3010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379080</xdr:colOff>
      <xdr:row>4</xdr:row>
      <xdr:rowOff>28440</xdr:rowOff>
    </xdr:from>
    <xdr:to>
      <xdr:col>15</xdr:col>
      <xdr:colOff>10440</xdr:colOff>
      <xdr:row>21</xdr:row>
      <xdr:rowOff>152640</xdr:rowOff>
    </xdr:to>
    <xdr:graphicFrame>
      <xdr:nvGraphicFramePr>
        <xdr:cNvPr id="134" name="Chart 4"/>
        <xdr:cNvGraphicFramePr/>
      </xdr:nvGraphicFramePr>
      <xdr:xfrm>
        <a:off x="4846320" y="94284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35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36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249840</xdr:colOff>
      <xdr:row>42</xdr:row>
      <xdr:rowOff>133560</xdr:rowOff>
    </xdr:to>
    <xdr:graphicFrame>
      <xdr:nvGraphicFramePr>
        <xdr:cNvPr id="137" name="Chart 7"/>
        <xdr:cNvGraphicFramePr/>
      </xdr:nvGraphicFramePr>
      <xdr:xfrm>
        <a:off x="0" y="4190760"/>
        <a:ext cx="4717080" cy="3010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142920</xdr:rowOff>
    </xdr:from>
    <xdr:to>
      <xdr:col>7</xdr:col>
      <xdr:colOff>209880</xdr:colOff>
      <xdr:row>22</xdr:row>
      <xdr:rowOff>105120</xdr:rowOff>
    </xdr:to>
    <xdr:graphicFrame>
      <xdr:nvGraphicFramePr>
        <xdr:cNvPr id="138" name="Chart 1"/>
        <xdr:cNvGraphicFramePr/>
      </xdr:nvGraphicFramePr>
      <xdr:xfrm>
        <a:off x="0" y="105732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39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40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428760</xdr:colOff>
      <xdr:row>4</xdr:row>
      <xdr:rowOff>152280</xdr:rowOff>
    </xdr:from>
    <xdr:to>
      <xdr:col>14</xdr:col>
      <xdr:colOff>618840</xdr:colOff>
      <xdr:row>22</xdr:row>
      <xdr:rowOff>114480</xdr:rowOff>
    </xdr:to>
    <xdr:graphicFrame>
      <xdr:nvGraphicFramePr>
        <xdr:cNvPr id="141" name="Chart 4"/>
        <xdr:cNvGraphicFramePr/>
      </xdr:nvGraphicFramePr>
      <xdr:xfrm>
        <a:off x="4896000" y="1066680"/>
        <a:ext cx="46573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42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43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498240</xdr:colOff>
      <xdr:row>16</xdr:row>
      <xdr:rowOff>133200</xdr:rowOff>
    </xdr:from>
    <xdr:to>
      <xdr:col>14</xdr:col>
      <xdr:colOff>20160</xdr:colOff>
      <xdr:row>17</xdr:row>
      <xdr:rowOff>75960</xdr:rowOff>
    </xdr:to>
    <xdr:sp>
      <xdr:nvSpPr>
        <xdr:cNvPr id="144" name="Line 7"/>
        <xdr:cNvSpPr/>
      </xdr:nvSpPr>
      <xdr:spPr>
        <a:xfrm flipH="1" flipV="1">
          <a:off x="8794440" y="2990880"/>
          <a:ext cx="160200" cy="1044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0.107218844984802</cdr:x>
      <cdr:y>0.737237237237237</cdr:y>
    </cdr:from>
    <cdr:to>
      <cdr:x>0.201747720364742</cdr:x>
      <cdr:y>0.870745745745746</cdr:y>
    </cdr:to>
    <cdr:sp>
      <cdr:nvSpPr>
        <cdr:cNvPr id="12" name="Text 5"/>
        <cdr:cNvSpPr/>
      </cdr:nvSpPr>
      <cdr:spPr>
        <a:xfrm>
          <a:off x="507960" y="2121120"/>
          <a:ext cx="44784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Crude &amp;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Products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0.201747720364742</cdr:x>
      <cdr:y>0.737237237237237</cdr:y>
    </cdr:from>
    <cdr:to>
      <cdr:x>0.322036474164134</cdr:x>
      <cdr:y>0.863488488488489</cdr:y>
    </cdr:to>
    <cdr:sp>
      <cdr:nvSpPr>
        <cdr:cNvPr id="13" name="Text 6"/>
        <cdr:cNvSpPr/>
      </cdr:nvSpPr>
      <cdr:spPr>
        <a:xfrm>
          <a:off x="955800" y="2121120"/>
          <a:ext cx="569880" cy="363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Coal/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Vessel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0.292021276595745</cdr:x>
      <cdr:y>0.733733733733734</cdr:y>
    </cdr:from>
    <cdr:to>
      <cdr:x>0.380015197568389</cdr:x>
      <cdr:y>0.827452452452453</cdr:y>
    </cdr:to>
    <cdr:sp>
      <cdr:nvSpPr>
        <cdr:cNvPr id="14" name="Text 7"/>
        <cdr:cNvSpPr/>
      </cdr:nvSpPr>
      <cdr:spPr>
        <a:xfrm>
          <a:off x="1383480" y="2111040"/>
          <a:ext cx="41688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Weather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0.379483282674772</cdr:x>
      <cdr:y>0.733733733733734</cdr:y>
    </cdr:from>
    <cdr:to>
      <cdr:x>0.48677811550152</cdr:x>
      <cdr:y>0.827452452452453</cdr:y>
    </cdr:to>
    <cdr:sp>
      <cdr:nvSpPr>
        <cdr:cNvPr id="15" name="Text 8"/>
        <cdr:cNvSpPr/>
      </cdr:nvSpPr>
      <cdr:spPr>
        <a:xfrm>
          <a:off x="1797840" y="2111040"/>
          <a:ext cx="50832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Insurance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Risk Mkts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0.487234042553191</cdr:x>
      <cdr:y>0.733733733733734</cdr:y>
    </cdr:from>
    <cdr:to>
      <cdr:x>0.583738601823708</cdr:x>
      <cdr:y>0.867242242242242</cdr:y>
    </cdr:to>
    <cdr:sp>
      <cdr:nvSpPr>
        <cdr:cNvPr id="16" name="Text 9"/>
        <cdr:cNvSpPr/>
      </cdr:nvSpPr>
      <cdr:spPr>
        <a:xfrm>
          <a:off x="2308320" y="2111040"/>
          <a:ext cx="45720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Financial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Trading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0.583738601823708</cdr:x>
      <cdr:y>0.737237237237237</cdr:y>
    </cdr:from>
    <cdr:to>
      <cdr:x>0.661018237082067</cdr:x>
      <cdr:y>0.812312312312312</cdr:y>
    </cdr:to>
    <cdr:sp>
      <cdr:nvSpPr>
        <cdr:cNvPr id="17" name="Text 10"/>
        <cdr:cNvSpPr/>
      </cdr:nvSpPr>
      <cdr:spPr>
        <a:xfrm>
          <a:off x="2765520" y="2121120"/>
          <a:ext cx="366120" cy="2160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Freight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0.678267477203647</cdr:x>
      <cdr:y>0.733733733733734</cdr:y>
    </cdr:from>
    <cdr:to>
      <cdr:x>0.736246200607903</cdr:x>
      <cdr:y>0.827452452452453</cdr:y>
    </cdr:to>
    <cdr:sp>
      <cdr:nvSpPr>
        <cdr:cNvPr id="18" name="Text 11"/>
        <cdr:cNvSpPr/>
      </cdr:nvSpPr>
      <cdr:spPr>
        <a:xfrm>
          <a:off x="3213360" y="2111040"/>
          <a:ext cx="27468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LNG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0.823252279635258</cdr:x>
      <cdr:y>0.733483483483484</cdr:y>
    </cdr:from>
    <cdr:to>
      <cdr:x>0.887765957446809</cdr:x>
      <cdr:y>0.866991991991992</cdr:y>
    </cdr:to>
    <cdr:sp>
      <cdr:nvSpPr>
        <cdr:cNvPr id="19" name="Text 12"/>
        <cdr:cNvSpPr/>
      </cdr:nvSpPr>
      <cdr:spPr>
        <a:xfrm>
          <a:off x="3900240" y="2110320"/>
          <a:ext cx="30564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Drift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/Other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0.930243161094225</cdr:x>
      <cdr:y>0.762012012012012</cdr:y>
    </cdr:from>
    <cdr:to>
      <cdr:x>0.990273556231003</cdr:x>
      <cdr:y>0.815940940940941</cdr:y>
    </cdr:to>
    <cdr:sp>
      <cdr:nvSpPr>
        <cdr:cNvPr id="20" name="Text 13"/>
        <cdr:cNvSpPr/>
      </cdr:nvSpPr>
      <cdr:spPr>
        <a:xfrm>
          <a:off x="4407120" y="2192400"/>
          <a:ext cx="284400" cy="15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Total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0.750759878419453</cdr:x>
      <cdr:y>0.733733733733734</cdr:y>
    </cdr:from>
    <cdr:to>
      <cdr:x>0.821504559270517</cdr:x>
      <cdr:y>0.827452452452453</cdr:y>
    </cdr:to>
    <cdr:sp>
      <cdr:nvSpPr>
        <cdr:cNvPr id="21" name="Text 15"/>
        <cdr:cNvSpPr/>
      </cdr:nvSpPr>
      <cdr:spPr>
        <a:xfrm>
          <a:off x="3556800" y="2111040"/>
          <a:ext cx="33516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Japan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0.14621171821567</cdr:x>
      <cdr:y>0.489398852581691</cdr:y>
    </cdr:from>
    <cdr:to>
      <cdr:x>0.202295007219394</cdr:x>
      <cdr:y>0.534547268645548</cdr:y>
    </cdr:to>
    <cdr:sp>
      <cdr:nvSpPr>
        <cdr:cNvPr id="25" name="Line 1"/>
        <cdr:cNvSpPr/>
      </cdr:nvSpPr>
      <cdr:spPr>
        <a:xfrm flipV="1">
          <a:off x="760320" y="1344960"/>
          <a:ext cx="130320" cy="26568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27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28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558360</xdr:colOff>
      <xdr:row>27</xdr:row>
      <xdr:rowOff>152640</xdr:rowOff>
    </xdr:from>
    <xdr:to>
      <xdr:col>28</xdr:col>
      <xdr:colOff>628920</xdr:colOff>
      <xdr:row>31</xdr:row>
      <xdr:rowOff>28440</xdr:rowOff>
    </xdr:to>
    <xdr:sp>
      <xdr:nvSpPr>
        <xdr:cNvPr id="29" name="Rectangle 8"/>
        <xdr:cNvSpPr/>
      </xdr:nvSpPr>
      <xdr:spPr>
        <a:xfrm>
          <a:off x="15236280" y="4791240"/>
          <a:ext cx="3261600" cy="523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i="1" lang="en-US" sz="3000" strike="noStrike" u="none">
              <a:solidFill>
                <a:srgbClr val="ff0000"/>
              </a:solidFill>
              <a:effectLst/>
              <a:uFillTx/>
              <a:latin typeface="Tahoma"/>
            </a:rPr>
            <a:t>Work In Progress</a:t>
          </a:r>
          <a:endParaRPr b="0" lang="en-US" sz="3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468720</xdr:colOff>
      <xdr:row>23</xdr:row>
      <xdr:rowOff>47520</xdr:rowOff>
    </xdr:from>
    <xdr:to>
      <xdr:col>15</xdr:col>
      <xdr:colOff>50400</xdr:colOff>
      <xdr:row>41</xdr:row>
      <xdr:rowOff>19080</xdr:rowOff>
    </xdr:to>
    <xdr:graphicFrame>
      <xdr:nvGraphicFramePr>
        <xdr:cNvPr id="30" name="Chart 30"/>
        <xdr:cNvGraphicFramePr/>
      </xdr:nvGraphicFramePr>
      <xdr:xfrm>
        <a:off x="4935960" y="4038480"/>
        <a:ext cx="468720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</xdr:row>
      <xdr:rowOff>28440</xdr:rowOff>
    </xdr:from>
    <xdr:to>
      <xdr:col>7</xdr:col>
      <xdr:colOff>160200</xdr:colOff>
      <xdr:row>21</xdr:row>
      <xdr:rowOff>162000</xdr:rowOff>
    </xdr:to>
    <xdr:graphicFrame>
      <xdr:nvGraphicFramePr>
        <xdr:cNvPr id="41" name="Chart 33"/>
        <xdr:cNvGraphicFramePr/>
      </xdr:nvGraphicFramePr>
      <xdr:xfrm>
        <a:off x="0" y="942840"/>
        <a:ext cx="46274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458640</xdr:colOff>
      <xdr:row>4</xdr:row>
      <xdr:rowOff>0</xdr:rowOff>
    </xdr:from>
    <xdr:to>
      <xdr:col>14</xdr:col>
      <xdr:colOff>628920</xdr:colOff>
      <xdr:row>22</xdr:row>
      <xdr:rowOff>19080</xdr:rowOff>
    </xdr:to>
    <xdr:graphicFrame>
      <xdr:nvGraphicFramePr>
        <xdr:cNvPr id="42" name="Chart 34"/>
        <xdr:cNvGraphicFramePr/>
      </xdr:nvGraphicFramePr>
      <xdr:xfrm>
        <a:off x="4925880" y="914400"/>
        <a:ext cx="463752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19800</xdr:colOff>
      <xdr:row>23</xdr:row>
      <xdr:rowOff>28440</xdr:rowOff>
    </xdr:from>
    <xdr:to>
      <xdr:col>7</xdr:col>
      <xdr:colOff>200160</xdr:colOff>
      <xdr:row>41</xdr:row>
      <xdr:rowOff>19080</xdr:rowOff>
    </xdr:to>
    <xdr:graphicFrame>
      <xdr:nvGraphicFramePr>
        <xdr:cNvPr id="43" name="Chart 36"/>
        <xdr:cNvGraphicFramePr/>
      </xdr:nvGraphicFramePr>
      <xdr:xfrm>
        <a:off x="19800" y="4019400"/>
        <a:ext cx="4647600" cy="290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0.109285001151985</cdr:x>
      <cdr:y>0.721501621351958</cdr:y>
    </cdr:from>
    <cdr:to>
      <cdr:x>0.204746179248906</cdr:x>
      <cdr:y>0.854577201297082</cdr:y>
    </cdr:to>
    <cdr:sp>
      <cdr:nvSpPr>
        <cdr:cNvPr id="31" name="Text 1"/>
        <cdr:cNvSpPr/>
      </cdr:nvSpPr>
      <cdr:spPr>
        <a:xfrm>
          <a:off x="512280" y="2082600"/>
          <a:ext cx="44748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Crude &amp;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Products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0.204515782197988</cdr:x>
      <cdr:y>0.721501621351958</cdr:y>
    </cdr:from>
    <cdr:to>
      <cdr:x>0.317256739113739</cdr:x>
      <cdr:y>0.847218757794961</cdr:y>
    </cdr:to>
    <cdr:sp>
      <cdr:nvSpPr>
        <cdr:cNvPr id="32" name="Text 2"/>
        <cdr:cNvSpPr/>
      </cdr:nvSpPr>
      <cdr:spPr>
        <a:xfrm>
          <a:off x="958680" y="2082600"/>
          <a:ext cx="528480" cy="362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Coal/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Vessel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0.288226710698103</cdr:x>
      <cdr:y>0.724494886505363</cdr:y>
    </cdr:from>
    <cdr:to>
      <cdr:x>0.377236771369327</cdr:x>
      <cdr:y>0.817909703167872</cdr:y>
    </cdr:to>
    <cdr:sp>
      <cdr:nvSpPr>
        <cdr:cNvPr id="33" name="Text 3"/>
        <cdr:cNvSpPr/>
      </cdr:nvSpPr>
      <cdr:spPr>
        <a:xfrm>
          <a:off x="1351080" y="2091240"/>
          <a:ext cx="41724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Weather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0.366484908993165</cdr:x>
      <cdr:y>0.717760039910202</cdr:y>
    </cdr:from>
    <cdr:to>
      <cdr:x>0.475001919975424</cdr:x>
      <cdr:y>0.811174856572711</cdr:y>
    </cdr:to>
    <cdr:sp>
      <cdr:nvSpPr>
        <cdr:cNvPr id="34" name="Text 4"/>
        <cdr:cNvSpPr/>
      </cdr:nvSpPr>
      <cdr:spPr>
        <a:xfrm>
          <a:off x="1717920" y="2071800"/>
          <a:ext cx="50868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Insurance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Risk Mkts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0.458259734275401</cdr:x>
      <cdr:y>0.720753305063607</cdr:y>
    </cdr:from>
    <cdr:to>
      <cdr:x>0.573227862683358</cdr:x>
      <cdr:y>0.84647044150661</cdr:y>
    </cdr:to>
    <cdr:sp>
      <cdr:nvSpPr>
        <cdr:cNvPr id="35" name="Text 5"/>
        <cdr:cNvSpPr/>
      </cdr:nvSpPr>
      <cdr:spPr>
        <a:xfrm>
          <a:off x="2148120" y="2080440"/>
          <a:ext cx="538920" cy="362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Financial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Trading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0.559250441594348</cdr:x>
      <cdr:y>0.720753305063607</cdr:y>
    </cdr:from>
    <cdr:to>
      <cdr:x>0.635281468397205</cdr:x>
      <cdr:y>0.795460214517336</cdr:y>
    </cdr:to>
    <cdr:sp>
      <cdr:nvSpPr>
        <cdr:cNvPr id="36" name="Text 6"/>
        <cdr:cNvSpPr/>
      </cdr:nvSpPr>
      <cdr:spPr>
        <a:xfrm>
          <a:off x="2621520" y="2080440"/>
          <a:ext cx="356400" cy="215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Freight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0.648260502265571</cdr:x>
      <cdr:y>0.724494886505363</cdr:y>
    </cdr:from>
    <cdr:to>
      <cdr:x>0.706781353198679</cdr:x>
      <cdr:y>0.817909703167872</cdr:y>
    </cdr:to>
    <cdr:sp>
      <cdr:nvSpPr>
        <cdr:cNvPr id="37" name="Text 7"/>
        <cdr:cNvSpPr/>
      </cdr:nvSpPr>
      <cdr:spPr>
        <a:xfrm>
          <a:off x="3038760" y="2091240"/>
          <a:ext cx="27432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LNG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0.819983104216266</cdr:x>
      <cdr:y>0.724494886505363</cdr:y>
    </cdr:from>
    <cdr:to>
      <cdr:x>0.885031871592044</cdr:x>
      <cdr:y>0.778248939885258</cdr:y>
    </cdr:to>
    <cdr:sp>
      <cdr:nvSpPr>
        <cdr:cNvPr id="38" name="Text 8"/>
        <cdr:cNvSpPr/>
      </cdr:nvSpPr>
      <cdr:spPr>
        <a:xfrm>
          <a:off x="3843720" y="2091240"/>
          <a:ext cx="304920" cy="15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Other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0.923738576146225</cdr:x>
      <cdr:y>0.741706161137441</cdr:y>
    </cdr:from>
    <cdr:to>
      <cdr:x>0.984486598571538</cdr:x>
      <cdr:y>0.795460214517336</cdr:y>
    </cdr:to>
    <cdr:sp>
      <cdr:nvSpPr>
        <cdr:cNvPr id="39" name="Text 9"/>
        <cdr:cNvSpPr/>
      </cdr:nvSpPr>
      <cdr:spPr>
        <a:xfrm>
          <a:off x="4330080" y="2140920"/>
          <a:ext cx="284760" cy="15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Total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0.72851547500192</cdr:x>
      <cdr:y>0.724494886505363</cdr:y>
    </cdr:from>
    <cdr:to>
      <cdr:x>0.800015359803395</cdr:x>
      <cdr:y>0.817909703167872</cdr:y>
    </cdr:to>
    <cdr:sp>
      <cdr:nvSpPr>
        <cdr:cNvPr id="40" name="Text 10"/>
        <cdr:cNvSpPr/>
      </cdr:nvSpPr>
      <cdr:spPr>
        <a:xfrm>
          <a:off x="3414960" y="2091240"/>
          <a:ext cx="33516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Japan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142920</xdr:rowOff>
    </xdr:from>
    <xdr:to>
      <xdr:col>7</xdr:col>
      <xdr:colOff>209880</xdr:colOff>
      <xdr:row>22</xdr:row>
      <xdr:rowOff>105120</xdr:rowOff>
    </xdr:to>
    <xdr:graphicFrame>
      <xdr:nvGraphicFramePr>
        <xdr:cNvPr id="44" name="Chart 1"/>
        <xdr:cNvGraphicFramePr/>
      </xdr:nvGraphicFramePr>
      <xdr:xfrm>
        <a:off x="0" y="105732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379080</xdr:colOff>
      <xdr:row>24</xdr:row>
      <xdr:rowOff>56880</xdr:rowOff>
    </xdr:from>
    <xdr:to>
      <xdr:col>14</xdr:col>
      <xdr:colOff>588960</xdr:colOff>
      <xdr:row>42</xdr:row>
      <xdr:rowOff>75960</xdr:rowOff>
    </xdr:to>
    <xdr:graphicFrame>
      <xdr:nvGraphicFramePr>
        <xdr:cNvPr id="46" name="Chart 3"/>
        <xdr:cNvGraphicFramePr/>
      </xdr:nvGraphicFramePr>
      <xdr:xfrm>
        <a:off x="4846320" y="4209840"/>
        <a:ext cx="467712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329040</xdr:colOff>
      <xdr:row>4</xdr:row>
      <xdr:rowOff>133560</xdr:rowOff>
    </xdr:from>
    <xdr:to>
      <xdr:col>14</xdr:col>
      <xdr:colOff>599040</xdr:colOff>
      <xdr:row>22</xdr:row>
      <xdr:rowOff>95760</xdr:rowOff>
    </xdr:to>
    <xdr:graphicFrame>
      <xdr:nvGraphicFramePr>
        <xdr:cNvPr id="48" name="Chart 4"/>
        <xdr:cNvGraphicFramePr/>
      </xdr:nvGraphicFramePr>
      <xdr:xfrm>
        <a:off x="4796280" y="1047960"/>
        <a:ext cx="473724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49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50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29880</xdr:colOff>
      <xdr:row>24</xdr:row>
      <xdr:rowOff>47520</xdr:rowOff>
    </xdr:from>
    <xdr:to>
      <xdr:col>7</xdr:col>
      <xdr:colOff>209880</xdr:colOff>
      <xdr:row>42</xdr:row>
      <xdr:rowOff>75960</xdr:rowOff>
    </xdr:to>
    <xdr:graphicFrame>
      <xdr:nvGraphicFramePr>
        <xdr:cNvPr id="51" name="Chart 11"/>
        <xdr:cNvGraphicFramePr/>
      </xdr:nvGraphicFramePr>
      <xdr:xfrm>
        <a:off x="29880" y="4200480"/>
        <a:ext cx="4647240" cy="2943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0.876164088355268</cdr:x>
      <cdr:y>0.453703703703704</cdr:y>
    </cdr:from>
    <cdr:to>
      <cdr:x>0.919187254675595</cdr:x>
      <cdr:y>0.484984984984985</cdr:y>
    </cdr:to>
    <cdr:sp>
      <cdr:nvSpPr>
        <cdr:cNvPr id="45" name="Line 2"/>
        <cdr:cNvSpPr/>
      </cdr:nvSpPr>
      <cdr:spPr>
        <a:xfrm flipH="1">
          <a:off x="4098240" y="1305360"/>
          <a:ext cx="201240" cy="900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9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0.149234203032402</cdr:x>
      <cdr:y>0.0847852760736196</cdr:y>
    </cdr:from>
    <cdr:to>
      <cdr:x>0.171015162010313</cdr:x>
      <cdr:y>0.151779141104294</cdr:y>
    </cdr:to>
    <cdr:sp>
      <cdr:nvSpPr>
        <cdr:cNvPr id="47" name="Text 4"/>
        <cdr:cNvSpPr/>
      </cdr:nvSpPr>
      <cdr:spPr>
        <a:xfrm>
          <a:off x="698040" y="248760"/>
          <a:ext cx="101880" cy="196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330%20FINA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MgmtSum-Q101-Global-w%20overview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Global-0630%20v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EGM%20Plan%200529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3Q%202001/Mgmt%20Summaries/MgmtSum-Q301-Global-093001%20revised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4Q%202001/Mgmt%20Summaries/MgmtSum-Q401-Global-11230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4Q%202001/Mgmt%20Summaries/MgmtSum-Q401-EGM%20Plan%201008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  <sheetName val="GlobalMgmtSum-Q101-0330 FINAL"/>
    </sheetNames>
    <sheetDataSet>
      <sheetData sheetId="0"/>
      <sheetData sheetId="1">
        <row r="9">
          <cell r="C9">
            <v>61971.161</v>
          </cell>
        </row>
        <row r="9">
          <cell r="K9">
            <v>46307.1115</v>
          </cell>
        </row>
        <row r="10">
          <cell r="C10">
            <v>15666.03533</v>
          </cell>
        </row>
        <row r="10">
          <cell r="K10">
            <v>8904.16033</v>
          </cell>
        </row>
        <row r="11">
          <cell r="C11">
            <v>4613.02</v>
          </cell>
        </row>
        <row r="11">
          <cell r="K11">
            <v>4613.02</v>
          </cell>
        </row>
        <row r="12">
          <cell r="C12">
            <v>-6238.153</v>
          </cell>
        </row>
        <row r="12">
          <cell r="K12">
            <v>-7560.353</v>
          </cell>
        </row>
        <row r="13">
          <cell r="C13">
            <v>8725</v>
          </cell>
        </row>
        <row r="13">
          <cell r="K13">
            <v>5839.069</v>
          </cell>
        </row>
        <row r="14">
          <cell r="C14">
            <v>1672.01528</v>
          </cell>
        </row>
        <row r="14">
          <cell r="K14">
            <v>337.99628</v>
          </cell>
        </row>
        <row r="15">
          <cell r="C15">
            <v>13281.757</v>
          </cell>
        </row>
        <row r="15">
          <cell r="K15">
            <v>9464.195</v>
          </cell>
        </row>
        <row r="16">
          <cell r="C16">
            <v>40.954</v>
          </cell>
        </row>
        <row r="16">
          <cell r="K16">
            <v>-1843.474</v>
          </cell>
        </row>
        <row r="17">
          <cell r="C17">
            <v>1679.991</v>
          </cell>
        </row>
        <row r="17">
          <cell r="K17">
            <v>-2158.565</v>
          </cell>
        </row>
        <row r="18">
          <cell r="C18">
            <v>168.794</v>
          </cell>
        </row>
        <row r="18">
          <cell r="K18">
            <v>-1964.977</v>
          </cell>
        </row>
        <row r="19">
          <cell r="C19">
            <v>-959.679</v>
          </cell>
        </row>
        <row r="19">
          <cell r="K19">
            <v>-1885.705</v>
          </cell>
        </row>
        <row r="20">
          <cell r="C20">
            <v>47.174</v>
          </cell>
        </row>
        <row r="20">
          <cell r="K20">
            <v>-377.352</v>
          </cell>
        </row>
        <row r="21">
          <cell r="C21">
            <v>0</v>
          </cell>
        </row>
        <row r="21">
          <cell r="K21">
            <v>-869.124</v>
          </cell>
        </row>
        <row r="25">
          <cell r="C25">
            <v>0</v>
          </cell>
        </row>
        <row r="25">
          <cell r="K25">
            <v>-30757.539</v>
          </cell>
        </row>
        <row r="26">
          <cell r="C26">
            <v>0</v>
          </cell>
        </row>
        <row r="26">
          <cell r="K26">
            <v>18548.3175</v>
          </cell>
        </row>
        <row r="27">
          <cell r="K27">
            <v>-281.118</v>
          </cell>
        </row>
        <row r="32">
          <cell r="C32">
            <v>0</v>
          </cell>
        </row>
      </sheetData>
      <sheetData sheetId="2"/>
      <sheetData sheetId="3"/>
      <sheetData sheetId="4"/>
      <sheetData sheetId="5">
        <row r="9">
          <cell r="D9">
            <v>7068.216</v>
          </cell>
        </row>
        <row r="10">
          <cell r="D10">
            <v>3584.983</v>
          </cell>
        </row>
        <row r="11">
          <cell r="D11">
            <v>0</v>
          </cell>
        </row>
        <row r="12">
          <cell r="D12">
            <v>570.503</v>
          </cell>
        </row>
        <row r="13">
          <cell r="D13">
            <v>1721.372</v>
          </cell>
        </row>
        <row r="14">
          <cell r="D14">
            <v>790.135</v>
          </cell>
        </row>
        <row r="15">
          <cell r="D15">
            <v>2364.778</v>
          </cell>
        </row>
        <row r="16">
          <cell r="D16">
            <v>1615.797</v>
          </cell>
        </row>
        <row r="17">
          <cell r="D17">
            <v>2763.129</v>
          </cell>
        </row>
        <row r="18">
          <cell r="D18">
            <v>1557.302</v>
          </cell>
        </row>
        <row r="19">
          <cell r="D19">
            <v>428.864</v>
          </cell>
        </row>
        <row r="20">
          <cell r="D20">
            <v>326.597</v>
          </cell>
        </row>
        <row r="21">
          <cell r="D21">
            <v>522.074</v>
          </cell>
        </row>
        <row r="25">
          <cell r="D25">
            <v>30757.539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>
        <row r="9">
          <cell r="C9">
            <v>40000</v>
          </cell>
        </row>
        <row r="9">
          <cell r="E9">
            <v>23249.788</v>
          </cell>
        </row>
        <row r="9">
          <cell r="M9">
            <v>6767.77</v>
          </cell>
        </row>
        <row r="10">
          <cell r="C10">
            <v>11250</v>
          </cell>
        </row>
        <row r="10">
          <cell r="E10">
            <v>3837.254</v>
          </cell>
        </row>
        <row r="10">
          <cell r="M10">
            <v>4013.093</v>
          </cell>
        </row>
        <row r="11">
          <cell r="C11">
            <v>2500</v>
          </cell>
        </row>
        <row r="11">
          <cell r="E11">
            <v>2500</v>
          </cell>
        </row>
        <row r="11">
          <cell r="M11">
            <v>0</v>
          </cell>
        </row>
        <row r="12">
          <cell r="C12">
            <v>5000</v>
          </cell>
        </row>
        <row r="12">
          <cell r="E12">
            <v>2915.624</v>
          </cell>
        </row>
        <row r="12">
          <cell r="M12">
            <v>1213.619</v>
          </cell>
        </row>
        <row r="13">
          <cell r="C13">
            <v>8509.251</v>
          </cell>
        </row>
        <row r="13">
          <cell r="E13">
            <v>4460.982</v>
          </cell>
        </row>
        <row r="13">
          <cell r="M13">
            <v>1808.523</v>
          </cell>
        </row>
        <row r="14">
          <cell r="C14">
            <v>4875</v>
          </cell>
        </row>
        <row r="14">
          <cell r="E14">
            <v>2259.021</v>
          </cell>
        </row>
        <row r="14">
          <cell r="M14">
            <v>1802.648</v>
          </cell>
        </row>
        <row r="15">
          <cell r="C15">
            <v>20000</v>
          </cell>
        </row>
        <row r="15">
          <cell r="E15">
            <v>14454.606</v>
          </cell>
        </row>
        <row r="15">
          <cell r="M15">
            <v>3467.386</v>
          </cell>
        </row>
        <row r="16">
          <cell r="C16">
            <v>500</v>
          </cell>
        </row>
        <row r="16">
          <cell r="E16">
            <v>-1244.696</v>
          </cell>
        </row>
        <row r="16">
          <cell r="M16">
            <v>1555.606</v>
          </cell>
        </row>
        <row r="17">
          <cell r="C17">
            <v>3000</v>
          </cell>
        </row>
        <row r="17">
          <cell r="E17">
            <v>365.936</v>
          </cell>
        </row>
        <row r="17">
          <cell r="M17">
            <v>1430.25</v>
          </cell>
        </row>
        <row r="18">
          <cell r="C18">
            <v>1413</v>
          </cell>
        </row>
        <row r="18">
          <cell r="E18">
            <v>-187.847</v>
          </cell>
        </row>
        <row r="18">
          <cell r="M18">
            <v>809.424</v>
          </cell>
        </row>
        <row r="19">
          <cell r="C19">
            <v>-858.501</v>
          </cell>
        </row>
        <row r="19">
          <cell r="E19">
            <v>-1700.567</v>
          </cell>
        </row>
        <row r="19">
          <cell r="M19">
            <v>272.542</v>
          </cell>
        </row>
        <row r="20">
          <cell r="C20">
            <v>0</v>
          </cell>
        </row>
        <row r="20">
          <cell r="E20">
            <v>-783.779</v>
          </cell>
        </row>
        <row r="20">
          <cell r="M20">
            <v>712.17</v>
          </cell>
        </row>
        <row r="21">
          <cell r="C21">
            <v>0</v>
          </cell>
        </row>
        <row r="21">
          <cell r="E21">
            <v>-1008.636</v>
          </cell>
        </row>
        <row r="21">
          <cell r="M21">
            <v>533.369</v>
          </cell>
        </row>
        <row r="22">
          <cell r="C22">
            <v>1110</v>
          </cell>
        </row>
        <row r="22">
          <cell r="E22">
            <v>1110</v>
          </cell>
        </row>
        <row r="22">
          <cell r="M22">
            <v>0</v>
          </cell>
        </row>
        <row r="26">
          <cell r="C26">
            <v>0</v>
          </cell>
        </row>
        <row r="26">
          <cell r="E26">
            <v>-27923.81</v>
          </cell>
        </row>
        <row r="26">
          <cell r="M26">
            <v>27923.81</v>
          </cell>
        </row>
        <row r="27">
          <cell r="C27">
            <v>0</v>
          </cell>
        </row>
        <row r="27">
          <cell r="E27">
            <v>22684.664</v>
          </cell>
        </row>
        <row r="27">
          <cell r="M27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YTD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/>
      <sheetData sheetId="2"/>
      <sheetData sheetId="3">
        <row r="9">
          <cell r="E9">
            <v>15526.516</v>
          </cell>
        </row>
        <row r="9">
          <cell r="G9">
            <v>32796.825</v>
          </cell>
        </row>
        <row r="9">
          <cell r="M9">
            <v>6834.695</v>
          </cell>
        </row>
        <row r="9">
          <cell r="O9">
            <v>17788.538</v>
          </cell>
        </row>
        <row r="10">
          <cell r="E10">
            <v>7446.984</v>
          </cell>
        </row>
        <row r="10">
          <cell r="G10">
            <v>23751.52352</v>
          </cell>
        </row>
        <row r="10">
          <cell r="M10">
            <v>3967.036</v>
          </cell>
        </row>
        <row r="10">
          <cell r="O10">
            <v>16122.85752</v>
          </cell>
        </row>
        <row r="11">
          <cell r="E11">
            <v>1775</v>
          </cell>
        </row>
        <row r="11">
          <cell r="G11">
            <v>2463</v>
          </cell>
        </row>
        <row r="11">
          <cell r="M11">
            <v>348</v>
          </cell>
        </row>
        <row r="11">
          <cell r="O11">
            <v>1844</v>
          </cell>
        </row>
        <row r="12">
          <cell r="E12">
            <v>0</v>
          </cell>
        </row>
        <row r="12">
          <cell r="G12">
            <v>0</v>
          </cell>
        </row>
        <row r="12">
          <cell r="M12">
            <v>0</v>
          </cell>
        </row>
        <row r="12">
          <cell r="O12">
            <v>0</v>
          </cell>
        </row>
        <row r="13">
          <cell r="E13">
            <v>3838.187</v>
          </cell>
        </row>
        <row r="13">
          <cell r="G13">
            <v>8858</v>
          </cell>
        </row>
        <row r="13">
          <cell r="M13">
            <v>1489.305</v>
          </cell>
        </row>
        <row r="13">
          <cell r="O13">
            <v>6646.931</v>
          </cell>
        </row>
        <row r="14">
          <cell r="E14">
            <v>8615.186</v>
          </cell>
        </row>
        <row r="14">
          <cell r="G14">
            <v>2550.569</v>
          </cell>
        </row>
        <row r="14">
          <cell r="M14">
            <v>1299.411</v>
          </cell>
        </row>
        <row r="14">
          <cell r="O14">
            <v>604.991</v>
          </cell>
        </row>
        <row r="15">
          <cell r="E15">
            <v>21486.755</v>
          </cell>
        </row>
        <row r="15">
          <cell r="G15">
            <v>17176</v>
          </cell>
        </row>
        <row r="15">
          <cell r="M15">
            <v>2295.727</v>
          </cell>
        </row>
        <row r="15">
          <cell r="O15">
            <v>13173.132</v>
          </cell>
        </row>
        <row r="16">
          <cell r="E16">
            <v>-3623.711</v>
          </cell>
        </row>
        <row r="16">
          <cell r="G16">
            <v>1648.452</v>
          </cell>
        </row>
        <row r="16">
          <cell r="M16">
            <v>4582.465</v>
          </cell>
        </row>
        <row r="16">
          <cell r="O16">
            <v>-3767.201</v>
          </cell>
        </row>
        <row r="17">
          <cell r="E17">
            <v>2377.904</v>
          </cell>
        </row>
        <row r="17">
          <cell r="G17">
            <v>765.215</v>
          </cell>
        </row>
        <row r="17">
          <cell r="M17">
            <v>5577.472</v>
          </cell>
        </row>
        <row r="17">
          <cell r="O17">
            <v>-5892.272</v>
          </cell>
        </row>
        <row r="18">
          <cell r="E18">
            <v>497.153</v>
          </cell>
        </row>
        <row r="18">
          <cell r="G18">
            <v>2067.854</v>
          </cell>
        </row>
        <row r="18">
          <cell r="M18">
            <v>229.674</v>
          </cell>
        </row>
        <row r="18">
          <cell r="O18">
            <v>1360.729</v>
          </cell>
        </row>
        <row r="19">
          <cell r="C19">
            <v>1603</v>
          </cell>
        </row>
        <row r="19">
          <cell r="E19">
            <v>1454</v>
          </cell>
        </row>
        <row r="19">
          <cell r="G19">
            <v>1960.418</v>
          </cell>
        </row>
        <row r="19">
          <cell r="M19">
            <v>99.017</v>
          </cell>
        </row>
        <row r="19">
          <cell r="O19">
            <v>1861.401</v>
          </cell>
        </row>
        <row r="20">
          <cell r="C20">
            <v>0</v>
          </cell>
        </row>
        <row r="20">
          <cell r="E20">
            <v>-766.232</v>
          </cell>
        </row>
        <row r="20">
          <cell r="G20">
            <v>171.345</v>
          </cell>
        </row>
        <row r="20">
          <cell r="M20">
            <v>374.038</v>
          </cell>
        </row>
        <row r="20">
          <cell r="O20">
            <v>-323.811</v>
          </cell>
        </row>
        <row r="21">
          <cell r="C21">
            <v>0</v>
          </cell>
        </row>
        <row r="21">
          <cell r="E21">
            <v>-1011.224</v>
          </cell>
        </row>
        <row r="21">
          <cell r="G21">
            <v>0</v>
          </cell>
        </row>
        <row r="21">
          <cell r="M21">
            <v>826.36</v>
          </cell>
        </row>
        <row r="21">
          <cell r="O21">
            <v>-944.21</v>
          </cell>
        </row>
        <row r="22">
          <cell r="C22">
            <v>4613.104</v>
          </cell>
        </row>
        <row r="22">
          <cell r="E22">
            <v>4613.104</v>
          </cell>
        </row>
        <row r="22">
          <cell r="G22">
            <v>0</v>
          </cell>
        </row>
        <row r="22">
          <cell r="M22">
            <v>0</v>
          </cell>
        </row>
        <row r="22">
          <cell r="O22">
            <v>0</v>
          </cell>
        </row>
        <row r="26">
          <cell r="E26">
            <v>-28242.491</v>
          </cell>
        </row>
        <row r="26">
          <cell r="M26">
            <v>32056.176</v>
          </cell>
        </row>
        <row r="26">
          <cell r="O26">
            <v>-32056.176</v>
          </cell>
        </row>
        <row r="27">
          <cell r="E27">
            <v>22036.86</v>
          </cell>
        </row>
        <row r="27">
          <cell r="O27">
            <v>17711.055</v>
          </cell>
        </row>
      </sheetData>
      <sheetData sheetId="4"/>
      <sheetData sheetId="5"/>
      <sheetData sheetId="6">
        <row r="19">
          <cell r="E19">
            <v>149</v>
          </cell>
        </row>
        <row r="20">
          <cell r="E20">
            <v>695.866</v>
          </cell>
        </row>
        <row r="21">
          <cell r="E21">
            <v>537.2</v>
          </cell>
        </row>
        <row r="25">
          <cell r="E25">
            <v>28242.491</v>
          </cell>
        </row>
      </sheetData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/>
      <sheetData sheetId="2">
        <row r="9">
          <cell r="C9">
            <v>32500</v>
          </cell>
        </row>
        <row r="9">
          <cell r="M9">
            <v>6994.313</v>
          </cell>
        </row>
        <row r="10">
          <cell r="C10">
            <v>16250</v>
          </cell>
        </row>
        <row r="10">
          <cell r="M10">
            <v>5012.782</v>
          </cell>
        </row>
        <row r="11">
          <cell r="C11">
            <v>2500</v>
          </cell>
        </row>
        <row r="11">
          <cell r="M11">
            <v>348.209</v>
          </cell>
        </row>
        <row r="12">
          <cell r="C12">
            <v>0</v>
          </cell>
        </row>
        <row r="12">
          <cell r="M12">
            <v>0</v>
          </cell>
        </row>
        <row r="13">
          <cell r="C13">
            <v>7078.819</v>
          </cell>
        </row>
        <row r="13">
          <cell r="M13">
            <v>1463.007</v>
          </cell>
        </row>
        <row r="14">
          <cell r="C14">
            <v>11875</v>
          </cell>
        </row>
        <row r="14">
          <cell r="M14">
            <v>2304.122</v>
          </cell>
        </row>
        <row r="15">
          <cell r="C15">
            <v>27500</v>
          </cell>
        </row>
        <row r="15">
          <cell r="M15">
            <v>3742.616</v>
          </cell>
        </row>
        <row r="16">
          <cell r="C16">
            <v>1311</v>
          </cell>
        </row>
        <row r="16">
          <cell r="M16">
            <v>4356.818</v>
          </cell>
        </row>
        <row r="17">
          <cell r="C17">
            <v>5000</v>
          </cell>
        </row>
        <row r="17">
          <cell r="M17">
            <v>1430.25</v>
          </cell>
        </row>
        <row r="18">
          <cell r="C18">
            <v>1372.499</v>
          </cell>
        </row>
        <row r="18">
          <cell r="M18">
            <v>302.281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YTD"/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/>
      <sheetData sheetId="3">
        <row r="9">
          <cell r="C9">
            <v>32500</v>
          </cell>
        </row>
        <row r="9">
          <cell r="E9">
            <v>15606.718</v>
          </cell>
        </row>
        <row r="9">
          <cell r="J9">
            <v>28864.211</v>
          </cell>
        </row>
        <row r="9">
          <cell r="M9">
            <v>7980.981</v>
          </cell>
        </row>
        <row r="9">
          <cell r="O9">
            <v>13858.068</v>
          </cell>
        </row>
        <row r="10">
          <cell r="C10">
            <v>16250</v>
          </cell>
        </row>
        <row r="10">
          <cell r="E10">
            <v>7349.769</v>
          </cell>
        </row>
        <row r="10">
          <cell r="J10">
            <v>29042.348</v>
          </cell>
        </row>
        <row r="10">
          <cell r="M10">
            <v>4864.403</v>
          </cell>
        </row>
        <row r="10">
          <cell r="O10">
            <v>19116.289</v>
          </cell>
        </row>
        <row r="11">
          <cell r="C11">
            <v>2500</v>
          </cell>
        </row>
        <row r="11">
          <cell r="E11">
            <v>1776.69</v>
          </cell>
        </row>
        <row r="11">
          <cell r="J11">
            <v>3421.699</v>
          </cell>
        </row>
        <row r="11">
          <cell r="M11">
            <v>275.16</v>
          </cell>
        </row>
        <row r="11">
          <cell r="O11">
            <v>2730.689</v>
          </cell>
        </row>
        <row r="12">
          <cell r="C12">
            <v>0</v>
          </cell>
        </row>
        <row r="12">
          <cell r="E12">
            <v>0</v>
          </cell>
        </row>
        <row r="13">
          <cell r="C13">
            <v>8659.352</v>
          </cell>
        </row>
        <row r="13">
          <cell r="E13">
            <v>5352.897</v>
          </cell>
        </row>
        <row r="13">
          <cell r="J13">
            <v>8926</v>
          </cell>
        </row>
        <row r="13">
          <cell r="M13">
            <v>2560.499</v>
          </cell>
        </row>
        <row r="13">
          <cell r="O13">
            <v>5161.736</v>
          </cell>
        </row>
        <row r="14">
          <cell r="C14">
            <v>11875</v>
          </cell>
        </row>
        <row r="14">
          <cell r="E14">
            <v>8401.542</v>
          </cell>
        </row>
        <row r="14">
          <cell r="J14">
            <v>996.886</v>
          </cell>
        </row>
        <row r="14">
          <cell r="M14">
            <v>2093.127</v>
          </cell>
        </row>
        <row r="14">
          <cell r="O14">
            <v>-1683.844</v>
          </cell>
        </row>
        <row r="15">
          <cell r="C15">
            <v>27370</v>
          </cell>
        </row>
        <row r="15">
          <cell r="E15">
            <v>21837.183</v>
          </cell>
        </row>
        <row r="15">
          <cell r="J15">
            <v>5721.45</v>
          </cell>
        </row>
        <row r="15">
          <cell r="M15">
            <v>3047.825</v>
          </cell>
        </row>
        <row r="15">
          <cell r="O15">
            <v>1428.98</v>
          </cell>
        </row>
        <row r="16">
          <cell r="C16">
            <v>5705</v>
          </cell>
        </row>
        <row r="16">
          <cell r="E16">
            <v>246.839999999999</v>
          </cell>
        </row>
        <row r="16">
          <cell r="J16">
            <v>1266.49</v>
          </cell>
        </row>
        <row r="16">
          <cell r="M16">
            <v>3683.199</v>
          </cell>
        </row>
        <row r="16">
          <cell r="O16">
            <v>-4158.13</v>
          </cell>
        </row>
        <row r="17">
          <cell r="C17">
            <v>8000</v>
          </cell>
        </row>
        <row r="17">
          <cell r="E17">
            <v>5376.787</v>
          </cell>
        </row>
        <row r="17">
          <cell r="J17">
            <v>1574.353</v>
          </cell>
        </row>
        <row r="17">
          <cell r="M17">
            <v>6143.468</v>
          </cell>
        </row>
        <row r="17">
          <cell r="O17">
            <v>-5756.62</v>
          </cell>
        </row>
        <row r="18">
          <cell r="C18">
            <v>0</v>
          </cell>
        </row>
        <row r="18">
          <cell r="E18">
            <v>0</v>
          </cell>
        </row>
        <row r="18">
          <cell r="J18">
            <v>0</v>
          </cell>
        </row>
        <row r="18">
          <cell r="M18">
            <v>0</v>
          </cell>
        </row>
        <row r="18">
          <cell r="O18">
            <v>0</v>
          </cell>
        </row>
        <row r="19">
          <cell r="C19">
            <v>3750</v>
          </cell>
        </row>
        <row r="19">
          <cell r="E19">
            <v>383.622</v>
          </cell>
        </row>
        <row r="19">
          <cell r="J19">
            <v>0.849</v>
          </cell>
        </row>
        <row r="19">
          <cell r="M19">
            <v>930.877</v>
          </cell>
        </row>
        <row r="19">
          <cell r="O19">
            <v>-2530.91</v>
          </cell>
        </row>
        <row r="20">
          <cell r="C20">
            <v>1602.701</v>
          </cell>
        </row>
        <row r="20">
          <cell r="E20">
            <v>1464.251</v>
          </cell>
        </row>
        <row r="20">
          <cell r="J20">
            <v>2542.237</v>
          </cell>
        </row>
        <row r="20">
          <cell r="M20">
            <v>162.295</v>
          </cell>
        </row>
        <row r="20">
          <cell r="O20">
            <v>2379.942</v>
          </cell>
        </row>
        <row r="21">
          <cell r="C21">
            <v>0</v>
          </cell>
        </row>
        <row r="21">
          <cell r="E21">
            <v>-766.609</v>
          </cell>
        </row>
        <row r="21">
          <cell r="J21">
            <v>182.957</v>
          </cell>
        </row>
        <row r="21">
          <cell r="M21">
            <v>480.879</v>
          </cell>
        </row>
        <row r="21">
          <cell r="O21">
            <v>-462.694</v>
          </cell>
        </row>
        <row r="22">
          <cell r="C22">
            <v>0</v>
          </cell>
        </row>
        <row r="22">
          <cell r="E22">
            <v>-1011.604</v>
          </cell>
        </row>
        <row r="22">
          <cell r="J22">
            <v>0</v>
          </cell>
        </row>
        <row r="22">
          <cell r="M22">
            <v>533.021</v>
          </cell>
        </row>
        <row r="22">
          <cell r="O22">
            <v>-1051.006</v>
          </cell>
        </row>
        <row r="23">
          <cell r="C23">
            <v>5601</v>
          </cell>
        </row>
        <row r="23">
          <cell r="E23">
            <v>5601</v>
          </cell>
        </row>
        <row r="23">
          <cell r="J23">
            <v>0</v>
          </cell>
        </row>
        <row r="23">
          <cell r="M23">
            <v>0</v>
          </cell>
        </row>
        <row r="23">
          <cell r="O23">
            <v>0</v>
          </cell>
        </row>
        <row r="27">
          <cell r="E27">
            <v>0</v>
          </cell>
        </row>
        <row r="27">
          <cell r="J27">
            <v>-51501</v>
          </cell>
        </row>
        <row r="27">
          <cell r="M27">
            <v>0</v>
          </cell>
        </row>
        <row r="27">
          <cell r="O27">
            <v>-51501</v>
          </cell>
        </row>
        <row r="28">
          <cell r="E28">
            <v>0</v>
          </cell>
        </row>
        <row r="28">
          <cell r="O28">
            <v>-1448.015</v>
          </cell>
        </row>
        <row r="29">
          <cell r="E29">
            <v>-29901.169</v>
          </cell>
        </row>
        <row r="29">
          <cell r="O29">
            <v>-27940.685</v>
          </cell>
        </row>
        <row r="30">
          <cell r="E30">
            <v>23493.214</v>
          </cell>
        </row>
        <row r="30">
          <cell r="O30">
            <v>20751.246</v>
          </cell>
        </row>
      </sheetData>
      <sheetData sheetId="4"/>
      <sheetData sheetId="5"/>
      <sheetData sheetId="6">
        <row r="9">
          <cell r="E9">
            <v>6913.332</v>
          </cell>
        </row>
        <row r="10">
          <cell r="E10">
            <v>5104.641</v>
          </cell>
        </row>
        <row r="11">
          <cell r="E11">
            <v>348.209</v>
          </cell>
        </row>
        <row r="12">
          <cell r="E12">
            <v>0</v>
          </cell>
        </row>
        <row r="13">
          <cell r="E13">
            <v>1527.724</v>
          </cell>
        </row>
        <row r="14">
          <cell r="E14">
            <v>2517.066</v>
          </cell>
        </row>
        <row r="15">
          <cell r="E15">
            <v>3320.448</v>
          </cell>
        </row>
        <row r="16">
          <cell r="E16">
            <v>4625.078</v>
          </cell>
        </row>
        <row r="17">
          <cell r="E17">
            <v>1430.25</v>
          </cell>
        </row>
        <row r="18">
          <cell r="E18">
            <v>0</v>
          </cell>
        </row>
        <row r="19">
          <cell r="E19">
            <v>1542.486</v>
          </cell>
        </row>
        <row r="20">
          <cell r="E20">
            <v>138.45</v>
          </cell>
        </row>
        <row r="21">
          <cell r="E21">
            <v>695.866</v>
          </cell>
        </row>
        <row r="22">
          <cell r="E22">
            <v>537.203</v>
          </cell>
        </row>
        <row r="27">
          <cell r="E27">
            <v>29901.169</v>
          </cell>
        </row>
      </sheetData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YTD"/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/>
      <sheetData sheetId="3">
        <row r="9">
          <cell r="J9">
            <v>-51497.476</v>
          </cell>
        </row>
        <row r="9">
          <cell r="M9">
            <v>6903.119</v>
          </cell>
        </row>
        <row r="9">
          <cell r="O9">
            <v>-68419.219</v>
          </cell>
        </row>
        <row r="10">
          <cell r="J10">
            <v>3459.635</v>
          </cell>
        </row>
        <row r="10">
          <cell r="M10">
            <v>5110.533</v>
          </cell>
        </row>
        <row r="10">
          <cell r="O10">
            <v>-5439.852</v>
          </cell>
        </row>
        <row r="11">
          <cell r="J11">
            <v>3154</v>
          </cell>
        </row>
        <row r="11">
          <cell r="M11">
            <v>348.209</v>
          </cell>
        </row>
        <row r="11">
          <cell r="O11">
            <v>2430.726</v>
          </cell>
        </row>
        <row r="13">
          <cell r="J13">
            <v>-9470</v>
          </cell>
        </row>
        <row r="13">
          <cell r="M13">
            <v>1860.081</v>
          </cell>
        </row>
        <row r="13">
          <cell r="O13">
            <v>-13106.833</v>
          </cell>
        </row>
        <row r="14">
          <cell r="J14">
            <v>858.427</v>
          </cell>
        </row>
        <row r="14">
          <cell r="M14">
            <v>2517.066</v>
          </cell>
        </row>
        <row r="14">
          <cell r="O14">
            <v>-2611.981</v>
          </cell>
        </row>
        <row r="15">
          <cell r="J15">
            <v>3316</v>
          </cell>
        </row>
        <row r="15">
          <cell r="M15">
            <v>1849.136</v>
          </cell>
        </row>
        <row r="15">
          <cell r="O15">
            <v>185.453</v>
          </cell>
        </row>
        <row r="16">
          <cell r="J16">
            <v>-152.096</v>
          </cell>
        </row>
        <row r="16">
          <cell r="M16">
            <v>7322.176</v>
          </cell>
        </row>
        <row r="16">
          <cell r="O16">
            <v>-8915.306</v>
          </cell>
        </row>
        <row r="17">
          <cell r="J17">
            <v>2321</v>
          </cell>
        </row>
        <row r="17">
          <cell r="M17">
            <v>6270.25</v>
          </cell>
        </row>
        <row r="17">
          <cell r="O17">
            <v>-5138.428</v>
          </cell>
        </row>
        <row r="19">
          <cell r="J19">
            <v>1.476</v>
          </cell>
        </row>
        <row r="19">
          <cell r="M19">
            <v>1542.486</v>
          </cell>
        </row>
        <row r="19">
          <cell r="O19">
            <v>-3364.902</v>
          </cell>
        </row>
        <row r="20">
          <cell r="J20">
            <v>1147</v>
          </cell>
        </row>
        <row r="20">
          <cell r="M20">
            <v>138.45</v>
          </cell>
        </row>
        <row r="20">
          <cell r="O20">
            <v>1008.55</v>
          </cell>
        </row>
        <row r="21">
          <cell r="J21">
            <v>0</v>
          </cell>
        </row>
        <row r="21">
          <cell r="M21">
            <v>695.867</v>
          </cell>
        </row>
        <row r="21">
          <cell r="O21">
            <v>-765.961</v>
          </cell>
        </row>
        <row r="22">
          <cell r="J22">
            <v>0</v>
          </cell>
        </row>
        <row r="22">
          <cell r="M22">
            <v>537.204</v>
          </cell>
        </row>
        <row r="22">
          <cell r="O22">
            <v>-1010.956</v>
          </cell>
        </row>
        <row r="23">
          <cell r="J23">
            <v>0</v>
          </cell>
        </row>
        <row r="23">
          <cell r="M23">
            <v>0</v>
          </cell>
        </row>
        <row r="23">
          <cell r="O23">
            <v>0</v>
          </cell>
        </row>
        <row r="27">
          <cell r="J27">
            <v>-30000</v>
          </cell>
        </row>
        <row r="27">
          <cell r="O27">
            <v>-30000</v>
          </cell>
        </row>
        <row r="28">
          <cell r="M28">
            <v>0</v>
          </cell>
        </row>
        <row r="28">
          <cell r="O28">
            <v>0</v>
          </cell>
        </row>
        <row r="29">
          <cell r="O29">
            <v>-42641.985</v>
          </cell>
        </row>
        <row r="30">
          <cell r="O30">
            <v>23192.098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>
        <row r="9">
          <cell r="C9">
            <v>45000</v>
          </cell>
        </row>
        <row r="9">
          <cell r="E9">
            <v>28078.257</v>
          </cell>
        </row>
        <row r="10">
          <cell r="C10">
            <v>16250</v>
          </cell>
        </row>
        <row r="10">
          <cell r="E10">
            <v>7350.513</v>
          </cell>
        </row>
        <row r="11">
          <cell r="C11">
            <v>2500</v>
          </cell>
        </row>
        <row r="11">
          <cell r="E11">
            <v>1776.726</v>
          </cell>
        </row>
        <row r="12">
          <cell r="C12">
            <v>0</v>
          </cell>
        </row>
        <row r="12">
          <cell r="E12">
            <v>0</v>
          </cell>
        </row>
        <row r="13">
          <cell r="C13">
            <v>8752.58</v>
          </cell>
        </row>
        <row r="13">
          <cell r="E13">
            <v>5415.747</v>
          </cell>
        </row>
        <row r="14">
          <cell r="C14">
            <v>8875</v>
          </cell>
        </row>
        <row r="14">
          <cell r="E14">
            <v>5404.592</v>
          </cell>
        </row>
        <row r="15">
          <cell r="C15">
            <v>29545</v>
          </cell>
        </row>
        <row r="15">
          <cell r="E15">
            <v>26414.453</v>
          </cell>
        </row>
        <row r="16">
          <cell r="C16">
            <v>13305.5</v>
          </cell>
        </row>
        <row r="16">
          <cell r="E16">
            <v>4542.29</v>
          </cell>
        </row>
        <row r="17">
          <cell r="C17">
            <v>44000</v>
          </cell>
        </row>
        <row r="17">
          <cell r="E17">
            <v>41380.572</v>
          </cell>
        </row>
        <row r="18">
          <cell r="C18">
            <v>0</v>
          </cell>
        </row>
        <row r="18">
          <cell r="E18">
            <v>0</v>
          </cell>
        </row>
        <row r="19">
          <cell r="C19">
            <v>3750</v>
          </cell>
        </row>
        <row r="19">
          <cell r="E19">
            <v>383.622</v>
          </cell>
        </row>
        <row r="20">
          <cell r="C20">
            <v>1602.701</v>
          </cell>
        </row>
        <row r="20">
          <cell r="E20">
            <v>1464.251</v>
          </cell>
        </row>
        <row r="21">
          <cell r="C21">
            <v>0</v>
          </cell>
        </row>
        <row r="21">
          <cell r="E21">
            <v>-765.961</v>
          </cell>
        </row>
        <row r="22">
          <cell r="C22">
            <v>0</v>
          </cell>
        </row>
        <row r="22">
          <cell r="E22">
            <v>-1010.956</v>
          </cell>
        </row>
        <row r="23">
          <cell r="C23">
            <v>1730.691</v>
          </cell>
        </row>
        <row r="23">
          <cell r="E23">
            <v>1730.691</v>
          </cell>
        </row>
        <row r="27">
          <cell r="E27">
            <v>-42641.985</v>
          </cell>
        </row>
        <row r="28">
          <cell r="E28">
            <v>23192.098</v>
          </cell>
        </row>
      </sheetData>
      <sheetData sheetId="3"/>
      <sheetData sheetId="4"/>
      <sheetData sheetId="5">
        <row r="9">
          <cell r="E9">
            <v>6903.119</v>
          </cell>
        </row>
        <row r="10">
          <cell r="E10">
            <v>5110.533</v>
          </cell>
        </row>
        <row r="11">
          <cell r="E11">
            <v>348.209</v>
          </cell>
        </row>
        <row r="12">
          <cell r="E12">
            <v>0</v>
          </cell>
        </row>
        <row r="13">
          <cell r="E13">
            <v>1560.081</v>
          </cell>
        </row>
        <row r="14">
          <cell r="E14">
            <v>2517.066</v>
          </cell>
        </row>
        <row r="15">
          <cell r="E15">
            <v>1849.136</v>
          </cell>
        </row>
        <row r="16">
          <cell r="E16">
            <v>7322.176</v>
          </cell>
        </row>
        <row r="17">
          <cell r="E17">
            <v>1430.25</v>
          </cell>
        </row>
        <row r="18">
          <cell r="E18">
            <v>0</v>
          </cell>
        </row>
        <row r="19">
          <cell r="E19">
            <v>1542.486</v>
          </cell>
        </row>
        <row r="20">
          <cell r="E20">
            <v>138.45</v>
          </cell>
        </row>
        <row r="21">
          <cell r="E21">
            <v>695.867</v>
          </cell>
        </row>
        <row r="22">
          <cell r="E22">
            <v>537.204</v>
          </cell>
        </row>
        <row r="26">
          <cell r="E26">
            <v>42641.985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22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23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24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25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26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2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56"/>
    <col collapsed="false" customWidth="true" hidden="false" outlineLevel="0" max="2" min="2" style="1" width="10.99"/>
    <col collapsed="false" customWidth="true" hidden="false" outlineLevel="0" max="3" min="3" style="1" width="10.71"/>
    <col collapsed="false" customWidth="true" hidden="false" outlineLevel="0" max="4" min="4" style="1" width="12.14"/>
    <col collapsed="false" customWidth="true" hidden="false" outlineLevel="0" max="5" min="5" style="1" width="10.99"/>
    <col collapsed="false" customWidth="true" hidden="false" outlineLevel="0" max="7" min="6" style="1" width="10.71"/>
    <col collapsed="false" customWidth="true" hidden="false" outlineLevel="0" max="8" min="8" style="2" width="24.13"/>
    <col collapsed="false" customWidth="true" hidden="false" outlineLevel="0" max="9" min="9" style="1" width="10.85"/>
    <col collapsed="false" customWidth="true" hidden="false" outlineLevel="0" max="10" min="10" style="1" width="10.71"/>
    <col collapsed="false" customWidth="true" hidden="false" outlineLevel="0" max="11" min="11" style="1" width="12.56"/>
    <col collapsed="false" customWidth="true" hidden="false" outlineLevel="0" max="12" min="12" style="1" width="10.99"/>
    <col collapsed="false" customWidth="true" hidden="false" outlineLevel="0" max="14" min="13" style="1" width="10.71"/>
    <col collapsed="false" customWidth="true" hidden="false" outlineLevel="0" max="15" min="15" style="2" width="2.42"/>
    <col collapsed="false" customWidth="true" hidden="false" outlineLevel="0" max="16" min="16" style="1" width="10.99"/>
    <col collapsed="false" customWidth="true" hidden="false" outlineLevel="0" max="17" min="17" style="1" width="10.71"/>
    <col collapsed="false" customWidth="true" hidden="false" outlineLevel="0" max="18" min="18" style="1" width="12.42"/>
    <col collapsed="false" customWidth="true" hidden="false" outlineLevel="0" max="19" min="19" style="1" width="10.99"/>
    <col collapsed="false" customWidth="true" hidden="false" outlineLevel="0" max="21" min="20" style="1" width="10.71"/>
    <col collapsed="false" customWidth="true" hidden="false" outlineLevel="0" max="22" min="22" style="2" width="4.41"/>
    <col collapsed="false" customWidth="true" hidden="false" outlineLevel="0" max="23" min="23" style="1" width="10.99"/>
    <col collapsed="false" customWidth="true" hidden="false" outlineLevel="0" max="24" min="24" style="1" width="10.71"/>
    <col collapsed="false" customWidth="true" hidden="false" outlineLevel="0" max="25" min="25" style="1" width="12.85"/>
    <col collapsed="false" customWidth="true" hidden="false" outlineLevel="0" max="26" min="26" style="1" width="10.99"/>
    <col collapsed="false" customWidth="true" hidden="false" outlineLevel="0" max="27" min="27" style="1" width="10.71"/>
    <col collapsed="false" customWidth="true" hidden="false" outlineLevel="0" max="28" min="28" style="1" width="10.85"/>
    <col collapsed="false" customWidth="true" hidden="false" outlineLevel="0" max="29" min="29" style="2" width="2.7"/>
    <col collapsed="false" customWidth="true" hidden="false" outlineLevel="0" max="30" min="30" style="1" width="10.99"/>
    <col collapsed="false" customWidth="true" hidden="false" outlineLevel="0" max="31" min="31" style="1" width="10.71"/>
    <col collapsed="false" customWidth="true" hidden="false" outlineLevel="0" max="32" min="32" style="1" width="12.14"/>
    <col collapsed="false" customWidth="true" hidden="false" outlineLevel="0" max="33" min="33" style="1" width="10.99"/>
    <col collapsed="false" customWidth="true" hidden="false" outlineLevel="0" max="34" min="34" style="1" width="10.71"/>
    <col collapsed="false" customWidth="true" hidden="false" outlineLevel="0" max="35" min="35" style="1" width="10.85"/>
    <col collapsed="false" customWidth="false" hidden="false" outlineLevel="0" max="36" min="36" style="1" width="9.14"/>
    <col collapsed="false" customWidth="true" hidden="false" outlineLevel="0" max="37" min="37" style="1" width="31.7"/>
    <col collapsed="false" customWidth="true" hidden="false" outlineLevel="0" max="38" min="38" style="1" width="10.99"/>
    <col collapsed="false" customWidth="false" hidden="false" outlineLevel="0" max="39" min="39" style="1" width="9.14"/>
    <col collapsed="false" customWidth="true" hidden="false" outlineLevel="0" max="40" min="40" style="1" width="10.99"/>
    <col collapsed="false" customWidth="false" hidden="false" outlineLevel="0" max="41" min="41" style="1" width="9.14"/>
    <col collapsed="false" customWidth="true" hidden="false" outlineLevel="0" max="42" min="42" style="1" width="10.99"/>
    <col collapsed="false" customWidth="false" hidden="false" outlineLevel="0" max="43" min="43" style="1" width="9.14"/>
    <col collapsed="false" customWidth="true" hidden="false" outlineLevel="0" max="44" min="44" style="1" width="10.99"/>
    <col collapsed="false" customWidth="false" hidden="false" outlineLevel="0" max="45" min="45" style="1" width="9.14"/>
    <col collapsed="false" customWidth="true" hidden="false" outlineLevel="0" max="46" min="46" style="1" width="10.99"/>
    <col collapsed="false" customWidth="false" hidden="false" outlineLevel="0" max="47" min="47" style="1" width="9.14"/>
    <col collapsed="false" customWidth="true" hidden="false" outlineLevel="0" max="48" min="48" style="1" width="10.99"/>
    <col collapsed="false" customWidth="false" hidden="false" outlineLevel="0" max="49" min="49" style="1" width="9.14"/>
    <col collapsed="false" customWidth="true" hidden="false" outlineLevel="0" max="50" min="50" style="1" width="10.99"/>
    <col collapsed="false" customWidth="false" hidden="false" outlineLevel="0" max="51" min="51" style="1" width="9.14"/>
    <col collapsed="false" customWidth="true" hidden="false" outlineLevel="0" max="52" min="52" style="1" width="10.99"/>
    <col collapsed="false" customWidth="false" hidden="false" outlineLevel="0" max="53" min="53" style="1" width="9.14"/>
    <col collapsed="false" customWidth="true" hidden="false" outlineLevel="0" max="54" min="54" style="1" width="10.99"/>
    <col collapsed="false" customWidth="false" hidden="false" outlineLevel="0" max="55" min="55" style="1" width="9.14"/>
    <col collapsed="false" customWidth="true" hidden="false" outlineLevel="0" max="56" min="56" style="1" width="10.99"/>
    <col collapsed="false" customWidth="false" hidden="false" outlineLevel="0" max="57" min="57" style="1" width="9.14"/>
    <col collapsed="false" customWidth="true" hidden="false" outlineLevel="0" max="58" min="58" style="1" width="10.99"/>
    <col collapsed="false" customWidth="false" hidden="false" outlineLevel="0" max="59" min="59" style="1" width="9.14"/>
    <col collapsed="false" customWidth="true" hidden="false" outlineLevel="0" max="60" min="60" style="1" width="10.99"/>
    <col collapsed="false" customWidth="false" hidden="false" outlineLevel="0" max="257" min="61" style="1" width="9.14"/>
  </cols>
  <sheetData>
    <row r="1" customFormat="false" ht="19.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4" t="s">
        <v>1</v>
      </c>
      <c r="J1" s="4"/>
      <c r="K1" s="4"/>
      <c r="L1" s="4"/>
      <c r="M1" s="4"/>
      <c r="N1" s="4"/>
      <c r="O1" s="5"/>
      <c r="P1" s="4" t="s">
        <v>2</v>
      </c>
      <c r="Q1" s="4"/>
      <c r="R1" s="4"/>
      <c r="S1" s="4"/>
      <c r="T1" s="4"/>
      <c r="U1" s="4"/>
      <c r="V1" s="5"/>
      <c r="W1" s="4" t="s">
        <v>3</v>
      </c>
      <c r="X1" s="4"/>
      <c r="Y1" s="4"/>
      <c r="Z1" s="4"/>
      <c r="AA1" s="4"/>
      <c r="AB1" s="4"/>
      <c r="AC1" s="5"/>
      <c r="AD1" s="4" t="s">
        <v>4</v>
      </c>
      <c r="AE1" s="4"/>
      <c r="AF1" s="4"/>
      <c r="AG1" s="4"/>
      <c r="AH1" s="4"/>
      <c r="AI1" s="4"/>
      <c r="AJ1" s="6"/>
      <c r="AK1" s="7" t="s">
        <v>5</v>
      </c>
      <c r="AM1" s="8"/>
      <c r="AN1" s="8"/>
      <c r="AO1" s="8"/>
      <c r="AP1" s="8"/>
      <c r="AQ1" s="8"/>
      <c r="AX1" s="9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" hidden="false" customHeight="false" outlineLevel="0" collapsed="false">
      <c r="B2" s="10" t="s">
        <v>6</v>
      </c>
      <c r="C2" s="10" t="s">
        <v>7</v>
      </c>
      <c r="D2" s="10" t="s">
        <v>8</v>
      </c>
      <c r="E2" s="11" t="s">
        <v>6</v>
      </c>
      <c r="F2" s="11" t="s">
        <v>7</v>
      </c>
      <c r="G2" s="11" t="s">
        <v>9</v>
      </c>
      <c r="H2" s="12"/>
      <c r="I2" s="10" t="s">
        <v>6</v>
      </c>
      <c r="J2" s="10" t="s">
        <v>7</v>
      </c>
      <c r="K2" s="10" t="s">
        <v>8</v>
      </c>
      <c r="L2" s="11" t="s">
        <v>6</v>
      </c>
      <c r="M2" s="11" t="s">
        <v>7</v>
      </c>
      <c r="N2" s="11" t="s">
        <v>9</v>
      </c>
      <c r="O2" s="12"/>
      <c r="P2" s="10" t="s">
        <v>6</v>
      </c>
      <c r="Q2" s="10" t="s">
        <v>7</v>
      </c>
      <c r="R2" s="10" t="s">
        <v>8</v>
      </c>
      <c r="S2" s="11" t="s">
        <v>6</v>
      </c>
      <c r="T2" s="11" t="s">
        <v>7</v>
      </c>
      <c r="U2" s="11" t="s">
        <v>9</v>
      </c>
      <c r="V2" s="12"/>
      <c r="W2" s="10" t="s">
        <v>6</v>
      </c>
      <c r="X2" s="10" t="s">
        <v>7</v>
      </c>
      <c r="Y2" s="10" t="s">
        <v>8</v>
      </c>
      <c r="Z2" s="11" t="s">
        <v>6</v>
      </c>
      <c r="AA2" s="11" t="s">
        <v>7</v>
      </c>
      <c r="AB2" s="11" t="s">
        <v>9</v>
      </c>
      <c r="AC2" s="12"/>
      <c r="AD2" s="10" t="s">
        <v>6</v>
      </c>
      <c r="AE2" s="10" t="s">
        <v>10</v>
      </c>
      <c r="AF2" s="10" t="s">
        <v>8</v>
      </c>
      <c r="AG2" s="11" t="s">
        <v>6</v>
      </c>
      <c r="AH2" s="11" t="s">
        <v>7</v>
      </c>
      <c r="AI2" s="11" t="s">
        <v>9</v>
      </c>
      <c r="AK2" s="13"/>
      <c r="AL2" s="14" t="s">
        <v>11</v>
      </c>
      <c r="AM2" s="15" t="s">
        <v>12</v>
      </c>
      <c r="AN2" s="16" t="s">
        <v>11</v>
      </c>
      <c r="AO2" s="15" t="s">
        <v>12</v>
      </c>
      <c r="AP2" s="16" t="s">
        <v>11</v>
      </c>
      <c r="AQ2" s="15" t="s">
        <v>12</v>
      </c>
      <c r="AR2" s="14" t="s">
        <v>11</v>
      </c>
      <c r="AS2" s="15" t="s">
        <v>12</v>
      </c>
      <c r="AT2" s="16" t="s">
        <v>11</v>
      </c>
      <c r="AU2" s="15" t="s">
        <v>12</v>
      </c>
      <c r="AV2" s="16" t="s">
        <v>11</v>
      </c>
      <c r="AW2" s="15" t="s">
        <v>12</v>
      </c>
      <c r="AX2" s="16" t="s">
        <v>11</v>
      </c>
      <c r="AY2" s="15" t="s">
        <v>12</v>
      </c>
      <c r="AZ2" s="16" t="s">
        <v>11</v>
      </c>
      <c r="BA2" s="15" t="s">
        <v>12</v>
      </c>
      <c r="BB2" s="16" t="s">
        <v>11</v>
      </c>
      <c r="BC2" s="15" t="s">
        <v>12</v>
      </c>
      <c r="BD2" s="16" t="s">
        <v>11</v>
      </c>
      <c r="BE2" s="15" t="s">
        <v>12</v>
      </c>
      <c r="BF2" s="16" t="s">
        <v>11</v>
      </c>
      <c r="BG2" s="15" t="s">
        <v>12</v>
      </c>
      <c r="BH2" s="16" t="s">
        <v>11</v>
      </c>
      <c r="BI2" s="15" t="s">
        <v>12</v>
      </c>
      <c r="BJ2" s="8"/>
      <c r="BK2" s="8"/>
      <c r="BL2" s="8"/>
      <c r="BM2" s="8"/>
    </row>
    <row r="3" customFormat="false" ht="13.5" hidden="false" customHeight="false" outlineLevel="0" collapsed="false">
      <c r="A3" s="17" t="s">
        <v>13</v>
      </c>
      <c r="B3" s="18" t="n">
        <f aca="false">+B16</f>
        <v>61.971161</v>
      </c>
      <c r="C3" s="18" t="n">
        <f aca="false">+C16</f>
        <v>7.068216</v>
      </c>
      <c r="D3" s="18" t="n">
        <f aca="false">+D16</f>
        <v>46.3071115</v>
      </c>
      <c r="E3" s="19" t="n">
        <f aca="false">+E16</f>
        <v>40</v>
      </c>
      <c r="F3" s="19" t="n">
        <f aca="false">+F16</f>
        <v>6.76777</v>
      </c>
      <c r="G3" s="20" t="n">
        <f aca="false">+G16</f>
        <v>23.249788</v>
      </c>
      <c r="H3" s="17" t="s">
        <v>13</v>
      </c>
      <c r="I3" s="18" t="n">
        <f aca="false">+I16</f>
        <v>32.796825</v>
      </c>
      <c r="J3" s="18" t="n">
        <f aca="false">+J16</f>
        <v>6.834695</v>
      </c>
      <c r="K3" s="18" t="n">
        <f aca="false">+K16</f>
        <v>17.788538</v>
      </c>
      <c r="L3" s="19" t="n">
        <f aca="false">+L16</f>
        <v>32.5</v>
      </c>
      <c r="M3" s="19" t="n">
        <f aca="false">+M16</f>
        <v>6.994313</v>
      </c>
      <c r="N3" s="20" t="n">
        <f aca="false">+N16</f>
        <v>15.526516</v>
      </c>
      <c r="O3" s="21"/>
      <c r="P3" s="18" t="n">
        <f aca="false">+P16</f>
        <v>-16.135789</v>
      </c>
      <c r="Q3" s="18" t="n">
        <f aca="false">+Q16</f>
        <v>7.980981</v>
      </c>
      <c r="R3" s="18" t="n">
        <f aca="false">+R16</f>
        <v>13.858068</v>
      </c>
      <c r="S3" s="19" t="n">
        <f aca="false">+S16</f>
        <v>32.5</v>
      </c>
      <c r="T3" s="19" t="n">
        <f aca="false">+T16</f>
        <v>6.913332</v>
      </c>
      <c r="U3" s="20" t="n">
        <f aca="false">+U16</f>
        <v>15.606718</v>
      </c>
      <c r="V3" s="21"/>
      <c r="W3" s="18" t="n">
        <f aca="false">+W16</f>
        <v>-51.497476</v>
      </c>
      <c r="X3" s="18" t="n">
        <f aca="false">+X16</f>
        <v>6.903119</v>
      </c>
      <c r="Y3" s="22" t="n">
        <f aca="false">+Y16</f>
        <v>-68.419219</v>
      </c>
      <c r="Z3" s="19" t="n">
        <f aca="false">+Z16</f>
        <v>45</v>
      </c>
      <c r="AA3" s="19" t="n">
        <f aca="false">+AA16</f>
        <v>6.903119</v>
      </c>
      <c r="AB3" s="20" t="n">
        <f aca="false">+AB16</f>
        <v>28.078257</v>
      </c>
      <c r="AC3" s="21"/>
      <c r="AD3" s="18" t="n">
        <f aca="false">+B3+I3+P3+W3</f>
        <v>27.134721</v>
      </c>
      <c r="AE3" s="18" t="n">
        <f aca="false">+C3+J3+Q3+X3</f>
        <v>28.787011</v>
      </c>
      <c r="AF3" s="18" t="n">
        <f aca="false">+D3+K3+R3+Y3</f>
        <v>9.5344985</v>
      </c>
      <c r="AG3" s="19" t="n">
        <f aca="false">+E3+L3+S3+Z3</f>
        <v>150</v>
      </c>
      <c r="AH3" s="19" t="n">
        <f aca="false">+F3+M3+T3+AA3</f>
        <v>27.578534</v>
      </c>
      <c r="AI3" s="20" t="n">
        <f aca="false">+G3+N3+U3+AB3</f>
        <v>82.461279</v>
      </c>
      <c r="AL3" s="23" t="s">
        <v>14</v>
      </c>
      <c r="AM3" s="24"/>
      <c r="AN3" s="25" t="s">
        <v>15</v>
      </c>
      <c r="AO3" s="24"/>
      <c r="AP3" s="25" t="s">
        <v>16</v>
      </c>
      <c r="AQ3" s="24"/>
      <c r="AR3" s="26" t="s">
        <v>17</v>
      </c>
      <c r="AS3" s="24"/>
      <c r="AT3" s="25" t="s">
        <v>18</v>
      </c>
      <c r="AU3" s="24"/>
      <c r="AV3" s="25" t="s">
        <v>19</v>
      </c>
      <c r="AW3" s="24"/>
      <c r="AX3" s="25" t="s">
        <v>20</v>
      </c>
      <c r="AY3" s="24"/>
      <c r="AZ3" s="25" t="s">
        <v>21</v>
      </c>
      <c r="BA3" s="24"/>
      <c r="BB3" s="25" t="s">
        <v>22</v>
      </c>
      <c r="BC3" s="24"/>
      <c r="BD3" s="25" t="s">
        <v>23</v>
      </c>
      <c r="BE3" s="24"/>
      <c r="BF3" s="25" t="s">
        <v>24</v>
      </c>
      <c r="BG3" s="24"/>
      <c r="BH3" s="25" t="s">
        <v>25</v>
      </c>
      <c r="BI3" s="24"/>
      <c r="BJ3" s="8"/>
      <c r="BK3" s="8"/>
      <c r="BL3" s="8"/>
      <c r="BM3" s="8"/>
    </row>
    <row r="4" customFormat="false" ht="12.75" hidden="false" customHeight="false" outlineLevel="0" collapsed="false">
      <c r="A4" s="17" t="s">
        <v>26</v>
      </c>
      <c r="B4" s="18" t="n">
        <f aca="false">+B17+B18</f>
        <v>14.04090233</v>
      </c>
      <c r="C4" s="18" t="n">
        <f aca="false">+C17+C18</f>
        <v>4.155486</v>
      </c>
      <c r="D4" s="18" t="n">
        <f aca="false">+D17+D18</f>
        <v>5.95682733</v>
      </c>
      <c r="E4" s="19" t="n">
        <f aca="false">+E17+E18</f>
        <v>18.75</v>
      </c>
      <c r="F4" s="19" t="n">
        <f aca="false">+F17+F18</f>
        <v>5.226712</v>
      </c>
      <c r="G4" s="20" t="n">
        <f aca="false">+G17+G18</f>
        <v>9.252878</v>
      </c>
      <c r="H4" s="17" t="s">
        <v>26</v>
      </c>
      <c r="I4" s="18" t="n">
        <f aca="false">+I17+I18</f>
        <v>26.21452352</v>
      </c>
      <c r="J4" s="18" t="n">
        <f aca="false">+J17+J18</f>
        <v>4.315036</v>
      </c>
      <c r="K4" s="18" t="n">
        <f aca="false">+K17+K18</f>
        <v>17.96685752</v>
      </c>
      <c r="L4" s="19" t="n">
        <f aca="false">+L17+L18</f>
        <v>18.75</v>
      </c>
      <c r="M4" s="19" t="n">
        <f aca="false">+M17+M18</f>
        <v>5.360991</v>
      </c>
      <c r="N4" s="20" t="n">
        <f aca="false">+N17+N18</f>
        <v>9.221984</v>
      </c>
      <c r="O4" s="21"/>
      <c r="P4" s="18" t="n">
        <f aca="false">+P17+P18</f>
        <v>32.464047</v>
      </c>
      <c r="Q4" s="18" t="n">
        <f aca="false">+Q17+Q18</f>
        <v>5.139563</v>
      </c>
      <c r="R4" s="18" t="n">
        <f aca="false">+R17+R18</f>
        <v>21.846978</v>
      </c>
      <c r="S4" s="19" t="n">
        <f aca="false">+S17+S18</f>
        <v>18.75</v>
      </c>
      <c r="T4" s="19" t="n">
        <f aca="false">+T17+T18</f>
        <v>5.45285</v>
      </c>
      <c r="U4" s="20" t="n">
        <f aca="false">+U17+U18</f>
        <v>9.126459</v>
      </c>
      <c r="V4" s="21"/>
      <c r="W4" s="18" t="n">
        <f aca="false">+W17+W18</f>
        <v>6.613635</v>
      </c>
      <c r="X4" s="18" t="n">
        <f aca="false">+X17+X18</f>
        <v>5.458742</v>
      </c>
      <c r="Y4" s="22" t="n">
        <f aca="false">+Y17+Y18</f>
        <v>-3.009126</v>
      </c>
      <c r="Z4" s="19" t="n">
        <f aca="false">+Z17+Z18</f>
        <v>18.75</v>
      </c>
      <c r="AA4" s="19" t="n">
        <f aca="false">+AA17+AA18</f>
        <v>5.458742</v>
      </c>
      <c r="AB4" s="20" t="n">
        <f aca="false">+AB17+AB18</f>
        <v>9.127239</v>
      </c>
      <c r="AC4" s="21"/>
      <c r="AD4" s="18" t="n">
        <f aca="false">+B4+I4+P4+W4</f>
        <v>79.33310785</v>
      </c>
      <c r="AE4" s="18" t="n">
        <f aca="false">+C4+J4+Q4+X4</f>
        <v>19.068827</v>
      </c>
      <c r="AF4" s="18" t="n">
        <f aca="false">+D4+K4+R4+Y4</f>
        <v>42.76153685</v>
      </c>
      <c r="AG4" s="19" t="n">
        <f aca="false">+E4+L4+S4+Z4</f>
        <v>75</v>
      </c>
      <c r="AH4" s="19" t="n">
        <f aca="false">+F4+M4+T4+AA4</f>
        <v>21.499295</v>
      </c>
      <c r="AI4" s="20" t="n">
        <f aca="false">+G4+N4+U4+AB4</f>
        <v>36.72856</v>
      </c>
      <c r="AK4" s="9" t="s">
        <v>13</v>
      </c>
      <c r="AL4" s="1" t="n">
        <f aca="false">+AL19</f>
        <v>112</v>
      </c>
      <c r="AM4" s="8" t="n">
        <f aca="false">+AM19</f>
        <v>117</v>
      </c>
      <c r="AN4" s="8" t="n">
        <f aca="false">+AN19</f>
        <v>111</v>
      </c>
      <c r="AO4" s="8" t="n">
        <f aca="false">+AO19</f>
        <v>117</v>
      </c>
      <c r="AP4" s="8" t="n">
        <f aca="false">+AP19</f>
        <v>111.5</v>
      </c>
      <c r="AQ4" s="8" t="n">
        <f aca="false">+AQ19</f>
        <v>117</v>
      </c>
      <c r="AR4" s="8" t="n">
        <f aca="false">+AR19</f>
        <v>110.5</v>
      </c>
      <c r="AS4" s="8" t="n">
        <f aca="false">+AS19</f>
        <v>118</v>
      </c>
      <c r="AT4" s="8" t="n">
        <f aca="false">+AT19</f>
        <v>105</v>
      </c>
      <c r="AU4" s="8" t="n">
        <f aca="false">+AU19</f>
        <v>118</v>
      </c>
      <c r="AV4" s="8" t="n">
        <f aca="false">+AV19</f>
        <v>111</v>
      </c>
      <c r="AW4" s="8" t="n">
        <f aca="false">+AW19</f>
        <v>118</v>
      </c>
      <c r="AX4" s="8" t="n">
        <f aca="false">+AX19</f>
        <v>126</v>
      </c>
      <c r="AY4" s="8" t="n">
        <f aca="false">+AY19</f>
        <v>119</v>
      </c>
      <c r="AZ4" s="8" t="n">
        <f aca="false">+AZ19</f>
        <v>131</v>
      </c>
      <c r="BA4" s="8" t="n">
        <f aca="false">+BA19</f>
        <v>119</v>
      </c>
      <c r="BB4" s="8" t="n">
        <f aca="false">+BB19</f>
        <v>132</v>
      </c>
      <c r="BC4" s="8" t="n">
        <f aca="false">+BC19</f>
        <v>119</v>
      </c>
      <c r="BD4" s="8" t="n">
        <f aca="false">+BD19</f>
        <v>143</v>
      </c>
      <c r="BE4" s="8" t="n">
        <f aca="false">+BE19</f>
        <v>119</v>
      </c>
      <c r="BF4" s="27"/>
      <c r="BG4" s="8" t="n">
        <f aca="false">+BG19</f>
        <v>119</v>
      </c>
      <c r="BH4" s="8"/>
      <c r="BI4" s="8" t="n">
        <f aca="false">+BI19</f>
        <v>119</v>
      </c>
      <c r="BJ4" s="8"/>
      <c r="BK4" s="8"/>
      <c r="BL4" s="8"/>
      <c r="BM4" s="8"/>
    </row>
    <row r="5" customFormat="false" ht="12.75" hidden="false" customHeight="false" outlineLevel="0" collapsed="false">
      <c r="A5" s="17" t="s">
        <v>27</v>
      </c>
      <c r="B5" s="18" t="n">
        <f aca="false">+B19</f>
        <v>8.725</v>
      </c>
      <c r="C5" s="18" t="n">
        <f aca="false">+C19</f>
        <v>1.721372</v>
      </c>
      <c r="D5" s="18" t="n">
        <f aca="false">+D19</f>
        <v>5.839069</v>
      </c>
      <c r="E5" s="19" t="n">
        <f aca="false">+E19</f>
        <v>8.509251</v>
      </c>
      <c r="F5" s="19" t="n">
        <f aca="false">+F19</f>
        <v>1.808523</v>
      </c>
      <c r="G5" s="20" t="n">
        <f aca="false">+G19</f>
        <v>4.460982</v>
      </c>
      <c r="H5" s="17" t="s">
        <v>27</v>
      </c>
      <c r="I5" s="18" t="n">
        <f aca="false">+I19</f>
        <v>8.858</v>
      </c>
      <c r="J5" s="18" t="n">
        <f aca="false">+J19</f>
        <v>1.489305</v>
      </c>
      <c r="K5" s="18" t="n">
        <f aca="false">+K19</f>
        <v>6.646931</v>
      </c>
      <c r="L5" s="19" t="n">
        <f aca="false">+L19</f>
        <v>7.078819</v>
      </c>
      <c r="M5" s="19" t="n">
        <f aca="false">+M19</f>
        <v>1.463007</v>
      </c>
      <c r="N5" s="20" t="n">
        <f aca="false">+N19</f>
        <v>3.838187</v>
      </c>
      <c r="O5" s="21"/>
      <c r="P5" s="18" t="n">
        <f aca="false">+P19</f>
        <v>8.926</v>
      </c>
      <c r="Q5" s="18" t="n">
        <f aca="false">+Q19</f>
        <v>2.560499</v>
      </c>
      <c r="R5" s="18" t="n">
        <f aca="false">+R19</f>
        <v>5.161736</v>
      </c>
      <c r="S5" s="19" t="n">
        <f aca="false">+S19</f>
        <v>8.659352</v>
      </c>
      <c r="T5" s="19" t="n">
        <f aca="false">+T19</f>
        <v>1.527724</v>
      </c>
      <c r="U5" s="20" t="n">
        <f aca="false">+U19</f>
        <v>5.352897</v>
      </c>
      <c r="V5" s="21"/>
      <c r="W5" s="18" t="n">
        <f aca="false">+W19</f>
        <v>-9.47</v>
      </c>
      <c r="X5" s="18" t="n">
        <f aca="false">+X19</f>
        <v>1.860081</v>
      </c>
      <c r="Y5" s="22" t="n">
        <f aca="false">+Y19</f>
        <v>-13.106833</v>
      </c>
      <c r="Z5" s="19" t="n">
        <f aca="false">+Z19</f>
        <v>8.75258</v>
      </c>
      <c r="AA5" s="19" t="n">
        <f aca="false">+AA19</f>
        <v>1.560081</v>
      </c>
      <c r="AB5" s="20" t="n">
        <f aca="false">+AB19</f>
        <v>5.415747</v>
      </c>
      <c r="AC5" s="21"/>
      <c r="AD5" s="18" t="n">
        <f aca="false">+B5+I5+P5+W5</f>
        <v>17.039</v>
      </c>
      <c r="AE5" s="18" t="n">
        <f aca="false">+C5+J5+Q5+X5</f>
        <v>7.631257</v>
      </c>
      <c r="AF5" s="18" t="n">
        <f aca="false">+D5+K5+R5+Y5</f>
        <v>4.540903</v>
      </c>
      <c r="AG5" s="19" t="n">
        <f aca="false">+E5+L5+S5+Z5</f>
        <v>33.000002</v>
      </c>
      <c r="AH5" s="19" t="n">
        <f aca="false">+F5+M5+T5+AA5</f>
        <v>6.359335</v>
      </c>
      <c r="AI5" s="20" t="n">
        <f aca="false">+G5+N5+U5+AB5</f>
        <v>19.067813</v>
      </c>
      <c r="AK5" s="9" t="s">
        <v>28</v>
      </c>
      <c r="AL5" s="8" t="n">
        <f aca="false">+AL20+AL21</f>
        <v>66</v>
      </c>
      <c r="AM5" s="8" t="n">
        <f aca="false">+AM20+AM21</f>
        <v>85</v>
      </c>
      <c r="AN5" s="8" t="n">
        <f aca="false">+AN20+AN21</f>
        <v>65</v>
      </c>
      <c r="AO5" s="8" t="n">
        <f aca="false">+AO20+AO21</f>
        <v>85</v>
      </c>
      <c r="AP5" s="8" t="n">
        <f aca="false">+AP20+AP21</f>
        <v>65</v>
      </c>
      <c r="AQ5" s="8" t="n">
        <f aca="false">+AQ20+AQ21</f>
        <v>85</v>
      </c>
      <c r="AR5" s="8" t="n">
        <f aca="false">+AR20+AR21</f>
        <v>65</v>
      </c>
      <c r="AS5" s="8" t="n">
        <f aca="false">+AS20+AS21</f>
        <v>87</v>
      </c>
      <c r="AT5" s="8" t="n">
        <f aca="false">+AT20+AT21</f>
        <v>71</v>
      </c>
      <c r="AU5" s="8" t="n">
        <f aca="false">+AU20+AU21</f>
        <v>86</v>
      </c>
      <c r="AV5" s="8" t="n">
        <f aca="false">+AV20+AV21</f>
        <v>68</v>
      </c>
      <c r="AW5" s="8" t="n">
        <f aca="false">+AW20+AW21</f>
        <v>87</v>
      </c>
      <c r="AX5" s="8" t="n">
        <f aca="false">+AX20+AX21</f>
        <v>73</v>
      </c>
      <c r="AY5" s="8" t="n">
        <f aca="false">+AY20+AY21</f>
        <v>88</v>
      </c>
      <c r="AZ5" s="8" t="n">
        <f aca="false">+AZ20+AZ21</f>
        <v>81</v>
      </c>
      <c r="BA5" s="8" t="n">
        <f aca="false">+BA20+BA21</f>
        <v>88</v>
      </c>
      <c r="BB5" s="8" t="n">
        <f aca="false">+BB20+BB21</f>
        <v>82</v>
      </c>
      <c r="BC5" s="8" t="n">
        <f aca="false">+BC20+BC21</f>
        <v>88</v>
      </c>
      <c r="BD5" s="8" t="n">
        <f aca="false">+BD20+BD21</f>
        <v>96</v>
      </c>
      <c r="BE5" s="8" t="n">
        <f aca="false">+BE20+BE21</f>
        <v>88</v>
      </c>
      <c r="BF5" s="8"/>
      <c r="BG5" s="8" t="n">
        <f aca="false">+BG20+BG21</f>
        <v>88</v>
      </c>
      <c r="BH5" s="8"/>
      <c r="BI5" s="8" t="n">
        <f aca="false">+BI20+BI21</f>
        <v>88</v>
      </c>
      <c r="BJ5" s="8"/>
      <c r="BK5" s="8"/>
      <c r="BL5" s="8"/>
      <c r="BM5" s="8"/>
    </row>
    <row r="6" customFormat="false" ht="12.75" hidden="false" customHeight="false" outlineLevel="0" collapsed="false">
      <c r="A6" s="17" t="s">
        <v>29</v>
      </c>
      <c r="B6" s="18" t="n">
        <f aca="false">+B20</f>
        <v>1.67201528</v>
      </c>
      <c r="C6" s="18" t="n">
        <f aca="false">+C20</f>
        <v>0.790135</v>
      </c>
      <c r="D6" s="18" t="n">
        <f aca="false">+D20</f>
        <v>0.33799628</v>
      </c>
      <c r="E6" s="19" t="n">
        <f aca="false">+E20</f>
        <v>4.875</v>
      </c>
      <c r="F6" s="19" t="n">
        <f aca="false">+F20</f>
        <v>1.802648</v>
      </c>
      <c r="G6" s="20" t="n">
        <f aca="false">+G20</f>
        <v>2.259021</v>
      </c>
      <c r="H6" s="17" t="s">
        <v>29</v>
      </c>
      <c r="I6" s="18" t="n">
        <f aca="false">+I20</f>
        <v>2.550569</v>
      </c>
      <c r="J6" s="18" t="n">
        <f aca="false">+J20</f>
        <v>1.299411</v>
      </c>
      <c r="K6" s="18" t="n">
        <f aca="false">+K20</f>
        <v>0.604991</v>
      </c>
      <c r="L6" s="19" t="n">
        <f aca="false">+L20</f>
        <v>11.875</v>
      </c>
      <c r="M6" s="19" t="n">
        <f aca="false">+M20</f>
        <v>2.304122</v>
      </c>
      <c r="N6" s="20" t="n">
        <f aca="false">+N20</f>
        <v>8.615186</v>
      </c>
      <c r="O6" s="21"/>
      <c r="P6" s="18" t="n">
        <f aca="false">+P20</f>
        <v>0.996886</v>
      </c>
      <c r="Q6" s="18" t="n">
        <f aca="false">+Q20</f>
        <v>2.093127</v>
      </c>
      <c r="R6" s="18" t="n">
        <f aca="false">+R20</f>
        <v>-1.683844</v>
      </c>
      <c r="S6" s="19" t="n">
        <f aca="false">+S20</f>
        <v>11.875</v>
      </c>
      <c r="T6" s="19" t="n">
        <f aca="false">+T20</f>
        <v>2.517066</v>
      </c>
      <c r="U6" s="20" t="n">
        <f aca="false">+U20</f>
        <v>8.401542</v>
      </c>
      <c r="V6" s="21"/>
      <c r="W6" s="18" t="n">
        <f aca="false">+W20</f>
        <v>0.858427</v>
      </c>
      <c r="X6" s="18" t="n">
        <f aca="false">+X20</f>
        <v>2.517066</v>
      </c>
      <c r="Y6" s="22" t="n">
        <f aca="false">+Y20</f>
        <v>-2.611981</v>
      </c>
      <c r="Z6" s="19" t="n">
        <f aca="false">+Z20</f>
        <v>8.875</v>
      </c>
      <c r="AA6" s="19" t="n">
        <f aca="false">+AA20</f>
        <v>2.517066</v>
      </c>
      <c r="AB6" s="20" t="n">
        <f aca="false">+AB20</f>
        <v>5.404592</v>
      </c>
      <c r="AC6" s="21"/>
      <c r="AD6" s="18" t="n">
        <f aca="false">+B6+I6+P6+W6</f>
        <v>6.07789728</v>
      </c>
      <c r="AE6" s="18" t="n">
        <f aca="false">+C6+J6+Q6+X6</f>
        <v>6.699739</v>
      </c>
      <c r="AF6" s="18" t="n">
        <f aca="false">+D6+K6+R6+Y6</f>
        <v>-3.35283772</v>
      </c>
      <c r="AG6" s="19" t="n">
        <f aca="false">+E6+L6+S6+Z6</f>
        <v>37.5</v>
      </c>
      <c r="AH6" s="19" t="n">
        <f aca="false">+F6+M6+T6+AA6</f>
        <v>9.140902</v>
      </c>
      <c r="AI6" s="20" t="n">
        <f aca="false">+G6+N6+U6+AB6</f>
        <v>24.680341</v>
      </c>
      <c r="AK6" s="9" t="s">
        <v>27</v>
      </c>
      <c r="AL6" s="9" t="n">
        <f aca="false">+AL22</f>
        <v>27</v>
      </c>
      <c r="AM6" s="8" t="n">
        <f aca="false">+AM22</f>
        <v>32</v>
      </c>
      <c r="AN6" s="9" t="n">
        <f aca="false">+AN22</f>
        <v>19</v>
      </c>
      <c r="AO6" s="8" t="n">
        <f aca="false">+AO22</f>
        <v>32</v>
      </c>
      <c r="AP6" s="9" t="n">
        <f aca="false">+AP22</f>
        <v>21</v>
      </c>
      <c r="AQ6" s="8" t="n">
        <f aca="false">+AQ22</f>
        <v>32</v>
      </c>
      <c r="AR6" s="9" t="n">
        <f aca="false">+AR22</f>
        <v>23</v>
      </c>
      <c r="AS6" s="8" t="n">
        <f aca="false">+AS22</f>
        <v>24</v>
      </c>
      <c r="AT6" s="9" t="n">
        <f aca="false">+AT22</f>
        <v>27</v>
      </c>
      <c r="AU6" s="8" t="n">
        <f aca="false">+AU22</f>
        <v>24</v>
      </c>
      <c r="AV6" s="9" t="n">
        <f aca="false">+AV22</f>
        <v>25</v>
      </c>
      <c r="AW6" s="8" t="n">
        <f aca="false">+AW22</f>
        <v>24</v>
      </c>
      <c r="AX6" s="9" t="n">
        <f aca="false">+AX22</f>
        <v>31</v>
      </c>
      <c r="AY6" s="8" t="n">
        <f aca="false">+AY22</f>
        <v>24</v>
      </c>
      <c r="AZ6" s="9" t="n">
        <f aca="false">+AZ22</f>
        <v>34</v>
      </c>
      <c r="BA6" s="8" t="n">
        <f aca="false">+BA22</f>
        <v>26</v>
      </c>
      <c r="BB6" s="9" t="n">
        <f aca="false">+BB22</f>
        <v>44</v>
      </c>
      <c r="BC6" s="8" t="n">
        <f aca="false">+BC22</f>
        <v>26</v>
      </c>
      <c r="BD6" s="9" t="n">
        <f aca="false">+BD22</f>
        <v>48</v>
      </c>
      <c r="BE6" s="8" t="n">
        <f aca="false">+BE22</f>
        <v>26</v>
      </c>
      <c r="BF6" s="8"/>
      <c r="BG6" s="8" t="n">
        <f aca="false">+BG22</f>
        <v>26</v>
      </c>
      <c r="BH6" s="8"/>
      <c r="BI6" s="8" t="n">
        <f aca="false">+BI22</f>
        <v>26</v>
      </c>
      <c r="BJ6" s="8"/>
      <c r="BK6" s="8"/>
      <c r="BL6" s="8"/>
      <c r="BM6" s="8"/>
    </row>
    <row r="7" customFormat="false" ht="12.75" hidden="false" customHeight="false" outlineLevel="0" collapsed="false">
      <c r="A7" s="17" t="s">
        <v>30</v>
      </c>
      <c r="B7" s="18" t="n">
        <f aca="false">+B21</f>
        <v>13.281757</v>
      </c>
      <c r="C7" s="18" t="n">
        <f aca="false">+C21</f>
        <v>2.364778</v>
      </c>
      <c r="D7" s="18" t="n">
        <f aca="false">+D21</f>
        <v>9.464195</v>
      </c>
      <c r="E7" s="19" t="n">
        <f aca="false">+E21</f>
        <v>20</v>
      </c>
      <c r="F7" s="19" t="n">
        <f aca="false">+F21</f>
        <v>3.467386</v>
      </c>
      <c r="G7" s="20" t="n">
        <f aca="false">+G21</f>
        <v>14.454606</v>
      </c>
      <c r="H7" s="17" t="s">
        <v>30</v>
      </c>
      <c r="I7" s="18" t="n">
        <f aca="false">+I21</f>
        <v>17.176</v>
      </c>
      <c r="J7" s="18" t="n">
        <f aca="false">+J21</f>
        <v>2.295727</v>
      </c>
      <c r="K7" s="18" t="n">
        <f aca="false">+K21</f>
        <v>13.173132</v>
      </c>
      <c r="L7" s="19" t="n">
        <f aca="false">+L21</f>
        <v>27.5</v>
      </c>
      <c r="M7" s="19" t="n">
        <f aca="false">+M21</f>
        <v>3.742616</v>
      </c>
      <c r="N7" s="20" t="n">
        <f aca="false">+N21</f>
        <v>21.486755</v>
      </c>
      <c r="O7" s="21"/>
      <c r="P7" s="18" t="n">
        <f aca="false">+P21</f>
        <v>5.72145</v>
      </c>
      <c r="Q7" s="18" t="n">
        <f aca="false">+Q21</f>
        <v>3.047825</v>
      </c>
      <c r="R7" s="18" t="n">
        <f aca="false">+R21</f>
        <v>1.42898</v>
      </c>
      <c r="S7" s="19" t="n">
        <f aca="false">+S21</f>
        <v>27.37</v>
      </c>
      <c r="T7" s="19" t="n">
        <f aca="false">+T21</f>
        <v>3.320448</v>
      </c>
      <c r="U7" s="20" t="n">
        <f aca="false">+U21</f>
        <v>21.837183</v>
      </c>
      <c r="V7" s="21"/>
      <c r="W7" s="18" t="n">
        <f aca="false">+W21</f>
        <v>3.316</v>
      </c>
      <c r="X7" s="18" t="n">
        <f aca="false">+X21</f>
        <v>1.849136</v>
      </c>
      <c r="Y7" s="22" t="n">
        <f aca="false">+Y21</f>
        <v>0.185453</v>
      </c>
      <c r="Z7" s="19" t="n">
        <f aca="false">+Z21</f>
        <v>29.545</v>
      </c>
      <c r="AA7" s="19" t="n">
        <f aca="false">+AA21</f>
        <v>1.849136</v>
      </c>
      <c r="AB7" s="20" t="n">
        <f aca="false">+AB21</f>
        <v>26.414453</v>
      </c>
      <c r="AC7" s="21"/>
      <c r="AD7" s="18" t="n">
        <f aca="false">+B7+I7+P7+W7</f>
        <v>39.495207</v>
      </c>
      <c r="AE7" s="18" t="n">
        <f aca="false">+C7+J7+Q7+X7</f>
        <v>9.557466</v>
      </c>
      <c r="AF7" s="18" t="n">
        <f aca="false">+D7+K7+R7+Y7</f>
        <v>24.25176</v>
      </c>
      <c r="AG7" s="19" t="n">
        <f aca="false">+E7+L7+S7+Z7</f>
        <v>104.415</v>
      </c>
      <c r="AH7" s="19" t="n">
        <f aca="false">+F7+M7+T7+AA7</f>
        <v>12.379586</v>
      </c>
      <c r="AI7" s="20" t="n">
        <f aca="false">+G7+N7+U7+AB7</f>
        <v>84.192997</v>
      </c>
      <c r="AK7" s="9" t="s">
        <v>31</v>
      </c>
      <c r="AL7" s="9" t="n">
        <f aca="false">+AL23</f>
        <v>15</v>
      </c>
      <c r="AM7" s="8" t="n">
        <f aca="false">+AM23</f>
        <v>26</v>
      </c>
      <c r="AN7" s="9" t="n">
        <f aca="false">+AN23</f>
        <v>17</v>
      </c>
      <c r="AO7" s="8" t="n">
        <f aca="false">+AO23</f>
        <v>26</v>
      </c>
      <c r="AP7" s="9" t="n">
        <f aca="false">+AP23</f>
        <v>18</v>
      </c>
      <c r="AQ7" s="8" t="n">
        <f aca="false">+AQ23</f>
        <v>26</v>
      </c>
      <c r="AR7" s="9" t="n">
        <f aca="false">+AR23</f>
        <v>18</v>
      </c>
      <c r="AS7" s="8" t="n">
        <f aca="false">+AS23</f>
        <v>36</v>
      </c>
      <c r="AT7" s="9" t="n">
        <f aca="false">+AT23</f>
        <v>18</v>
      </c>
      <c r="AU7" s="8" t="n">
        <f aca="false">+AU23</f>
        <v>36</v>
      </c>
      <c r="AV7" s="9" t="n">
        <f aca="false">+AV23</f>
        <v>15</v>
      </c>
      <c r="AW7" s="8" t="n">
        <f aca="false">+AW23</f>
        <v>40</v>
      </c>
      <c r="AX7" s="9" t="n">
        <f aca="false">+AX23</f>
        <v>16</v>
      </c>
      <c r="AY7" s="8" t="n">
        <f aca="false">+AY23</f>
        <v>42</v>
      </c>
      <c r="AZ7" s="9" t="n">
        <f aca="false">+AZ23</f>
        <v>15</v>
      </c>
      <c r="BA7" s="8" t="n">
        <f aca="false">+BA23</f>
        <v>42</v>
      </c>
      <c r="BB7" s="9" t="n">
        <f aca="false">+BB23</f>
        <v>13</v>
      </c>
      <c r="BC7" s="8" t="n">
        <f aca="false">+BC23</f>
        <v>42</v>
      </c>
      <c r="BD7" s="9" t="n">
        <f aca="false">+BD23</f>
        <v>30</v>
      </c>
      <c r="BE7" s="8" t="n">
        <f aca="false">+BE23</f>
        <v>42</v>
      </c>
      <c r="BF7" s="8"/>
      <c r="BG7" s="8" t="n">
        <f aca="false">+BG23</f>
        <v>42</v>
      </c>
      <c r="BH7" s="8"/>
      <c r="BI7" s="8" t="n">
        <f aca="false">+BI23</f>
        <v>42</v>
      </c>
      <c r="BJ7" s="8"/>
      <c r="BK7" s="8"/>
      <c r="BL7" s="8"/>
      <c r="BM7" s="8"/>
    </row>
    <row r="8" customFormat="false" ht="12.75" hidden="false" customHeight="false" outlineLevel="0" collapsed="false">
      <c r="A8" s="17" t="s">
        <v>32</v>
      </c>
      <c r="B8" s="18" t="n">
        <f aca="false">+B22</f>
        <v>0.040954</v>
      </c>
      <c r="C8" s="18" t="n">
        <f aca="false">+C22</f>
        <v>1.615797</v>
      </c>
      <c r="D8" s="18" t="n">
        <f aca="false">+D22</f>
        <v>-1.843474</v>
      </c>
      <c r="E8" s="19" t="n">
        <f aca="false">+E22</f>
        <v>0.5</v>
      </c>
      <c r="F8" s="19" t="n">
        <f aca="false">+F22</f>
        <v>1.555606</v>
      </c>
      <c r="G8" s="20" t="n">
        <f aca="false">+G22</f>
        <v>-1.244696</v>
      </c>
      <c r="H8" s="17" t="s">
        <v>32</v>
      </c>
      <c r="I8" s="18" t="n">
        <f aca="false">+I22</f>
        <v>1.648452</v>
      </c>
      <c r="J8" s="18" t="n">
        <f aca="false">+J22</f>
        <v>4.582465</v>
      </c>
      <c r="K8" s="18" t="n">
        <f aca="false">+K22</f>
        <v>-3.767201</v>
      </c>
      <c r="L8" s="19" t="n">
        <f aca="false">+L22</f>
        <v>1.311</v>
      </c>
      <c r="M8" s="19" t="n">
        <f aca="false">+M22</f>
        <v>4.356818</v>
      </c>
      <c r="N8" s="20" t="n">
        <f aca="false">+N22</f>
        <v>-3.623711</v>
      </c>
      <c r="O8" s="21"/>
      <c r="P8" s="18" t="n">
        <f aca="false">+P22</f>
        <v>1.26649</v>
      </c>
      <c r="Q8" s="18" t="n">
        <f aca="false">+Q22</f>
        <v>3.683199</v>
      </c>
      <c r="R8" s="18" t="n">
        <f aca="false">+R22</f>
        <v>-4.15813</v>
      </c>
      <c r="S8" s="19" t="n">
        <f aca="false">+S22</f>
        <v>5.705</v>
      </c>
      <c r="T8" s="19" t="n">
        <f aca="false">+T22</f>
        <v>4.625078</v>
      </c>
      <c r="U8" s="20" t="n">
        <f aca="false">+U22</f>
        <v>0.246839999999999</v>
      </c>
      <c r="V8" s="21"/>
      <c r="W8" s="18" t="n">
        <f aca="false">+W22</f>
        <v>-0.152096</v>
      </c>
      <c r="X8" s="18" t="n">
        <f aca="false">+X22</f>
        <v>7.322176</v>
      </c>
      <c r="Y8" s="22" t="n">
        <f aca="false">+Y22</f>
        <v>-8.915306</v>
      </c>
      <c r="Z8" s="19" t="n">
        <f aca="false">+Z22</f>
        <v>13.3055</v>
      </c>
      <c r="AA8" s="19" t="n">
        <f aca="false">+AA22</f>
        <v>7.322176</v>
      </c>
      <c r="AB8" s="20" t="n">
        <f aca="false">+AB22</f>
        <v>4.54229</v>
      </c>
      <c r="AC8" s="21"/>
      <c r="AD8" s="18" t="n">
        <f aca="false">+B8+I8+P8+W8</f>
        <v>2.8038</v>
      </c>
      <c r="AE8" s="18" t="n">
        <f aca="false">+C8+J8+Q8+X8</f>
        <v>17.203637</v>
      </c>
      <c r="AF8" s="18" t="n">
        <f aca="false">+D8+K8+R8+Y8</f>
        <v>-18.684111</v>
      </c>
      <c r="AG8" s="19" t="n">
        <f aca="false">+E8+L8+S8+Z8</f>
        <v>20.8215</v>
      </c>
      <c r="AH8" s="20" t="n">
        <f aca="false">+F8+M8+T8+AA8</f>
        <v>17.859678</v>
      </c>
      <c r="AI8" s="20" t="n">
        <f aca="false">+G8+N8+U8+AB8</f>
        <v>-0.0792769999999985</v>
      </c>
      <c r="AK8" s="9" t="s">
        <v>33</v>
      </c>
      <c r="AL8" s="9" t="n">
        <f aca="false">+AL29</f>
        <v>40</v>
      </c>
      <c r="AM8" s="9" t="n">
        <f aca="false">+AM29</f>
        <v>54</v>
      </c>
      <c r="AN8" s="9" t="n">
        <f aca="false">+AN29</f>
        <v>42</v>
      </c>
      <c r="AO8" s="9" t="n">
        <f aca="false">+AO29</f>
        <v>54</v>
      </c>
      <c r="AP8" s="9" t="n">
        <f aca="false">+AP29</f>
        <v>41</v>
      </c>
      <c r="AQ8" s="9" t="n">
        <f aca="false">+AQ29</f>
        <v>54</v>
      </c>
      <c r="AR8" s="9" t="n">
        <f aca="false">+AR29</f>
        <v>41</v>
      </c>
      <c r="AS8" s="9" t="n">
        <f aca="false">+AS29</f>
        <v>54</v>
      </c>
      <c r="AT8" s="9" t="n">
        <f aca="false">+AT29</f>
        <v>46</v>
      </c>
      <c r="AU8" s="9" t="n">
        <f aca="false">+AU29</f>
        <v>54</v>
      </c>
      <c r="AV8" s="9" t="n">
        <f aca="false">+AV29</f>
        <v>48</v>
      </c>
      <c r="AW8" s="9" t="n">
        <f aca="false">+AW29</f>
        <v>54</v>
      </c>
      <c r="AX8" s="9" t="n">
        <f aca="false">+AX29</f>
        <v>46</v>
      </c>
      <c r="AY8" s="9" t="n">
        <f aca="false">+AY29</f>
        <v>54</v>
      </c>
      <c r="AZ8" s="9" t="n">
        <f aca="false">+AZ29</f>
        <v>41</v>
      </c>
      <c r="BA8" s="9" t="n">
        <f aca="false">+BA29</f>
        <v>54</v>
      </c>
      <c r="BB8" s="9" t="n">
        <f aca="false">+BB29</f>
        <v>38</v>
      </c>
      <c r="BC8" s="9" t="n">
        <f aca="false">+BC29</f>
        <v>54</v>
      </c>
      <c r="BD8" s="9" t="n">
        <f aca="false">+BD29</f>
        <v>34</v>
      </c>
      <c r="BE8" s="9" t="n">
        <f aca="false">+BE29</f>
        <v>54</v>
      </c>
      <c r="BF8" s="8"/>
      <c r="BG8" s="9" t="n">
        <f aca="false">+BG29</f>
        <v>54</v>
      </c>
      <c r="BH8" s="8"/>
      <c r="BI8" s="9" t="n">
        <f aca="false">+BI29</f>
        <v>54</v>
      </c>
      <c r="BJ8" s="8"/>
      <c r="BK8" s="8"/>
      <c r="BL8" s="8"/>
      <c r="BM8" s="8"/>
    </row>
    <row r="9" customFormat="false" ht="12.75" hidden="false" customHeight="false" outlineLevel="0" collapsed="false">
      <c r="A9" s="17" t="s">
        <v>34</v>
      </c>
      <c r="B9" s="18" t="n">
        <f aca="false">+B23+B24</f>
        <v>0.720312</v>
      </c>
      <c r="C9" s="18" t="n">
        <f aca="false">+C23+C24</f>
        <v>3.191993</v>
      </c>
      <c r="D9" s="18" t="n">
        <f aca="false">+D23+D24</f>
        <v>-4.04427</v>
      </c>
      <c r="E9" s="19" t="n">
        <f aca="false">+E23+E24</f>
        <v>2.141499</v>
      </c>
      <c r="F9" s="19" t="n">
        <f aca="false">+F23+F24</f>
        <v>1.702792</v>
      </c>
      <c r="G9" s="20" t="n">
        <f aca="false">+G23+G24</f>
        <v>-1.334631</v>
      </c>
      <c r="H9" s="17" t="s">
        <v>34</v>
      </c>
      <c r="I9" s="18" t="n">
        <f aca="false">+I23+I24</f>
        <v>2.833069</v>
      </c>
      <c r="J9" s="18" t="n">
        <f aca="false">+J23+J24</f>
        <v>5.807146</v>
      </c>
      <c r="K9" s="18" t="n">
        <f aca="false">+K23+K24</f>
        <v>-4.531543</v>
      </c>
      <c r="L9" s="19" t="n">
        <f aca="false">+L23+L24</f>
        <v>6.372499</v>
      </c>
      <c r="M9" s="19" t="n">
        <f aca="false">+M23+M24</f>
        <v>1.732531</v>
      </c>
      <c r="N9" s="20" t="n">
        <f aca="false">+N23+N24</f>
        <v>2.875057</v>
      </c>
      <c r="O9" s="21"/>
      <c r="P9" s="18" t="n">
        <f aca="false">+P23+P24</f>
        <v>1.574353</v>
      </c>
      <c r="Q9" s="18" t="n">
        <f aca="false">+Q23+Q24</f>
        <v>6.143468</v>
      </c>
      <c r="R9" s="18" t="n">
        <f aca="false">+R23+R24</f>
        <v>-5.75662</v>
      </c>
      <c r="S9" s="19" t="n">
        <f aca="false">+S23+S24</f>
        <v>8</v>
      </c>
      <c r="T9" s="19" t="n">
        <f aca="false">+T23+T24</f>
        <v>1.43025</v>
      </c>
      <c r="U9" s="20" t="n">
        <f aca="false">+U23+U24</f>
        <v>5.376787</v>
      </c>
      <c r="V9" s="21"/>
      <c r="W9" s="18" t="n">
        <f aca="false">+W23+W24</f>
        <v>2.321</v>
      </c>
      <c r="X9" s="18" t="n">
        <f aca="false">+X23+X24</f>
        <v>6.27025</v>
      </c>
      <c r="Y9" s="22" t="n">
        <f aca="false">+Y23+Y24</f>
        <v>-5.138428</v>
      </c>
      <c r="Z9" s="19" t="n">
        <f aca="false">+Z23+Z24</f>
        <v>44</v>
      </c>
      <c r="AA9" s="19" t="n">
        <f aca="false">+AA23+AA24</f>
        <v>1.43025</v>
      </c>
      <c r="AB9" s="20" t="n">
        <f aca="false">+AB23+AB24</f>
        <v>41.380572</v>
      </c>
      <c r="AC9" s="21"/>
      <c r="AD9" s="18" t="n">
        <f aca="false">+B9+I9+P9+W9</f>
        <v>7.448734</v>
      </c>
      <c r="AE9" s="18" t="n">
        <f aca="false">+C9+J9+Q9+X9</f>
        <v>21.412857</v>
      </c>
      <c r="AF9" s="18" t="n">
        <f aca="false">+D9+K9+R9+Y9</f>
        <v>-19.470861</v>
      </c>
      <c r="AG9" s="19" t="n">
        <f aca="false">+E9+L9+S9+Z9</f>
        <v>60.513998</v>
      </c>
      <c r="AH9" s="20" t="n">
        <f aca="false">+F9+M9+T9+AA9</f>
        <v>6.295823</v>
      </c>
      <c r="AI9" s="20" t="n">
        <f aca="false">+G9+N9+U9+AB9</f>
        <v>48.297785</v>
      </c>
      <c r="AK9" s="9" t="s">
        <v>32</v>
      </c>
      <c r="AL9" s="9" t="n">
        <f aca="false">+AL24</f>
        <v>7</v>
      </c>
      <c r="AM9" s="8" t="n">
        <f aca="false">+AM24</f>
        <v>6</v>
      </c>
      <c r="AN9" s="9" t="n">
        <f aca="false">+AN24</f>
        <v>8</v>
      </c>
      <c r="AO9" s="8" t="n">
        <f aca="false">+AO24</f>
        <v>6</v>
      </c>
      <c r="AP9" s="9" t="n">
        <f aca="false">+AP24</f>
        <v>20</v>
      </c>
      <c r="AQ9" s="8" t="n">
        <f aca="false">+AQ24</f>
        <v>20</v>
      </c>
      <c r="AR9" s="9" t="n">
        <f aca="false">+AR24</f>
        <v>22</v>
      </c>
      <c r="AS9" s="8" t="n">
        <f aca="false">+AS24</f>
        <v>37</v>
      </c>
      <c r="AT9" s="9" t="n">
        <f aca="false">+AT24</f>
        <v>57</v>
      </c>
      <c r="AU9" s="8" t="n">
        <f aca="false">+AU24</f>
        <v>37</v>
      </c>
      <c r="AV9" s="9" t="n">
        <f aca="false">+AV24</f>
        <v>42</v>
      </c>
      <c r="AW9" s="8" t="n">
        <f aca="false">+AW24</f>
        <v>37</v>
      </c>
      <c r="AX9" s="9" t="n">
        <f aca="false">+AX24</f>
        <v>51</v>
      </c>
      <c r="AY9" s="8" t="n">
        <f aca="false">+AY24</f>
        <v>63</v>
      </c>
      <c r="AZ9" s="9" t="n">
        <f aca="false">+AZ24</f>
        <v>55</v>
      </c>
      <c r="BA9" s="8" t="n">
        <f aca="false">+BA24</f>
        <v>63</v>
      </c>
      <c r="BB9" s="9" t="n">
        <f aca="false">+BB24</f>
        <v>62</v>
      </c>
      <c r="BC9" s="8" t="n">
        <f aca="false">+BC24</f>
        <v>63</v>
      </c>
      <c r="BD9" s="9" t="n">
        <f aca="false">+BD24</f>
        <v>62</v>
      </c>
      <c r="BE9" s="8" t="n">
        <f aca="false">+BE24</f>
        <v>92</v>
      </c>
      <c r="BF9" s="8"/>
      <c r="BG9" s="8" t="n">
        <f aca="false">+BG24</f>
        <v>92</v>
      </c>
      <c r="BH9" s="8"/>
      <c r="BI9" s="8" t="n">
        <f aca="false">+BI24</f>
        <v>92</v>
      </c>
      <c r="BJ9" s="8"/>
      <c r="BK9" s="8"/>
      <c r="BL9" s="8"/>
      <c r="BM9" s="8"/>
    </row>
    <row r="10" customFormat="false" ht="12.75" hidden="false" customHeight="false" outlineLevel="0" collapsed="false">
      <c r="A10" s="17" t="s">
        <v>35</v>
      </c>
      <c r="B10" s="18"/>
      <c r="C10" s="18"/>
      <c r="D10" s="18"/>
      <c r="E10" s="19"/>
      <c r="F10" s="19"/>
      <c r="G10" s="20"/>
      <c r="H10" s="17" t="s">
        <v>35</v>
      </c>
      <c r="I10" s="18"/>
      <c r="J10" s="18"/>
      <c r="K10" s="18"/>
      <c r="L10" s="19"/>
      <c r="M10" s="19"/>
      <c r="N10" s="20"/>
      <c r="O10" s="21"/>
      <c r="P10" s="18" t="n">
        <f aca="false">+P25</f>
        <v>0.000849</v>
      </c>
      <c r="Q10" s="18" t="n">
        <f aca="false">+Q25</f>
        <v>0.930877</v>
      </c>
      <c r="R10" s="18" t="n">
        <f aca="false">+R25</f>
        <v>-2.53091</v>
      </c>
      <c r="S10" s="19" t="n">
        <f aca="false">+S25</f>
        <v>3.75</v>
      </c>
      <c r="T10" s="19" t="n">
        <f aca="false">+T25</f>
        <v>1.542486</v>
      </c>
      <c r="U10" s="20" t="n">
        <f aca="false">+U25</f>
        <v>0.383622</v>
      </c>
      <c r="V10" s="21"/>
      <c r="W10" s="18" t="n">
        <f aca="false">+W25</f>
        <v>0.001476</v>
      </c>
      <c r="X10" s="18" t="n">
        <f aca="false">+X25</f>
        <v>1.542486</v>
      </c>
      <c r="Y10" s="22" t="n">
        <f aca="false">+Y25</f>
        <v>-3.364902</v>
      </c>
      <c r="Z10" s="19" t="n">
        <f aca="false">+Z25</f>
        <v>3.75</v>
      </c>
      <c r="AA10" s="19" t="n">
        <f aca="false">+AA25</f>
        <v>1.542486</v>
      </c>
      <c r="AB10" s="20" t="n">
        <f aca="false">+AB25</f>
        <v>0.383622</v>
      </c>
      <c r="AC10" s="21"/>
      <c r="AD10" s="18" t="n">
        <f aca="false">+B10+I10+P10+W10</f>
        <v>0.002325</v>
      </c>
      <c r="AE10" s="18" t="n">
        <f aca="false">+C10+J10+Q10+X10</f>
        <v>2.473363</v>
      </c>
      <c r="AF10" s="18" t="n">
        <f aca="false">+D10+K10+R10+Y10</f>
        <v>-5.895812</v>
      </c>
      <c r="AG10" s="19" t="n">
        <f aca="false">+E10+L10+S10+Z10</f>
        <v>7.5</v>
      </c>
      <c r="AH10" s="20" t="n">
        <f aca="false">+F10+M10+T10+AA10</f>
        <v>3.084972</v>
      </c>
      <c r="AI10" s="20" t="n">
        <f aca="false">+G10+N10+U10+AB10</f>
        <v>0.767244</v>
      </c>
      <c r="AK10" s="9" t="s">
        <v>36</v>
      </c>
      <c r="AL10" s="9" t="n">
        <f aca="false">+AL26+AL27+AL28</f>
        <v>58</v>
      </c>
      <c r="AM10" s="9" t="n">
        <f aca="false">+AM26+AM27+AM28</f>
        <v>72</v>
      </c>
      <c r="AN10" s="9" t="n">
        <f aca="false">+AN26+AN27+AN28</f>
        <v>56</v>
      </c>
      <c r="AO10" s="9" t="n">
        <f aca="false">+AO26+AO27+AO28</f>
        <v>72</v>
      </c>
      <c r="AP10" s="9" t="n">
        <f aca="false">+AP26+AP27+AP28</f>
        <v>57.5</v>
      </c>
      <c r="AQ10" s="9" t="n">
        <f aca="false">+AQ26+AQ27+AQ28</f>
        <v>73</v>
      </c>
      <c r="AR10" s="9" t="n">
        <f aca="false">+AR26+AR27+AR28</f>
        <v>39.5</v>
      </c>
      <c r="AS10" s="9" t="n">
        <f aca="false">+AS26+AS27+AS28</f>
        <v>51</v>
      </c>
      <c r="AT10" s="9" t="n">
        <f aca="false">+AT26+AT27+AT28</f>
        <v>41</v>
      </c>
      <c r="AU10" s="9" t="n">
        <f aca="false">+AU26+AU27+AU28</f>
        <v>51</v>
      </c>
      <c r="AV10" s="9" t="n">
        <f aca="false">+AV26+AV27+AV28</f>
        <v>37</v>
      </c>
      <c r="AW10" s="9" t="n">
        <f aca="false">+AW26+AW27+AW28</f>
        <v>53</v>
      </c>
      <c r="AX10" s="9" t="n">
        <f aca="false">+AX26+AX27+AX28</f>
        <v>35</v>
      </c>
      <c r="AY10" s="9" t="n">
        <f aca="false">+AY26+AY27+AY28</f>
        <v>44</v>
      </c>
      <c r="AZ10" s="9" t="n">
        <f aca="false">+AZ26+AZ27+AZ28</f>
        <v>36</v>
      </c>
      <c r="BA10" s="9" t="n">
        <f aca="false">+BA26+BA27+BA28</f>
        <v>44</v>
      </c>
      <c r="BB10" s="9" t="n">
        <f aca="false">+BB26+BB27+BB28</f>
        <v>34</v>
      </c>
      <c r="BC10" s="9" t="n">
        <f aca="false">+BC26+BC27+BC28</f>
        <v>44</v>
      </c>
      <c r="BD10" s="9" t="n">
        <f aca="false">+BD26+BD27+BD28</f>
        <v>38</v>
      </c>
      <c r="BE10" s="9" t="n">
        <f aca="false">+BE26+BE27+BE28</f>
        <v>44</v>
      </c>
      <c r="BF10" s="8"/>
      <c r="BG10" s="9" t="n">
        <f aca="false">+BG26+BG27+BG28</f>
        <v>44</v>
      </c>
      <c r="BH10" s="8"/>
      <c r="BI10" s="9" t="n">
        <f aca="false">+BI26+BI27+BI28</f>
        <v>44</v>
      </c>
      <c r="BJ10" s="8"/>
      <c r="BK10" s="8"/>
      <c r="BL10" s="8"/>
      <c r="BM10" s="8"/>
    </row>
    <row r="11" customFormat="false" ht="13.5" hidden="false" customHeight="false" outlineLevel="0" collapsed="false">
      <c r="A11" s="28" t="s">
        <v>37</v>
      </c>
      <c r="B11" s="18" t="n">
        <f aca="false">+B26</f>
        <v>0.215968</v>
      </c>
      <c r="C11" s="18" t="n">
        <f aca="false">+C26</f>
        <v>33.163512</v>
      </c>
      <c r="D11" s="18" t="n">
        <f aca="false">+D26</f>
        <v>-15.7017925</v>
      </c>
      <c r="E11" s="19" t="n">
        <f aca="false">+E26</f>
        <v>2.523</v>
      </c>
      <c r="F11" s="19" t="n">
        <f aca="false">+F26</f>
        <v>29.978773</v>
      </c>
      <c r="G11" s="20" t="n">
        <f aca="false">+G26</f>
        <v>-6.109408</v>
      </c>
      <c r="H11" s="28" t="s">
        <v>38</v>
      </c>
      <c r="I11" s="18" t="n">
        <f aca="false">+I26</f>
        <v>2.131763</v>
      </c>
      <c r="J11" s="18" t="n">
        <f aca="false">+J26</f>
        <v>33.355591</v>
      </c>
      <c r="K11" s="18" t="n">
        <f aca="false">+K26</f>
        <v>-13.751741</v>
      </c>
      <c r="L11" s="19" t="n">
        <f aca="false">+L26</f>
        <v>6.216104</v>
      </c>
      <c r="M11" s="19" t="n">
        <f aca="false">+M26</f>
        <v>29.624557</v>
      </c>
      <c r="N11" s="20" t="n">
        <f aca="false">+N26</f>
        <v>-1.91598299999999</v>
      </c>
      <c r="O11" s="21"/>
      <c r="P11" s="18" t="n">
        <f aca="false">+P26</f>
        <v>-3.775806</v>
      </c>
      <c r="Q11" s="18" t="n">
        <f aca="false">+Q26</f>
        <v>1.176195</v>
      </c>
      <c r="R11" s="18" t="n">
        <f aca="false">+R26</f>
        <v>-59.272212</v>
      </c>
      <c r="S11" s="19" t="n">
        <f aca="false">+S26</f>
        <v>7.203701</v>
      </c>
      <c r="T11" s="19" t="n">
        <f aca="false">+T26</f>
        <v>31.272688</v>
      </c>
      <c r="U11" s="20" t="n">
        <f aca="false">+U26</f>
        <v>-1.120917</v>
      </c>
      <c r="V11" s="21"/>
      <c r="W11" s="18" t="n">
        <f aca="false">+W26</f>
        <v>-28.853</v>
      </c>
      <c r="X11" s="18" t="n">
        <f aca="false">+X26</f>
        <v>1.371521</v>
      </c>
      <c r="Y11" s="22" t="n">
        <f aca="false">+Y26</f>
        <v>-50.218254</v>
      </c>
      <c r="Z11" s="19" t="n">
        <f aca="false">+Z26</f>
        <v>3.333392</v>
      </c>
      <c r="AA11" s="19" t="n">
        <f aca="false">+AA26</f>
        <v>44.013506</v>
      </c>
      <c r="AB11" s="20" t="n">
        <f aca="false">+AB26</f>
        <v>-18.031862</v>
      </c>
      <c r="AC11" s="21"/>
      <c r="AD11" s="18" t="n">
        <f aca="false">+B11+I11+P11+W11</f>
        <v>-30.281075</v>
      </c>
      <c r="AE11" s="18" t="n">
        <f aca="false">+C11+J11+Q11+X11</f>
        <v>69.066819</v>
      </c>
      <c r="AF11" s="18" t="n">
        <f aca="false">+D11+K11+R11+Y11</f>
        <v>-138.9439995</v>
      </c>
      <c r="AG11" s="19" t="n">
        <f aca="false">+E11+L11+S11+Z11</f>
        <v>19.276197</v>
      </c>
      <c r="AH11" s="19" t="n">
        <f aca="false">+F11+M11+T11+AA11</f>
        <v>134.889524</v>
      </c>
      <c r="AI11" s="20" t="n">
        <f aca="false">+G11+N11+U11+AB11</f>
        <v>-27.17817</v>
      </c>
      <c r="AK11" s="9" t="s">
        <v>35</v>
      </c>
      <c r="AL11" s="9" t="n">
        <f aca="false">+AL25</f>
        <v>0</v>
      </c>
      <c r="AM11" s="9" t="n">
        <f aca="false">+AM25</f>
        <v>0</v>
      </c>
      <c r="AN11" s="9" t="n">
        <f aca="false">+AN25</f>
        <v>0</v>
      </c>
      <c r="AO11" s="9" t="n">
        <f aca="false">+AO25</f>
        <v>0</v>
      </c>
      <c r="AP11" s="9" t="n">
        <f aca="false">+AP25</f>
        <v>0</v>
      </c>
      <c r="AQ11" s="9" t="n">
        <f aca="false">+AQ25</f>
        <v>0</v>
      </c>
      <c r="AR11" s="9" t="n">
        <f aca="false">+AR25</f>
        <v>0</v>
      </c>
      <c r="AS11" s="9" t="n">
        <f aca="false">+AS25</f>
        <v>0</v>
      </c>
      <c r="AT11" s="9" t="n">
        <f aca="false">+AT25</f>
        <v>0</v>
      </c>
      <c r="AU11" s="9" t="n">
        <f aca="false">+AU25</f>
        <v>0</v>
      </c>
      <c r="AV11" s="9" t="n">
        <f aca="false">+AV25</f>
        <v>0</v>
      </c>
      <c r="AW11" s="9" t="n">
        <f aca="false">+AW25</f>
        <v>0</v>
      </c>
      <c r="AX11" s="9" t="n">
        <f aca="false">+AX25</f>
        <v>19</v>
      </c>
      <c r="AY11" s="9" t="n">
        <f aca="false">+AY25</f>
        <v>24</v>
      </c>
      <c r="AZ11" s="9" t="n">
        <f aca="false">+AZ25</f>
        <v>19</v>
      </c>
      <c r="BA11" s="9" t="n">
        <f aca="false">+BA25</f>
        <v>24</v>
      </c>
      <c r="BB11" s="9" t="n">
        <f aca="false">+BB25</f>
        <v>18</v>
      </c>
      <c r="BC11" s="9" t="n">
        <f aca="false">+BC25</f>
        <v>24</v>
      </c>
      <c r="BD11" s="9" t="n">
        <f aca="false">+BD25</f>
        <v>18</v>
      </c>
      <c r="BE11" s="9" t="n">
        <f aca="false">+BE25</f>
        <v>27</v>
      </c>
      <c r="BF11" s="9"/>
      <c r="BG11" s="9" t="n">
        <f aca="false">+BG25</f>
        <v>27</v>
      </c>
      <c r="BH11" s="9"/>
      <c r="BI11" s="9" t="n">
        <f aca="false">+BI25</f>
        <v>27</v>
      </c>
      <c r="BJ11" s="8"/>
      <c r="BK11" s="8"/>
      <c r="BL11" s="8"/>
      <c r="BM11" s="8"/>
    </row>
    <row r="12" customFormat="false" ht="13.5" hidden="false" customHeight="false" outlineLevel="0" collapsed="false">
      <c r="A12" s="17" t="s">
        <v>39</v>
      </c>
      <c r="B12" s="29" t="n">
        <f aca="false">SUM(B3:B11)</f>
        <v>100.66806961</v>
      </c>
      <c r="C12" s="30" t="n">
        <f aca="false">SUM(C3:C11)</f>
        <v>54.071289</v>
      </c>
      <c r="D12" s="30" t="n">
        <f aca="false">SUM(D3:D11)</f>
        <v>46.31566261</v>
      </c>
      <c r="E12" s="31" t="n">
        <f aca="false">SUM(E3:E11)</f>
        <v>97.29875</v>
      </c>
      <c r="F12" s="31" t="n">
        <f aca="false">SUM(F3:F11)</f>
        <v>52.31021</v>
      </c>
      <c r="G12" s="32" t="n">
        <f aca="false">SUM(G3:G11)</f>
        <v>44.98854</v>
      </c>
      <c r="H12" s="17" t="s">
        <v>39</v>
      </c>
      <c r="I12" s="29" t="n">
        <f aca="false">SUM(I3:I11)</f>
        <v>94.20920152</v>
      </c>
      <c r="J12" s="30" t="n">
        <f aca="false">SUM(J3:J11)</f>
        <v>59.979376</v>
      </c>
      <c r="K12" s="30" t="n">
        <f aca="false">SUM(K3:K11)</f>
        <v>34.12996452</v>
      </c>
      <c r="L12" s="33" t="n">
        <f aca="false">SUM(L3:L11)</f>
        <v>111.603422</v>
      </c>
      <c r="M12" s="31" t="n">
        <f aca="false">SUM(M3:M11)</f>
        <v>55.578955</v>
      </c>
      <c r="N12" s="32" t="n">
        <f aca="false">SUM(N3:N11)</f>
        <v>56.023991</v>
      </c>
      <c r="O12" s="34"/>
      <c r="P12" s="29" t="n">
        <f aca="false">SUM(P3:P11)</f>
        <v>31.03848</v>
      </c>
      <c r="Q12" s="30" t="n">
        <f aca="false">SUM(Q3:Q11)</f>
        <v>32.755734</v>
      </c>
      <c r="R12" s="30" t="n">
        <f aca="false">SUM(R3:R11)</f>
        <v>-31.105954</v>
      </c>
      <c r="S12" s="33" t="n">
        <f aca="false">SUM(S3:S11)</f>
        <v>123.813053</v>
      </c>
      <c r="T12" s="31" t="n">
        <f aca="false">SUM(T3:T11)</f>
        <v>58.601922</v>
      </c>
      <c r="U12" s="32" t="n">
        <f aca="false">SUM(U3:U11)</f>
        <v>65.211131</v>
      </c>
      <c r="V12" s="34"/>
      <c r="W12" s="30" t="n">
        <f aca="false">SUM(W3:W11)</f>
        <v>-76.862034</v>
      </c>
      <c r="X12" s="35" t="n">
        <f aca="false">SUM(X3:X11)</f>
        <v>35.094577</v>
      </c>
      <c r="Y12" s="36" t="n">
        <f aca="false">SUM(Y3:Y11)</f>
        <v>-154.598596</v>
      </c>
      <c r="Z12" s="33" t="n">
        <f aca="false">SUM(Z3:Z11)</f>
        <v>175.311472</v>
      </c>
      <c r="AA12" s="31" t="n">
        <f aca="false">SUM(AA3:AA11)</f>
        <v>72.596562</v>
      </c>
      <c r="AB12" s="32" t="n">
        <f aca="false">SUM(AB3:AB11)</f>
        <v>102.71491</v>
      </c>
      <c r="AC12" s="21"/>
      <c r="AD12" s="29" t="n">
        <f aca="false">SUM(AD3:AD11)</f>
        <v>149.05371713</v>
      </c>
      <c r="AE12" s="30" t="n">
        <f aca="false">SUM(AE3:AE11)</f>
        <v>181.900976</v>
      </c>
      <c r="AF12" s="30" t="n">
        <f aca="false">SUM(AF3:AF11)</f>
        <v>-105.25892287</v>
      </c>
      <c r="AG12" s="33" t="n">
        <f aca="false">SUM(AG3:AG11)</f>
        <v>508.026697</v>
      </c>
      <c r="AH12" s="31" t="n">
        <f aca="false">SUM(AH3:AH11)</f>
        <v>239.087649</v>
      </c>
      <c r="AI12" s="32" t="n">
        <f aca="false">SUM(AI3:AI11)</f>
        <v>268.938572</v>
      </c>
      <c r="AK12" s="9" t="s">
        <v>40</v>
      </c>
      <c r="AL12" s="9" t="n">
        <f aca="false">+AL30</f>
        <v>220</v>
      </c>
      <c r="AM12" s="9" t="n">
        <f aca="false">+AM30</f>
        <v>230</v>
      </c>
      <c r="AN12" s="9" t="n">
        <f aca="false">+AN30</f>
        <v>233</v>
      </c>
      <c r="AO12" s="9" t="n">
        <f aca="false">+AO30</f>
        <v>228</v>
      </c>
      <c r="AP12" s="9" t="n">
        <f aca="false">+AP30</f>
        <v>228</v>
      </c>
      <c r="AQ12" s="9" t="n">
        <f aca="false">+AQ30</f>
        <v>228</v>
      </c>
      <c r="AR12" s="9" t="n">
        <f aca="false">+AR30</f>
        <v>145</v>
      </c>
      <c r="AS12" s="9" t="n">
        <f aca="false">+AS30</f>
        <v>106</v>
      </c>
      <c r="AT12" s="9" t="n">
        <f aca="false">+AT30</f>
        <v>158</v>
      </c>
      <c r="AU12" s="9" t="n">
        <f aca="false">+AU30</f>
        <v>118</v>
      </c>
      <c r="AV12" s="9" t="n">
        <f aca="false">+AV30</f>
        <v>151</v>
      </c>
      <c r="AW12" s="9" t="n">
        <f aca="false">+AW30</f>
        <v>120</v>
      </c>
      <c r="AX12" s="9" t="n">
        <f aca="false">+AX30</f>
        <v>144</v>
      </c>
      <c r="AY12" s="9" t="n">
        <f aca="false">+AY30</f>
        <v>120</v>
      </c>
      <c r="AZ12" s="9" t="n">
        <f aca="false">+AZ30</f>
        <v>141</v>
      </c>
      <c r="BA12" s="9" t="n">
        <f aca="false">+BA30</f>
        <v>120</v>
      </c>
      <c r="BB12" s="9" t="n">
        <f aca="false">+BB30</f>
        <v>138</v>
      </c>
      <c r="BC12" s="9" t="n">
        <f aca="false">+BC30</f>
        <v>118</v>
      </c>
      <c r="BD12" s="9" t="n">
        <f aca="false">+BD30</f>
        <v>165</v>
      </c>
      <c r="BE12" s="9" t="n">
        <f aca="false">+BE30</f>
        <v>118</v>
      </c>
      <c r="BF12" s="37"/>
      <c r="BG12" s="9" t="n">
        <f aca="false">+BG30</f>
        <v>118</v>
      </c>
      <c r="BH12" s="8"/>
      <c r="BI12" s="9" t="n">
        <f aca="false">+BI30</f>
        <v>118</v>
      </c>
      <c r="BJ12" s="8"/>
      <c r="BK12" s="8"/>
      <c r="BL12" s="8"/>
      <c r="BM12" s="8"/>
    </row>
    <row r="13" customFormat="false" ht="12.75" hidden="false" customHeight="false" outlineLevel="0" collapsed="false">
      <c r="A13" s="9"/>
      <c r="B13" s="21"/>
      <c r="C13" s="21"/>
      <c r="D13" s="21"/>
      <c r="E13" s="21"/>
      <c r="F13" s="21"/>
      <c r="G13" s="21"/>
      <c r="H13" s="9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34"/>
      <c r="AD13" s="21"/>
      <c r="AE13" s="21"/>
      <c r="AF13" s="21"/>
      <c r="AG13" s="21"/>
      <c r="AH13" s="21"/>
      <c r="AI13" s="21"/>
      <c r="AK13" s="7" t="s">
        <v>41</v>
      </c>
      <c r="AL13" s="7" t="n">
        <f aca="false">SUM(AL4:AL12)</f>
        <v>545</v>
      </c>
      <c r="AM13" s="37" t="n">
        <f aca="false">SUM(AM4:AM12)</f>
        <v>622</v>
      </c>
      <c r="AN13" s="37" t="n">
        <f aca="false">SUM(AN4:AN12)</f>
        <v>551</v>
      </c>
      <c r="AO13" s="37" t="n">
        <f aca="false">SUM(AO4:AO12)</f>
        <v>620</v>
      </c>
      <c r="AP13" s="37" t="n">
        <f aca="false">SUM(AP4:AP12)</f>
        <v>562</v>
      </c>
      <c r="AQ13" s="37" t="n">
        <f aca="false">SUM(AQ4:AQ12)</f>
        <v>635</v>
      </c>
      <c r="AR13" s="37" t="n">
        <f aca="false">SUM(AR4:AR12)</f>
        <v>464</v>
      </c>
      <c r="AS13" s="37" t="n">
        <f aca="false">SUM(AS4:AS12)</f>
        <v>513</v>
      </c>
      <c r="AT13" s="37" t="n">
        <f aca="false">SUM(AT4:AT12)</f>
        <v>523</v>
      </c>
      <c r="AU13" s="37" t="n">
        <f aca="false">SUM(AU4:AU12)</f>
        <v>524</v>
      </c>
      <c r="AV13" s="37" t="n">
        <f aca="false">SUM(AV4:AV12)</f>
        <v>497</v>
      </c>
      <c r="AW13" s="37" t="n">
        <f aca="false">SUM(AW4:AW12)</f>
        <v>533</v>
      </c>
      <c r="AX13" s="37" t="n">
        <f aca="false">SUM(AX4:AX12)</f>
        <v>541</v>
      </c>
      <c r="AY13" s="37" t="n">
        <f aca="false">SUM(AY4:AY12)</f>
        <v>578</v>
      </c>
      <c r="AZ13" s="37" t="n">
        <f aca="false">SUM(AZ4:AZ12)</f>
        <v>553</v>
      </c>
      <c r="BA13" s="37" t="n">
        <f aca="false">SUM(BA4:BA12)</f>
        <v>580</v>
      </c>
      <c r="BB13" s="37" t="n">
        <f aca="false">SUM(BB4:BB12)</f>
        <v>561</v>
      </c>
      <c r="BC13" s="37" t="n">
        <f aca="false">SUM(BC4:BC12)</f>
        <v>578</v>
      </c>
      <c r="BD13" s="37" t="n">
        <f aca="false">SUM(BD4:BD12)</f>
        <v>634</v>
      </c>
      <c r="BE13" s="37" t="n">
        <f aca="false">SUM(BE4:BE12)</f>
        <v>610</v>
      </c>
      <c r="BF13" s="8"/>
      <c r="BG13" s="37" t="n">
        <f aca="false">SUM(BG4:BG12)</f>
        <v>610</v>
      </c>
      <c r="BH13" s="8"/>
      <c r="BI13" s="37" t="n">
        <f aca="false">SUM(BI4:BI12)</f>
        <v>610</v>
      </c>
      <c r="BJ13" s="8"/>
      <c r="BK13" s="8"/>
      <c r="BL13" s="8"/>
      <c r="BM13" s="8"/>
    </row>
    <row r="14" customFormat="false" ht="15" hidden="false" customHeight="false" outlineLevel="0" collapsed="false">
      <c r="A14" s="3"/>
      <c r="B14" s="4" t="s">
        <v>0</v>
      </c>
      <c r="C14" s="4"/>
      <c r="D14" s="4"/>
      <c r="E14" s="4" t="s">
        <v>0</v>
      </c>
      <c r="F14" s="4"/>
      <c r="G14" s="4"/>
      <c r="H14" s="3"/>
      <c r="I14" s="4" t="s">
        <v>1</v>
      </c>
      <c r="J14" s="4"/>
      <c r="K14" s="4"/>
      <c r="L14" s="4"/>
      <c r="M14" s="4"/>
      <c r="N14" s="4"/>
      <c r="O14" s="5"/>
      <c r="P14" s="4" t="s">
        <v>2</v>
      </c>
      <c r="Q14" s="4"/>
      <c r="R14" s="4"/>
      <c r="S14" s="4"/>
      <c r="T14" s="4"/>
      <c r="U14" s="4"/>
      <c r="V14" s="5"/>
      <c r="W14" s="4" t="s">
        <v>3</v>
      </c>
      <c r="X14" s="4"/>
      <c r="Y14" s="4"/>
      <c r="Z14" s="4"/>
      <c r="AA14" s="4"/>
      <c r="AB14" s="4"/>
      <c r="AC14" s="21"/>
      <c r="AD14" s="4" t="s">
        <v>4</v>
      </c>
      <c r="AE14" s="4"/>
      <c r="AF14" s="4"/>
      <c r="AG14" s="4"/>
      <c r="AH14" s="4"/>
      <c r="AI14" s="4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9"/>
      <c r="BK14" s="9"/>
      <c r="BL14" s="9"/>
      <c r="BM14" s="9"/>
    </row>
    <row r="15" customFormat="false" ht="15" hidden="false" customHeight="false" outlineLevel="0" collapsed="false">
      <c r="B15" s="10" t="s">
        <v>6</v>
      </c>
      <c r="C15" s="10" t="s">
        <v>7</v>
      </c>
      <c r="D15" s="10" t="s">
        <v>8</v>
      </c>
      <c r="E15" s="11" t="s">
        <v>6</v>
      </c>
      <c r="F15" s="11" t="s">
        <v>7</v>
      </c>
      <c r="G15" s="11" t="s">
        <v>9</v>
      </c>
      <c r="H15" s="1"/>
      <c r="I15" s="10" t="s">
        <v>6</v>
      </c>
      <c r="J15" s="10" t="s">
        <v>7</v>
      </c>
      <c r="K15" s="10" t="s">
        <v>8</v>
      </c>
      <c r="L15" s="11" t="s">
        <v>6</v>
      </c>
      <c r="M15" s="11" t="s">
        <v>7</v>
      </c>
      <c r="N15" s="11" t="s">
        <v>9</v>
      </c>
      <c r="O15" s="12"/>
      <c r="P15" s="10" t="s">
        <v>6</v>
      </c>
      <c r="Q15" s="10" t="s">
        <v>7</v>
      </c>
      <c r="R15" s="10" t="s">
        <v>8</v>
      </c>
      <c r="S15" s="11" t="s">
        <v>6</v>
      </c>
      <c r="T15" s="11" t="s">
        <v>7</v>
      </c>
      <c r="U15" s="11" t="s">
        <v>9</v>
      </c>
      <c r="V15" s="12"/>
      <c r="W15" s="10" t="s">
        <v>6</v>
      </c>
      <c r="X15" s="10" t="s">
        <v>7</v>
      </c>
      <c r="Y15" s="10" t="s">
        <v>8</v>
      </c>
      <c r="Z15" s="11" t="s">
        <v>6</v>
      </c>
      <c r="AA15" s="11" t="s">
        <v>7</v>
      </c>
      <c r="AB15" s="11" t="s">
        <v>9</v>
      </c>
      <c r="AC15" s="5"/>
      <c r="AD15" s="10" t="s">
        <v>6</v>
      </c>
      <c r="AE15" s="10" t="s">
        <v>10</v>
      </c>
      <c r="AF15" s="10" t="s">
        <v>8</v>
      </c>
      <c r="AG15" s="11" t="s">
        <v>6</v>
      </c>
      <c r="AH15" s="11" t="s">
        <v>7</v>
      </c>
      <c r="AI15" s="11" t="s">
        <v>9</v>
      </c>
      <c r="AJ15" s="2"/>
      <c r="AM15" s="8"/>
      <c r="AN15" s="8"/>
      <c r="AO15" s="8"/>
      <c r="AP15" s="8"/>
      <c r="AQ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2"/>
      <c r="BO15" s="2"/>
      <c r="BP15" s="2"/>
      <c r="BQ15" s="2"/>
    </row>
    <row r="16" customFormat="false" ht="13.5" hidden="false" customHeight="false" outlineLevel="0" collapsed="false">
      <c r="A16" s="17" t="s">
        <v>13</v>
      </c>
      <c r="B16" s="18" t="n">
        <f aca="false">+'[1]QTD Mgmt Summary'!C9/1000</f>
        <v>61.971161</v>
      </c>
      <c r="C16" s="18" t="n">
        <f aca="false">+[1]Expenses!D9/1000</f>
        <v>7.068216</v>
      </c>
      <c r="D16" s="18" t="n">
        <f aca="false">+'[1]QTD Mgmt Summary'!K9/1000</f>
        <v>46.3071115</v>
      </c>
      <c r="E16" s="19" t="n">
        <f aca="false">+'[2]Mgmt Summary'!C9/1000</f>
        <v>40</v>
      </c>
      <c r="F16" s="19" t="n">
        <f aca="false">+'[2]Mgmt Summary'!M9/1000</f>
        <v>6.76777</v>
      </c>
      <c r="G16" s="20" t="n">
        <f aca="false">+'[2]Mgmt Summary'!E9/1000</f>
        <v>23.249788</v>
      </c>
      <c r="H16" s="17" t="s">
        <v>13</v>
      </c>
      <c r="I16" s="18" t="n">
        <f aca="false">+'[3]Mgmt Summary'!G9/1000</f>
        <v>32.796825</v>
      </c>
      <c r="J16" s="18" t="n">
        <f aca="false">+'[3]Mgmt Summary'!M9/1000</f>
        <v>6.834695</v>
      </c>
      <c r="K16" s="18" t="n">
        <f aca="false">+'[3]Mgmt Summary'!O9/1000</f>
        <v>17.788538</v>
      </c>
      <c r="L16" s="19" t="n">
        <f aca="false">+'[4]Mgmt Summary'!C9/1000</f>
        <v>32.5</v>
      </c>
      <c r="M16" s="19" t="n">
        <f aca="false">+'[4]Mgmt Summary'!M9/1000</f>
        <v>6.994313</v>
      </c>
      <c r="N16" s="38" t="n">
        <f aca="false">+'[3]Mgmt Summary'!E9/1000</f>
        <v>15.526516</v>
      </c>
      <c r="O16" s="21"/>
      <c r="P16" s="18" t="n">
        <f aca="false">+'[5]Mgmt Summary'!J9/1000-45</f>
        <v>-16.135789</v>
      </c>
      <c r="Q16" s="18" t="n">
        <f aca="false">+'[5]Mgmt Summary'!M9/1000</f>
        <v>7.980981</v>
      </c>
      <c r="R16" s="18" t="n">
        <f aca="false">+'[5]Mgmt Summary'!O9/1000</f>
        <v>13.858068</v>
      </c>
      <c r="S16" s="19" t="n">
        <f aca="false">+'[5]Mgmt Summary'!C9/1000</f>
        <v>32.5</v>
      </c>
      <c r="T16" s="19" t="n">
        <f aca="false">+[5]Expenses!E9/1000</f>
        <v>6.913332</v>
      </c>
      <c r="U16" s="38" t="n">
        <f aca="false">+'[5]Mgmt Summary'!E9/1000</f>
        <v>15.606718</v>
      </c>
      <c r="V16" s="21"/>
      <c r="W16" s="18" t="n">
        <f aca="false">+'[6]Mgmt Summary'!J9/1000</f>
        <v>-51.497476</v>
      </c>
      <c r="X16" s="18" t="n">
        <f aca="false">+'[6]Mgmt Summary'!M9/1000</f>
        <v>6.903119</v>
      </c>
      <c r="Y16" s="18" t="n">
        <f aca="false">+'[6]Mgmt Summary'!O9/1000</f>
        <v>-68.419219</v>
      </c>
      <c r="Z16" s="19" t="n">
        <f aca="false">+'[7]Mgmt Summary'!C9/1000</f>
        <v>45</v>
      </c>
      <c r="AA16" s="19" t="n">
        <f aca="false">+[7]Expenses!E9/1000</f>
        <v>6.903119</v>
      </c>
      <c r="AB16" s="38" t="n">
        <f aca="false">+'[7]Mgmt Summary'!E9/1000</f>
        <v>28.078257</v>
      </c>
      <c r="AC16" s="12"/>
      <c r="AD16" s="18" t="n">
        <f aca="false">+B16+I16+P16+W16</f>
        <v>27.134721</v>
      </c>
      <c r="AE16" s="18" t="n">
        <f aca="false">+C16+J16+Q16+X16</f>
        <v>28.787011</v>
      </c>
      <c r="AF16" s="18" t="n">
        <f aca="false">+D16+K16+R16+Y16</f>
        <v>9.5344985</v>
      </c>
      <c r="AG16" s="19" t="n">
        <f aca="false">+E16+L16+S16+Z16</f>
        <v>150</v>
      </c>
      <c r="AH16" s="19" t="n">
        <f aca="false">+F16+M16+T16+AA16</f>
        <v>27.578534</v>
      </c>
      <c r="AI16" s="20" t="n">
        <f aca="false">+G16+N16+U16+AB16</f>
        <v>82.461279</v>
      </c>
      <c r="AK16" s="7" t="s">
        <v>5</v>
      </c>
      <c r="AM16" s="8"/>
      <c r="AN16" s="8"/>
      <c r="AO16" s="8"/>
      <c r="AP16" s="8"/>
      <c r="AQ16" s="8"/>
      <c r="AS16" s="8"/>
      <c r="AT16" s="8"/>
      <c r="AU16" s="8"/>
      <c r="AV16" s="8"/>
      <c r="AW16" s="8"/>
      <c r="AX16" s="9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" hidden="false" customHeight="false" outlineLevel="0" collapsed="false">
      <c r="A17" s="17" t="s">
        <v>42</v>
      </c>
      <c r="B17" s="18" t="n">
        <f aca="false">+'[1]QTD Mgmt Summary'!C10/1000+'[1]QTD Mgmt Summary'!C11/1000</f>
        <v>20.27905533</v>
      </c>
      <c r="C17" s="18" t="n">
        <f aca="false">+[1]Expenses!D10/1000+[1]Expenses!D11/1000</f>
        <v>3.584983</v>
      </c>
      <c r="D17" s="18" t="n">
        <f aca="false">+'[1]QTD Mgmt Summary'!K10/1000+'[1]QTD Mgmt Summary'!K11/1000</f>
        <v>13.51718033</v>
      </c>
      <c r="E17" s="19" t="n">
        <f aca="false">+'[2]Mgmt Summary'!C10/1000+'[2]Mgmt Summary'!C11/1000</f>
        <v>13.75</v>
      </c>
      <c r="F17" s="19" t="n">
        <f aca="false">+'[2]Mgmt Summary'!M10/1000+'[2]Mgmt Summary'!M11/1000</f>
        <v>4.013093</v>
      </c>
      <c r="G17" s="20" t="n">
        <f aca="false">+'[2]Mgmt Summary'!E10/1000+'[2]Mgmt Summary'!E11/1000</f>
        <v>6.337254</v>
      </c>
      <c r="H17" s="17" t="s">
        <v>42</v>
      </c>
      <c r="I17" s="18" t="n">
        <f aca="false">(+'[3]Mgmt Summary'!G10+'[3]Mgmt Summary'!G11)/1000</f>
        <v>26.21452352</v>
      </c>
      <c r="J17" s="18" t="n">
        <f aca="false">(+'[3]Mgmt Summary'!M10+'[3]Mgmt Summary'!M11)/1000</f>
        <v>4.315036</v>
      </c>
      <c r="K17" s="18" t="n">
        <f aca="false">(+'[3]Mgmt Summary'!O10+'[3]Mgmt Summary'!O11)/1000</f>
        <v>17.96685752</v>
      </c>
      <c r="L17" s="19" t="n">
        <f aca="false">+'[4]Mgmt Summary'!C10/1000+'[4]Mgmt Summary'!C11/1000</f>
        <v>18.75</v>
      </c>
      <c r="M17" s="19" t="n">
        <f aca="false">+'[4]Mgmt Summary'!M10/1000+'[4]Mgmt Summary'!M11/1000</f>
        <v>5.360991</v>
      </c>
      <c r="N17" s="20" t="n">
        <f aca="false">+'[3]Mgmt Summary'!E10/1000+'[3]Mgmt Summary'!E11/1000</f>
        <v>9.221984</v>
      </c>
      <c r="O17" s="21"/>
      <c r="P17" s="18" t="n">
        <f aca="false">+('[5]Mgmt Summary'!J10+'[5]Mgmt Summary'!$J$11)/1000</f>
        <v>32.464047</v>
      </c>
      <c r="Q17" s="18" t="n">
        <f aca="false">+('[5]Mgmt Summary'!M10+'[5]Mgmt Summary'!M11)/1000</f>
        <v>5.139563</v>
      </c>
      <c r="R17" s="18" t="n">
        <f aca="false">+('[5]Mgmt Summary'!O10+'[5]Mgmt Summary'!O11)/1000</f>
        <v>21.846978</v>
      </c>
      <c r="S17" s="19" t="n">
        <f aca="false">+'[5]Mgmt Summary'!C10/1000+'[5]Mgmt Summary'!C11/1000</f>
        <v>18.75</v>
      </c>
      <c r="T17" s="19" t="n">
        <f aca="false">+[5]Expenses!E10/1000+[5]Expenses!E11/1000</f>
        <v>5.45285</v>
      </c>
      <c r="U17" s="20" t="n">
        <f aca="false">+'[5]Mgmt Summary'!E10/1000+'[5]Mgmt Summary'!E11/1000</f>
        <v>9.126459</v>
      </c>
      <c r="V17" s="21"/>
      <c r="W17" s="18" t="n">
        <f aca="false">+'[6]Mgmt Summary'!J10/1000+'[6]Mgmt Summary'!J11/1000</f>
        <v>6.613635</v>
      </c>
      <c r="X17" s="18" t="n">
        <f aca="false">+'[6]Mgmt Summary'!M10/1000+'[6]Mgmt Summary'!M11/1000</f>
        <v>5.458742</v>
      </c>
      <c r="Y17" s="18" t="n">
        <f aca="false">+'[6]Mgmt Summary'!O10/1000+'[6]Mgmt Summary'!O11/1000</f>
        <v>-3.009126</v>
      </c>
      <c r="Z17" s="19" t="n">
        <f aca="false">+'[7]Mgmt Summary'!C10/1000+'[7]Mgmt Summary'!C11/1000</f>
        <v>18.75</v>
      </c>
      <c r="AA17" s="19" t="n">
        <f aca="false">+[7]Expenses!E10/1000+[7]Expenses!E11/1000</f>
        <v>5.458742</v>
      </c>
      <c r="AB17" s="20" t="n">
        <f aca="false">+'[7]Mgmt Summary'!E10/1000+'[7]Mgmt Summary'!E11/1000</f>
        <v>9.127239</v>
      </c>
      <c r="AC17" s="21"/>
      <c r="AD17" s="18" t="n">
        <f aca="false">+B17+I17+P17+W17</f>
        <v>85.57126085</v>
      </c>
      <c r="AE17" s="18" t="n">
        <f aca="false">+C17+J17+Q17+X17</f>
        <v>18.498324</v>
      </c>
      <c r="AF17" s="18" t="n">
        <f aca="false">+D17+K17+R17+Y17</f>
        <v>50.32188985</v>
      </c>
      <c r="AG17" s="19" t="n">
        <f aca="false">+E17+L17+S17+Z17</f>
        <v>70</v>
      </c>
      <c r="AH17" s="19" t="n">
        <f aca="false">+F17+M17+T17+AA17</f>
        <v>20.285676</v>
      </c>
      <c r="AI17" s="20" t="n">
        <f aca="false">+G17+N17+U17+AB17</f>
        <v>33.812936</v>
      </c>
      <c r="AK17" s="13"/>
      <c r="AL17" s="14" t="s">
        <v>11</v>
      </c>
      <c r="AM17" s="15" t="s">
        <v>12</v>
      </c>
      <c r="AN17" s="16" t="s">
        <v>11</v>
      </c>
      <c r="AO17" s="15" t="s">
        <v>12</v>
      </c>
      <c r="AP17" s="16" t="s">
        <v>11</v>
      </c>
      <c r="AQ17" s="15" t="s">
        <v>12</v>
      </c>
      <c r="AR17" s="14" t="s">
        <v>11</v>
      </c>
      <c r="AS17" s="15" t="s">
        <v>12</v>
      </c>
      <c r="AT17" s="14" t="s">
        <v>11</v>
      </c>
      <c r="AU17" s="15" t="s">
        <v>12</v>
      </c>
      <c r="AV17" s="14" t="s">
        <v>11</v>
      </c>
      <c r="AW17" s="15" t="s">
        <v>12</v>
      </c>
      <c r="AX17" s="14" t="s">
        <v>11</v>
      </c>
      <c r="AY17" s="39" t="s">
        <v>12</v>
      </c>
      <c r="AZ17" s="14" t="s">
        <v>11</v>
      </c>
      <c r="BA17" s="39" t="s">
        <v>12</v>
      </c>
      <c r="BB17" s="14" t="s">
        <v>11</v>
      </c>
      <c r="BC17" s="39" t="s">
        <v>12</v>
      </c>
      <c r="BD17" s="14" t="s">
        <v>11</v>
      </c>
      <c r="BE17" s="39" t="s">
        <v>12</v>
      </c>
      <c r="BF17" s="14" t="s">
        <v>11</v>
      </c>
      <c r="BG17" s="39" t="s">
        <v>12</v>
      </c>
      <c r="BH17" s="14" t="s">
        <v>11</v>
      </c>
      <c r="BI17" s="39" t="s">
        <v>12</v>
      </c>
    </row>
    <row r="18" customFormat="false" ht="13.5" hidden="false" customHeight="false" outlineLevel="0" collapsed="false">
      <c r="A18" s="17" t="s">
        <v>43</v>
      </c>
      <c r="B18" s="18" t="n">
        <f aca="false">+'[1]QTD Mgmt Summary'!C12/1000</f>
        <v>-6.238153</v>
      </c>
      <c r="C18" s="18" t="n">
        <f aca="false">+[1]Expenses!D12/1000</f>
        <v>0.570503</v>
      </c>
      <c r="D18" s="18" t="n">
        <f aca="false">+'[1]QTD Mgmt Summary'!K12/1000</f>
        <v>-7.560353</v>
      </c>
      <c r="E18" s="19" t="n">
        <f aca="false">+'[2]Mgmt Summary'!C12/1000</f>
        <v>5</v>
      </c>
      <c r="F18" s="19" t="n">
        <f aca="false">+'[2]Mgmt Summary'!M12/1000</f>
        <v>1.213619</v>
      </c>
      <c r="G18" s="20" t="n">
        <f aca="false">+'[2]Mgmt Summary'!E12/1000</f>
        <v>2.915624</v>
      </c>
      <c r="H18" s="17" t="s">
        <v>43</v>
      </c>
      <c r="I18" s="18" t="n">
        <f aca="false">+'[3]Mgmt Summary'!G12/1000</f>
        <v>0</v>
      </c>
      <c r="J18" s="18" t="n">
        <f aca="false">+'[3]Mgmt Summary'!M12/1000</f>
        <v>0</v>
      </c>
      <c r="K18" s="18" t="n">
        <f aca="false">+'[3]Mgmt Summary'!O12/1000</f>
        <v>0</v>
      </c>
      <c r="L18" s="19" t="n">
        <f aca="false">+'[4]Mgmt Summary'!C12/1000</f>
        <v>0</v>
      </c>
      <c r="M18" s="19" t="n">
        <f aca="false">+'[4]Mgmt Summary'!M12/1000</f>
        <v>0</v>
      </c>
      <c r="N18" s="20" t="n">
        <f aca="false">+'[3]Mgmt Summary'!E12/1000</f>
        <v>0</v>
      </c>
      <c r="O18" s="21"/>
      <c r="P18" s="18"/>
      <c r="Q18" s="18"/>
      <c r="R18" s="18"/>
      <c r="S18" s="19" t="n">
        <f aca="false">+'[5]Mgmt Summary'!C12/1000</f>
        <v>0</v>
      </c>
      <c r="T18" s="19" t="n">
        <f aca="false">+[5]Expenses!E12/1000</f>
        <v>0</v>
      </c>
      <c r="U18" s="20" t="n">
        <f aca="false">+'[5]Mgmt Summary'!E12/1000</f>
        <v>0</v>
      </c>
      <c r="V18" s="21"/>
      <c r="W18" s="18"/>
      <c r="X18" s="18"/>
      <c r="Y18" s="18"/>
      <c r="Z18" s="19" t="n">
        <f aca="false">+'[7]Mgmt Summary'!C12/1000</f>
        <v>0</v>
      </c>
      <c r="AA18" s="19" t="n">
        <f aca="false">+[7]Expenses!E12/1000</f>
        <v>0</v>
      </c>
      <c r="AB18" s="20" t="n">
        <f aca="false">+'[7]Mgmt Summary'!E12/1000</f>
        <v>0</v>
      </c>
      <c r="AC18" s="21"/>
      <c r="AD18" s="18" t="n">
        <f aca="false">+B18+I18+P18+W18</f>
        <v>-6.238153</v>
      </c>
      <c r="AE18" s="18" t="n">
        <f aca="false">+C18+J18+Q18+X18</f>
        <v>0.570503</v>
      </c>
      <c r="AF18" s="18" t="n">
        <f aca="false">+D18+K18+R18+Y18</f>
        <v>-7.560353</v>
      </c>
      <c r="AG18" s="19" t="n">
        <f aca="false">+E18+L18+S18+Z18</f>
        <v>5</v>
      </c>
      <c r="AH18" s="19" t="n">
        <f aca="false">+F18+M18+T18+AA18</f>
        <v>1.213619</v>
      </c>
      <c r="AI18" s="20" t="n">
        <f aca="false">+G18+N18+U18+AB18</f>
        <v>2.915624</v>
      </c>
      <c r="AL18" s="23" t="s">
        <v>14</v>
      </c>
      <c r="AM18" s="24"/>
      <c r="AN18" s="40" t="s">
        <v>15</v>
      </c>
      <c r="AO18" s="24"/>
      <c r="AP18" s="40" t="s">
        <v>16</v>
      </c>
      <c r="AQ18" s="24"/>
      <c r="AR18" s="26" t="s">
        <v>17</v>
      </c>
      <c r="AS18" s="24"/>
      <c r="AT18" s="26" t="s">
        <v>18</v>
      </c>
      <c r="AU18" s="24"/>
      <c r="AV18" s="26" t="s">
        <v>19</v>
      </c>
      <c r="AW18" s="24"/>
      <c r="AX18" s="26" t="s">
        <v>20</v>
      </c>
      <c r="AY18" s="41"/>
      <c r="AZ18" s="26" t="s">
        <v>21</v>
      </c>
      <c r="BA18" s="41"/>
      <c r="BB18" s="26" t="s">
        <v>22</v>
      </c>
      <c r="BC18" s="41"/>
      <c r="BD18" s="26" t="s">
        <v>23</v>
      </c>
      <c r="BE18" s="41"/>
      <c r="BF18" s="26" t="s">
        <v>24</v>
      </c>
      <c r="BG18" s="41"/>
      <c r="BH18" s="26" t="s">
        <v>25</v>
      </c>
      <c r="BI18" s="41"/>
    </row>
    <row r="19" customFormat="false" ht="14.25" hidden="false" customHeight="true" outlineLevel="0" collapsed="false">
      <c r="A19" s="17" t="s">
        <v>27</v>
      </c>
      <c r="B19" s="18" t="n">
        <f aca="false">+'[1]QTD Mgmt Summary'!C13/1000</f>
        <v>8.725</v>
      </c>
      <c r="C19" s="18" t="n">
        <f aca="false">+[1]Expenses!D13/1000</f>
        <v>1.721372</v>
      </c>
      <c r="D19" s="18" t="n">
        <f aca="false">+'[1]QTD Mgmt Summary'!K13/1000</f>
        <v>5.839069</v>
      </c>
      <c r="E19" s="19" t="n">
        <f aca="false">+'[2]Mgmt Summary'!C13/1000</f>
        <v>8.509251</v>
      </c>
      <c r="F19" s="19" t="n">
        <f aca="false">+'[2]Mgmt Summary'!M13/1000</f>
        <v>1.808523</v>
      </c>
      <c r="G19" s="20" t="n">
        <f aca="false">+'[2]Mgmt Summary'!E13/1000</f>
        <v>4.460982</v>
      </c>
      <c r="H19" s="17" t="s">
        <v>27</v>
      </c>
      <c r="I19" s="18" t="n">
        <f aca="false">+'[3]Mgmt Summary'!G13/1000</f>
        <v>8.858</v>
      </c>
      <c r="J19" s="18" t="n">
        <f aca="false">+'[3]Mgmt Summary'!M13/1000</f>
        <v>1.489305</v>
      </c>
      <c r="K19" s="18" t="n">
        <f aca="false">+'[3]Mgmt Summary'!O13/1000</f>
        <v>6.646931</v>
      </c>
      <c r="L19" s="19" t="n">
        <f aca="false">+'[4]Mgmt Summary'!C13/1000</f>
        <v>7.078819</v>
      </c>
      <c r="M19" s="19" t="n">
        <f aca="false">+'[4]Mgmt Summary'!M13/1000</f>
        <v>1.463007</v>
      </c>
      <c r="N19" s="20" t="n">
        <f aca="false">+'[3]Mgmt Summary'!E13/1000</f>
        <v>3.838187</v>
      </c>
      <c r="O19" s="21"/>
      <c r="P19" s="18" t="n">
        <f aca="false">+'[5]Mgmt Summary'!J13/1000</f>
        <v>8.926</v>
      </c>
      <c r="Q19" s="18" t="n">
        <f aca="false">+'[5]Mgmt Summary'!M13/1000</f>
        <v>2.560499</v>
      </c>
      <c r="R19" s="18" t="n">
        <f aca="false">+'[5]Mgmt Summary'!O13/1000</f>
        <v>5.161736</v>
      </c>
      <c r="S19" s="19" t="n">
        <f aca="false">+'[5]Mgmt Summary'!C13/1000</f>
        <v>8.659352</v>
      </c>
      <c r="T19" s="19" t="n">
        <f aca="false">+[5]Expenses!E13/1000</f>
        <v>1.527724</v>
      </c>
      <c r="U19" s="20" t="n">
        <f aca="false">+'[5]Mgmt Summary'!E13/1000</f>
        <v>5.352897</v>
      </c>
      <c r="V19" s="21"/>
      <c r="W19" s="18" t="n">
        <f aca="false">+'[6]Mgmt Summary'!J13/1000</f>
        <v>-9.47</v>
      </c>
      <c r="X19" s="18" t="n">
        <f aca="false">+'[6]Mgmt Summary'!M13/1000</f>
        <v>1.860081</v>
      </c>
      <c r="Y19" s="18" t="n">
        <f aca="false">+'[6]Mgmt Summary'!O13/1000</f>
        <v>-13.106833</v>
      </c>
      <c r="Z19" s="19" t="n">
        <f aca="false">+'[7]Mgmt Summary'!C13/1000</f>
        <v>8.75258</v>
      </c>
      <c r="AA19" s="19" t="n">
        <f aca="false">+[7]Expenses!E13/1000</f>
        <v>1.560081</v>
      </c>
      <c r="AB19" s="20" t="n">
        <f aca="false">+'[7]Mgmt Summary'!E13/1000</f>
        <v>5.415747</v>
      </c>
      <c r="AC19" s="21"/>
      <c r="AD19" s="18" t="n">
        <f aca="false">+B19+I19+P19+W19</f>
        <v>17.039</v>
      </c>
      <c r="AE19" s="18" t="n">
        <f aca="false">+C19+J19+Q19+X19</f>
        <v>7.631257</v>
      </c>
      <c r="AF19" s="18" t="n">
        <f aca="false">+D19+K19+R19+Y19</f>
        <v>4.540903</v>
      </c>
      <c r="AG19" s="19" t="n">
        <f aca="false">+E19+L19+S19+Z19</f>
        <v>33.000002</v>
      </c>
      <c r="AH19" s="19" t="n">
        <f aca="false">+F19+M19+T19+AA19</f>
        <v>6.359335</v>
      </c>
      <c r="AI19" s="20" t="n">
        <f aca="false">+G19+N19+U19+AB19</f>
        <v>19.067813</v>
      </c>
      <c r="AK19" s="9" t="s">
        <v>13</v>
      </c>
      <c r="AL19" s="1" t="n">
        <v>112</v>
      </c>
      <c r="AM19" s="8" t="n">
        <v>117</v>
      </c>
      <c r="AN19" s="8" t="n">
        <v>111</v>
      </c>
      <c r="AO19" s="8" t="n">
        <v>117</v>
      </c>
      <c r="AP19" s="8" t="n">
        <v>111.5</v>
      </c>
      <c r="AQ19" s="8" t="n">
        <v>117</v>
      </c>
      <c r="AR19" s="8" t="n">
        <v>110.5</v>
      </c>
      <c r="AS19" s="8" t="n">
        <v>118</v>
      </c>
      <c r="AT19" s="8" t="n">
        <v>105</v>
      </c>
      <c r="AU19" s="8" t="n">
        <v>118</v>
      </c>
      <c r="AV19" s="8" t="n">
        <v>111</v>
      </c>
      <c r="AW19" s="8" t="n">
        <v>118</v>
      </c>
      <c r="AX19" s="0" t="n">
        <f aca="false">79+35+12</f>
        <v>126</v>
      </c>
      <c r="AY19" s="42" t="n">
        <v>119</v>
      </c>
      <c r="AZ19" s="1" t="n">
        <f aca="false">83+38+10</f>
        <v>131</v>
      </c>
      <c r="BA19" s="42" t="n">
        <v>119</v>
      </c>
      <c r="BB19" s="0" t="n">
        <f aca="false">83+40+9</f>
        <v>132</v>
      </c>
      <c r="BC19" s="42" t="n">
        <v>119</v>
      </c>
      <c r="BD19" s="1" t="n">
        <f aca="false">84+50+9</f>
        <v>143</v>
      </c>
      <c r="BE19" s="42" t="n">
        <v>119</v>
      </c>
      <c r="BF19" s="0"/>
      <c r="BG19" s="42" t="n">
        <v>119</v>
      </c>
      <c r="BI19" s="42" t="n">
        <v>119</v>
      </c>
    </row>
    <row r="20" customFormat="false" ht="12.75" hidden="false" customHeight="false" outlineLevel="0" collapsed="false">
      <c r="A20" s="17" t="s">
        <v>29</v>
      </c>
      <c r="B20" s="18" t="n">
        <f aca="false">+'[1]QTD Mgmt Summary'!C14/1000</f>
        <v>1.67201528</v>
      </c>
      <c r="C20" s="18" t="n">
        <f aca="false">+[1]Expenses!D14/1000</f>
        <v>0.790135</v>
      </c>
      <c r="D20" s="18" t="n">
        <f aca="false">+'[1]QTD Mgmt Summary'!K14/1000</f>
        <v>0.33799628</v>
      </c>
      <c r="E20" s="19" t="n">
        <f aca="false">+'[2]Mgmt Summary'!C14/1000</f>
        <v>4.875</v>
      </c>
      <c r="F20" s="19" t="n">
        <f aca="false">+'[2]Mgmt Summary'!M14/1000</f>
        <v>1.802648</v>
      </c>
      <c r="G20" s="20" t="n">
        <f aca="false">+'[2]Mgmt Summary'!E14/1000</f>
        <v>2.259021</v>
      </c>
      <c r="H20" s="17" t="s">
        <v>29</v>
      </c>
      <c r="I20" s="18" t="n">
        <f aca="false">+'[3]Mgmt Summary'!G14/1000</f>
        <v>2.550569</v>
      </c>
      <c r="J20" s="18" t="n">
        <f aca="false">+'[3]Mgmt Summary'!M14/1000</f>
        <v>1.299411</v>
      </c>
      <c r="K20" s="18" t="n">
        <f aca="false">+'[3]Mgmt Summary'!O14/1000</f>
        <v>0.604991</v>
      </c>
      <c r="L20" s="19" t="n">
        <f aca="false">+'[4]Mgmt Summary'!C14/1000</f>
        <v>11.875</v>
      </c>
      <c r="M20" s="19" t="n">
        <f aca="false">+'[4]Mgmt Summary'!M14/1000</f>
        <v>2.304122</v>
      </c>
      <c r="N20" s="20" t="n">
        <f aca="false">+'[3]Mgmt Summary'!E14/1000</f>
        <v>8.615186</v>
      </c>
      <c r="O20" s="21"/>
      <c r="P20" s="18" t="n">
        <f aca="false">+'[5]Mgmt Summary'!J14/1000</f>
        <v>0.996886</v>
      </c>
      <c r="Q20" s="18" t="n">
        <f aca="false">+'[5]Mgmt Summary'!M14/1000</f>
        <v>2.093127</v>
      </c>
      <c r="R20" s="18" t="n">
        <f aca="false">+'[5]Mgmt Summary'!O14/1000</f>
        <v>-1.683844</v>
      </c>
      <c r="S20" s="19" t="n">
        <f aca="false">+'[5]Mgmt Summary'!C14/1000</f>
        <v>11.875</v>
      </c>
      <c r="T20" s="19" t="n">
        <f aca="false">+[5]Expenses!E14/1000</f>
        <v>2.517066</v>
      </c>
      <c r="U20" s="20" t="n">
        <f aca="false">+'[5]Mgmt Summary'!E14/1000</f>
        <v>8.401542</v>
      </c>
      <c r="V20" s="21"/>
      <c r="W20" s="18" t="n">
        <f aca="false">+'[6]Mgmt Summary'!J14/1000</f>
        <v>0.858427</v>
      </c>
      <c r="X20" s="18" t="n">
        <f aca="false">+'[6]Mgmt Summary'!M14/1000</f>
        <v>2.517066</v>
      </c>
      <c r="Y20" s="18" t="n">
        <f aca="false">+'[6]Mgmt Summary'!O14/1000</f>
        <v>-2.611981</v>
      </c>
      <c r="Z20" s="19" t="n">
        <f aca="false">+'[7]Mgmt Summary'!C14/1000</f>
        <v>8.875</v>
      </c>
      <c r="AA20" s="19" t="n">
        <f aca="false">+[7]Expenses!E14/1000</f>
        <v>2.517066</v>
      </c>
      <c r="AB20" s="20" t="n">
        <f aca="false">+'[7]Mgmt Summary'!E14/1000</f>
        <v>5.404592</v>
      </c>
      <c r="AC20" s="21"/>
      <c r="AD20" s="18" t="n">
        <f aca="false">+B20+I20+P20+W20</f>
        <v>6.07789728</v>
      </c>
      <c r="AE20" s="18" t="n">
        <f aca="false">+C20+J20+Q20+X20</f>
        <v>6.699739</v>
      </c>
      <c r="AF20" s="18" t="n">
        <f aca="false">+D20+K20+R20+Y20</f>
        <v>-3.35283772</v>
      </c>
      <c r="AG20" s="19" t="n">
        <f aca="false">+E20+L20+S20+Z20</f>
        <v>37.5</v>
      </c>
      <c r="AH20" s="19" t="n">
        <f aca="false">+F20+M20+T20+AA20</f>
        <v>9.140902</v>
      </c>
      <c r="AI20" s="20" t="n">
        <f aca="false">+G20+N20+U20+AB20</f>
        <v>24.680341</v>
      </c>
      <c r="AK20" s="9" t="s">
        <v>42</v>
      </c>
      <c r="AL20" s="8" t="n">
        <v>58</v>
      </c>
      <c r="AM20" s="8" t="n">
        <v>71</v>
      </c>
      <c r="AN20" s="8" t="n">
        <v>58</v>
      </c>
      <c r="AO20" s="8" t="n">
        <v>71</v>
      </c>
      <c r="AP20" s="8" t="n">
        <v>58</v>
      </c>
      <c r="AQ20" s="8" t="n">
        <v>71</v>
      </c>
      <c r="AR20" s="8" t="n">
        <v>57.5</v>
      </c>
      <c r="AS20" s="8" t="n">
        <v>71</v>
      </c>
      <c r="AT20" s="8" t="n">
        <v>62</v>
      </c>
      <c r="AU20" s="8" t="n">
        <v>70</v>
      </c>
      <c r="AV20" s="8" t="n">
        <v>59</v>
      </c>
      <c r="AW20" s="8" t="n">
        <v>71</v>
      </c>
      <c r="AX20" s="1" t="n">
        <f aca="false">38+2+25</f>
        <v>65</v>
      </c>
      <c r="AY20" s="42" t="n">
        <v>71</v>
      </c>
      <c r="AZ20" s="8" t="n">
        <f aca="false">2+26+46</f>
        <v>74</v>
      </c>
      <c r="BA20" s="42" t="n">
        <v>71</v>
      </c>
      <c r="BB20" s="8" t="n">
        <f aca="false">1+27+43</f>
        <v>71</v>
      </c>
      <c r="BC20" s="42" t="n">
        <v>71</v>
      </c>
      <c r="BD20" s="1" t="n">
        <f aca="false">6+21+49+13</f>
        <v>89</v>
      </c>
      <c r="BE20" s="42" t="n">
        <v>71</v>
      </c>
      <c r="BF20" s="8"/>
      <c r="BG20" s="42" t="n">
        <v>71</v>
      </c>
      <c r="BH20" s="8"/>
      <c r="BI20" s="42" t="n">
        <v>71</v>
      </c>
    </row>
    <row r="21" customFormat="false" ht="12.75" hidden="false" customHeight="false" outlineLevel="0" collapsed="false">
      <c r="A21" s="17" t="s">
        <v>30</v>
      </c>
      <c r="B21" s="18" t="n">
        <f aca="false">+'[1]QTD Mgmt Summary'!C15/1000</f>
        <v>13.281757</v>
      </c>
      <c r="C21" s="18" t="n">
        <f aca="false">+[1]Expenses!D15/1000</f>
        <v>2.364778</v>
      </c>
      <c r="D21" s="18" t="n">
        <f aca="false">+'[1]QTD Mgmt Summary'!K15/1000</f>
        <v>9.464195</v>
      </c>
      <c r="E21" s="19" t="n">
        <f aca="false">+'[2]Mgmt Summary'!C15/1000</f>
        <v>20</v>
      </c>
      <c r="F21" s="19" t="n">
        <f aca="false">+'[2]Mgmt Summary'!M15/1000</f>
        <v>3.467386</v>
      </c>
      <c r="G21" s="20" t="n">
        <f aca="false">+'[2]Mgmt Summary'!E15/1000</f>
        <v>14.454606</v>
      </c>
      <c r="H21" s="17" t="s">
        <v>30</v>
      </c>
      <c r="I21" s="18" t="n">
        <f aca="false">+'[3]Mgmt Summary'!G15/1000</f>
        <v>17.176</v>
      </c>
      <c r="J21" s="18" t="n">
        <f aca="false">+'[3]Mgmt Summary'!M15/1000</f>
        <v>2.295727</v>
      </c>
      <c r="K21" s="18" t="n">
        <f aca="false">+'[3]Mgmt Summary'!O15/1000</f>
        <v>13.173132</v>
      </c>
      <c r="L21" s="19" t="n">
        <f aca="false">+'[4]Mgmt Summary'!C15/1000</f>
        <v>27.5</v>
      </c>
      <c r="M21" s="19" t="n">
        <f aca="false">+'[4]Mgmt Summary'!M15/1000</f>
        <v>3.742616</v>
      </c>
      <c r="N21" s="20" t="n">
        <f aca="false">+'[3]Mgmt Summary'!E15/1000</f>
        <v>21.486755</v>
      </c>
      <c r="O21" s="21"/>
      <c r="P21" s="18" t="n">
        <f aca="false">+'[5]Mgmt Summary'!J15/1000</f>
        <v>5.72145</v>
      </c>
      <c r="Q21" s="18" t="n">
        <f aca="false">+'[5]Mgmt Summary'!M15/1000</f>
        <v>3.047825</v>
      </c>
      <c r="R21" s="18" t="n">
        <f aca="false">+'[5]Mgmt Summary'!O15/1000</f>
        <v>1.42898</v>
      </c>
      <c r="S21" s="19" t="n">
        <f aca="false">+'[5]Mgmt Summary'!C15/1000</f>
        <v>27.37</v>
      </c>
      <c r="T21" s="19" t="n">
        <f aca="false">+[5]Expenses!E15/1000</f>
        <v>3.320448</v>
      </c>
      <c r="U21" s="20" t="n">
        <f aca="false">+'[5]Mgmt Summary'!E15/1000</f>
        <v>21.837183</v>
      </c>
      <c r="V21" s="21"/>
      <c r="W21" s="18" t="n">
        <f aca="false">+'[6]Mgmt Summary'!J15/1000</f>
        <v>3.316</v>
      </c>
      <c r="X21" s="18" t="n">
        <f aca="false">+'[6]Mgmt Summary'!M15/1000</f>
        <v>1.849136</v>
      </c>
      <c r="Y21" s="18" t="n">
        <f aca="false">+'[6]Mgmt Summary'!O15/1000</f>
        <v>0.185453</v>
      </c>
      <c r="Z21" s="19" t="n">
        <f aca="false">+'[7]Mgmt Summary'!C15/1000</f>
        <v>29.545</v>
      </c>
      <c r="AA21" s="19" t="n">
        <f aca="false">+[7]Expenses!E15/1000</f>
        <v>1.849136</v>
      </c>
      <c r="AB21" s="20" t="n">
        <f aca="false">+'[7]Mgmt Summary'!E15/1000</f>
        <v>26.414453</v>
      </c>
      <c r="AC21" s="21"/>
      <c r="AD21" s="18" t="n">
        <f aca="false">+B21+I21+P21+W21</f>
        <v>39.495207</v>
      </c>
      <c r="AE21" s="18" t="n">
        <f aca="false">+C21+J21+Q21+X21</f>
        <v>9.557466</v>
      </c>
      <c r="AF21" s="18" t="n">
        <f aca="false">+D21+K21+R21+Y21</f>
        <v>24.25176</v>
      </c>
      <c r="AG21" s="19" t="n">
        <f aca="false">+E21+L21+S21+Z21</f>
        <v>104.415</v>
      </c>
      <c r="AH21" s="19" t="n">
        <f aca="false">+F21+M21+T21+AA21</f>
        <v>12.379586</v>
      </c>
      <c r="AI21" s="20" t="n">
        <f aca="false">+G21+N21+U21+AB21</f>
        <v>84.192997</v>
      </c>
      <c r="AK21" s="9" t="s">
        <v>43</v>
      </c>
      <c r="AL21" s="8" t="n">
        <v>8</v>
      </c>
      <c r="AM21" s="8" t="n">
        <v>14</v>
      </c>
      <c r="AN21" s="8" t="n">
        <v>7</v>
      </c>
      <c r="AO21" s="8" t="n">
        <v>14</v>
      </c>
      <c r="AP21" s="8" t="n">
        <v>7</v>
      </c>
      <c r="AQ21" s="8" t="n">
        <v>14</v>
      </c>
      <c r="AR21" s="8" t="n">
        <v>7.5</v>
      </c>
      <c r="AS21" s="8" t="n">
        <v>16</v>
      </c>
      <c r="AT21" s="8" t="n">
        <v>9</v>
      </c>
      <c r="AU21" s="8" t="n">
        <v>16</v>
      </c>
      <c r="AV21" s="8" t="n">
        <v>9</v>
      </c>
      <c r="AW21" s="8" t="n">
        <v>16</v>
      </c>
      <c r="AX21" s="1" t="n">
        <f aca="false">4+4</f>
        <v>8</v>
      </c>
      <c r="AY21" s="42" t="n">
        <v>17</v>
      </c>
      <c r="AZ21" s="1" t="n">
        <f aca="false">3+4</f>
        <v>7</v>
      </c>
      <c r="BA21" s="42" t="n">
        <v>17</v>
      </c>
      <c r="BB21" s="1" t="n">
        <f aca="false">4+7</f>
        <v>11</v>
      </c>
      <c r="BC21" s="42" t="n">
        <v>17</v>
      </c>
      <c r="BD21" s="1" t="n">
        <f aca="false">4+3</f>
        <v>7</v>
      </c>
      <c r="BE21" s="42" t="n">
        <v>17</v>
      </c>
      <c r="BG21" s="42" t="n">
        <v>17</v>
      </c>
      <c r="BI21" s="42" t="n">
        <v>17</v>
      </c>
    </row>
    <row r="22" customFormat="false" ht="12.75" hidden="false" customHeight="false" outlineLevel="0" collapsed="false">
      <c r="A22" s="17" t="s">
        <v>32</v>
      </c>
      <c r="B22" s="18" t="n">
        <f aca="false">+'[1]QTD Mgmt Summary'!C16/1000</f>
        <v>0.040954</v>
      </c>
      <c r="C22" s="18" t="n">
        <f aca="false">+[1]Expenses!D16/1000</f>
        <v>1.615797</v>
      </c>
      <c r="D22" s="18" t="n">
        <f aca="false">+'[1]QTD Mgmt Summary'!K16/1000</f>
        <v>-1.843474</v>
      </c>
      <c r="E22" s="19" t="n">
        <f aca="false">+'[2]Mgmt Summary'!C16/1000</f>
        <v>0.5</v>
      </c>
      <c r="F22" s="19" t="n">
        <f aca="false">+'[2]Mgmt Summary'!M16/1000</f>
        <v>1.555606</v>
      </c>
      <c r="G22" s="20" t="n">
        <f aca="false">+'[2]Mgmt Summary'!E16/1000</f>
        <v>-1.244696</v>
      </c>
      <c r="H22" s="17" t="s">
        <v>32</v>
      </c>
      <c r="I22" s="18" t="n">
        <f aca="false">+'[3]Mgmt Summary'!G16/1000</f>
        <v>1.648452</v>
      </c>
      <c r="J22" s="18" t="n">
        <f aca="false">+'[3]Mgmt Summary'!M16/1000</f>
        <v>4.582465</v>
      </c>
      <c r="K22" s="18" t="n">
        <f aca="false">+'[3]Mgmt Summary'!O16/1000</f>
        <v>-3.767201</v>
      </c>
      <c r="L22" s="19" t="n">
        <f aca="false">+'[4]Mgmt Summary'!C16/1000</f>
        <v>1.311</v>
      </c>
      <c r="M22" s="19" t="n">
        <f aca="false">+'[4]Mgmt Summary'!M16/1000</f>
        <v>4.356818</v>
      </c>
      <c r="N22" s="20" t="n">
        <f aca="false">+'[3]Mgmt Summary'!E16/1000</f>
        <v>-3.623711</v>
      </c>
      <c r="O22" s="21"/>
      <c r="P22" s="18" t="n">
        <f aca="false">+'[5]Mgmt Summary'!J16/1000</f>
        <v>1.26649</v>
      </c>
      <c r="Q22" s="18" t="n">
        <f aca="false">+'[5]Mgmt Summary'!M16/1000</f>
        <v>3.683199</v>
      </c>
      <c r="R22" s="18" t="n">
        <f aca="false">+'[5]Mgmt Summary'!O16/1000</f>
        <v>-4.15813</v>
      </c>
      <c r="S22" s="19" t="n">
        <f aca="false">+'[5]Mgmt Summary'!C16/1000</f>
        <v>5.705</v>
      </c>
      <c r="T22" s="19" t="n">
        <f aca="false">+[5]Expenses!E16/1000</f>
        <v>4.625078</v>
      </c>
      <c r="U22" s="20" t="n">
        <f aca="false">+'[5]Mgmt Summary'!E16/1000</f>
        <v>0.246839999999999</v>
      </c>
      <c r="V22" s="21"/>
      <c r="W22" s="18" t="n">
        <f aca="false">+'[6]Mgmt Summary'!J16/1000</f>
        <v>-0.152096</v>
      </c>
      <c r="X22" s="18" t="n">
        <f aca="false">+'[6]Mgmt Summary'!M16/1000</f>
        <v>7.322176</v>
      </c>
      <c r="Y22" s="18" t="n">
        <f aca="false">+'[6]Mgmt Summary'!O16/1000</f>
        <v>-8.915306</v>
      </c>
      <c r="Z22" s="19" t="n">
        <f aca="false">+'[7]Mgmt Summary'!C16/1000</f>
        <v>13.3055</v>
      </c>
      <c r="AA22" s="19" t="n">
        <f aca="false">+[7]Expenses!E16/1000</f>
        <v>7.322176</v>
      </c>
      <c r="AB22" s="20" t="n">
        <f aca="false">+'[7]Mgmt Summary'!E16/1000</f>
        <v>4.54229</v>
      </c>
      <c r="AC22" s="21"/>
      <c r="AD22" s="18" t="n">
        <f aca="false">+B22+I22+P22+W22</f>
        <v>2.8038</v>
      </c>
      <c r="AE22" s="18" t="n">
        <f aca="false">+C22+J22+Q22+X22</f>
        <v>17.203637</v>
      </c>
      <c r="AF22" s="18" t="n">
        <f aca="false">+D22+K22+R22+Y22</f>
        <v>-18.684111</v>
      </c>
      <c r="AG22" s="19" t="n">
        <f aca="false">+E22+L22+S22+Z22</f>
        <v>20.8215</v>
      </c>
      <c r="AH22" s="20" t="n">
        <f aca="false">+F22+M22+T22+AA22</f>
        <v>17.859678</v>
      </c>
      <c r="AI22" s="20" t="n">
        <f aca="false">+G22+N22+U22+AB22</f>
        <v>-0.0792769999999985</v>
      </c>
      <c r="AK22" s="9" t="s">
        <v>27</v>
      </c>
      <c r="AL22" s="9" t="n">
        <v>27</v>
      </c>
      <c r="AM22" s="8" t="n">
        <v>32</v>
      </c>
      <c r="AN22" s="8" t="n">
        <v>19</v>
      </c>
      <c r="AO22" s="8" t="n">
        <v>32</v>
      </c>
      <c r="AP22" s="8" t="n">
        <v>21</v>
      </c>
      <c r="AQ22" s="8" t="n">
        <v>32</v>
      </c>
      <c r="AR22" s="9" t="n">
        <v>23</v>
      </c>
      <c r="AS22" s="8" t="n">
        <v>24</v>
      </c>
      <c r="AT22" s="9" t="n">
        <v>27</v>
      </c>
      <c r="AU22" s="8" t="n">
        <v>24</v>
      </c>
      <c r="AV22" s="9" t="n">
        <v>25</v>
      </c>
      <c r="AW22" s="8" t="n">
        <v>24</v>
      </c>
      <c r="AX22" s="1" t="n">
        <f aca="false">27+4</f>
        <v>31</v>
      </c>
      <c r="AY22" s="42" t="n">
        <v>24</v>
      </c>
      <c r="AZ22" s="1" t="n">
        <f aca="false">3+31</f>
        <v>34</v>
      </c>
      <c r="BA22" s="42" t="n">
        <v>26</v>
      </c>
      <c r="BB22" s="1" t="n">
        <f aca="false">7+33+4</f>
        <v>44</v>
      </c>
      <c r="BC22" s="42" t="n">
        <v>26</v>
      </c>
      <c r="BD22" s="8" t="n">
        <f aca="false">2+7+2+37</f>
        <v>48</v>
      </c>
      <c r="BE22" s="42" t="n">
        <v>26</v>
      </c>
      <c r="BG22" s="42" t="n">
        <v>26</v>
      </c>
      <c r="BI22" s="42" t="n">
        <v>26</v>
      </c>
    </row>
    <row r="23" customFormat="false" ht="12.75" hidden="false" customHeight="false" outlineLevel="0" collapsed="false">
      <c r="A23" s="17" t="s">
        <v>44</v>
      </c>
      <c r="B23" s="18" t="n">
        <f aca="false">+'[1]QTD Mgmt Summary'!C17/1000</f>
        <v>1.679991</v>
      </c>
      <c r="C23" s="18" t="n">
        <f aca="false">+[1]Expenses!D17/1000</f>
        <v>2.763129</v>
      </c>
      <c r="D23" s="18" t="n">
        <f aca="false">+'[1]QTD Mgmt Summary'!K17/1000</f>
        <v>-2.158565</v>
      </c>
      <c r="E23" s="19" t="n">
        <f aca="false">+'[2]Mgmt Summary'!C17/1000</f>
        <v>3</v>
      </c>
      <c r="F23" s="19" t="n">
        <f aca="false">+'[2]Mgmt Summary'!M17/1000</f>
        <v>1.43025</v>
      </c>
      <c r="G23" s="20" t="n">
        <f aca="false">+'[2]Mgmt Summary'!E17/1000</f>
        <v>0.365936</v>
      </c>
      <c r="H23" s="17" t="s">
        <v>44</v>
      </c>
      <c r="I23" s="18" t="n">
        <f aca="false">+'[3]Mgmt Summary'!G17/1000</f>
        <v>0.765215</v>
      </c>
      <c r="J23" s="18" t="n">
        <f aca="false">+'[3]Mgmt Summary'!M17/1000</f>
        <v>5.577472</v>
      </c>
      <c r="K23" s="18" t="n">
        <f aca="false">+'[3]Mgmt Summary'!O17/1000</f>
        <v>-5.892272</v>
      </c>
      <c r="L23" s="19" t="n">
        <f aca="false">+'[4]Mgmt Summary'!C17/1000</f>
        <v>5</v>
      </c>
      <c r="M23" s="19" t="n">
        <f aca="false">+'[4]Mgmt Summary'!M17/1000</f>
        <v>1.43025</v>
      </c>
      <c r="N23" s="20" t="n">
        <f aca="false">+'[3]Mgmt Summary'!E17/1000</f>
        <v>2.377904</v>
      </c>
      <c r="O23" s="21"/>
      <c r="P23" s="18" t="n">
        <f aca="false">+'[5]Mgmt Summary'!J17/1000</f>
        <v>1.574353</v>
      </c>
      <c r="Q23" s="18" t="n">
        <f aca="false">+'[5]Mgmt Summary'!M17/1000</f>
        <v>6.143468</v>
      </c>
      <c r="R23" s="18" t="n">
        <f aca="false">+'[5]Mgmt Summary'!O17/1000</f>
        <v>-5.75662</v>
      </c>
      <c r="S23" s="19" t="n">
        <f aca="false">+'[5]Mgmt Summary'!C17/1000</f>
        <v>8</v>
      </c>
      <c r="T23" s="19" t="n">
        <f aca="false">+[5]Expenses!E17/1000</f>
        <v>1.43025</v>
      </c>
      <c r="U23" s="20" t="n">
        <f aca="false">+'[5]Mgmt Summary'!E17/1000</f>
        <v>5.376787</v>
      </c>
      <c r="V23" s="21"/>
      <c r="W23" s="18" t="n">
        <f aca="false">+'[6]Mgmt Summary'!J17/1000</f>
        <v>2.321</v>
      </c>
      <c r="X23" s="18" t="n">
        <f aca="false">+'[6]Mgmt Summary'!M17/1000</f>
        <v>6.27025</v>
      </c>
      <c r="Y23" s="18" t="n">
        <f aca="false">+'[6]Mgmt Summary'!O17/1000</f>
        <v>-5.138428</v>
      </c>
      <c r="Z23" s="19" t="n">
        <f aca="false">+'[7]Mgmt Summary'!C17/1000</f>
        <v>44</v>
      </c>
      <c r="AA23" s="19" t="n">
        <f aca="false">+[7]Expenses!E17/1000</f>
        <v>1.43025</v>
      </c>
      <c r="AB23" s="20" t="n">
        <f aca="false">+'[7]Mgmt Summary'!E17/1000</f>
        <v>41.380572</v>
      </c>
      <c r="AC23" s="21"/>
      <c r="AD23" s="18" t="n">
        <f aca="false">+B23+I23+P23+W23</f>
        <v>6.340559</v>
      </c>
      <c r="AE23" s="18" t="n">
        <f aca="false">+C23+J23+Q23+X23</f>
        <v>20.754319</v>
      </c>
      <c r="AF23" s="18" t="n">
        <f aca="false">+D23+K23+R23+Y23</f>
        <v>-18.945885</v>
      </c>
      <c r="AG23" s="19" t="n">
        <f aca="false">+E23+L23+S23+Z23</f>
        <v>60</v>
      </c>
      <c r="AH23" s="20" t="n">
        <f aca="false">+F23+M23+T23+AA23</f>
        <v>5.721</v>
      </c>
      <c r="AI23" s="20" t="n">
        <f aca="false">+G23+N23+U23+AB23</f>
        <v>49.501199</v>
      </c>
      <c r="AK23" s="9" t="s">
        <v>31</v>
      </c>
      <c r="AL23" s="9" t="n">
        <v>15</v>
      </c>
      <c r="AM23" s="8" t="n">
        <v>26</v>
      </c>
      <c r="AN23" s="9" t="n">
        <v>17</v>
      </c>
      <c r="AO23" s="8" t="n">
        <v>26</v>
      </c>
      <c r="AP23" s="9" t="n">
        <v>18</v>
      </c>
      <c r="AQ23" s="8" t="n">
        <v>26</v>
      </c>
      <c r="AR23" s="9" t="n">
        <v>18</v>
      </c>
      <c r="AS23" s="8" t="n">
        <v>36</v>
      </c>
      <c r="AT23" s="9" t="n">
        <v>18</v>
      </c>
      <c r="AU23" s="8" t="n">
        <v>36</v>
      </c>
      <c r="AV23" s="9" t="n">
        <v>15</v>
      </c>
      <c r="AW23" s="8" t="n">
        <v>40</v>
      </c>
      <c r="AX23" s="8" t="n">
        <v>16</v>
      </c>
      <c r="AY23" s="42" t="n">
        <v>42</v>
      </c>
      <c r="AZ23" s="8" t="n">
        <v>15</v>
      </c>
      <c r="BA23" s="42" t="n">
        <v>42</v>
      </c>
      <c r="BB23" s="8" t="n">
        <v>13</v>
      </c>
      <c r="BC23" s="42" t="n">
        <v>42</v>
      </c>
      <c r="BD23" s="8" t="n">
        <v>30</v>
      </c>
      <c r="BE23" s="42" t="n">
        <v>42</v>
      </c>
      <c r="BG23" s="42" t="n">
        <v>42</v>
      </c>
      <c r="BI23" s="42" t="n">
        <v>42</v>
      </c>
    </row>
    <row r="24" customFormat="false" ht="12.75" hidden="false" customHeight="false" outlineLevel="0" collapsed="false">
      <c r="A24" s="17" t="s">
        <v>45</v>
      </c>
      <c r="B24" s="18" t="n">
        <f aca="false">+'[1]QTD Mgmt Summary'!C19/1000</f>
        <v>-0.959679</v>
      </c>
      <c r="C24" s="18" t="n">
        <f aca="false">+[1]Expenses!D19/1000</f>
        <v>0.428864</v>
      </c>
      <c r="D24" s="18" t="n">
        <f aca="false">+'[1]QTD Mgmt Summary'!K19/1000</f>
        <v>-1.885705</v>
      </c>
      <c r="E24" s="19" t="n">
        <f aca="false">+'[2]Mgmt Summary'!C19/1000</f>
        <v>-0.858501</v>
      </c>
      <c r="F24" s="19" t="n">
        <f aca="false">+'[2]Mgmt Summary'!M19/1000</f>
        <v>0.272542</v>
      </c>
      <c r="G24" s="20" t="n">
        <f aca="false">+'[2]Mgmt Summary'!E19/1000</f>
        <v>-1.700567</v>
      </c>
      <c r="H24" s="17" t="s">
        <v>45</v>
      </c>
      <c r="I24" s="18" t="n">
        <f aca="false">+'[3]Mgmt Summary'!G18/1000</f>
        <v>2.067854</v>
      </c>
      <c r="J24" s="18" t="n">
        <f aca="false">+'[3]Mgmt Summary'!M18/1000</f>
        <v>0.229674</v>
      </c>
      <c r="K24" s="18" t="n">
        <f aca="false">+'[3]Mgmt Summary'!O18/1000</f>
        <v>1.360729</v>
      </c>
      <c r="L24" s="19" t="n">
        <f aca="false">+'[4]Mgmt Summary'!C18/1000</f>
        <v>1.372499</v>
      </c>
      <c r="M24" s="19" t="n">
        <f aca="false">+'[4]Mgmt Summary'!M18/1000</f>
        <v>0.302281</v>
      </c>
      <c r="N24" s="20" t="n">
        <f aca="false">+'[3]Mgmt Summary'!E18/1000</f>
        <v>0.497153</v>
      </c>
      <c r="O24" s="21"/>
      <c r="P24" s="18" t="n">
        <f aca="false">+'[5]Mgmt Summary'!J18/1000</f>
        <v>0</v>
      </c>
      <c r="Q24" s="18" t="n">
        <f aca="false">+'[5]Mgmt Summary'!M18/1000</f>
        <v>0</v>
      </c>
      <c r="R24" s="18" t="n">
        <f aca="false">+'[5]Mgmt Summary'!O18/1000</f>
        <v>0</v>
      </c>
      <c r="S24" s="19" t="n">
        <f aca="false">+'[5]Mgmt Summary'!C18/1000</f>
        <v>0</v>
      </c>
      <c r="T24" s="19" t="n">
        <f aca="false">+[5]Expenses!E18/1000</f>
        <v>0</v>
      </c>
      <c r="U24" s="20" t="n">
        <f aca="false">+'[5]Mgmt Summary'!E18/1000</f>
        <v>0</v>
      </c>
      <c r="V24" s="21"/>
      <c r="W24" s="18"/>
      <c r="X24" s="18"/>
      <c r="Y24" s="18"/>
      <c r="Z24" s="19" t="n">
        <f aca="false">+'[7]Mgmt Summary'!C18/1000</f>
        <v>0</v>
      </c>
      <c r="AA24" s="19" t="n">
        <f aca="false">+[7]Expenses!E18/1000</f>
        <v>0</v>
      </c>
      <c r="AB24" s="20" t="n">
        <f aca="false">+'[7]Mgmt Summary'!E18/1000</f>
        <v>0</v>
      </c>
      <c r="AC24" s="21"/>
      <c r="AD24" s="18" t="n">
        <f aca="false">+B24+I24+P24+W24</f>
        <v>1.108175</v>
      </c>
      <c r="AE24" s="18" t="n">
        <f aca="false">+C24+J24+Q24+X24</f>
        <v>0.658538</v>
      </c>
      <c r="AF24" s="18" t="n">
        <f aca="false">+D24+K24+R24+Y24</f>
        <v>-0.524976</v>
      </c>
      <c r="AG24" s="19" t="n">
        <f aca="false">+E24+L24+S24+Z24</f>
        <v>0.513998</v>
      </c>
      <c r="AH24" s="19" t="n">
        <f aca="false">+F24+M24+T24+AA24</f>
        <v>0.574823</v>
      </c>
      <c r="AI24" s="20" t="n">
        <f aca="false">+G24+N24+U24+AB24</f>
        <v>-1.203414</v>
      </c>
      <c r="AK24" s="9" t="s">
        <v>32</v>
      </c>
      <c r="AL24" s="9" t="n">
        <v>7</v>
      </c>
      <c r="AM24" s="8" t="n">
        <v>6</v>
      </c>
      <c r="AN24" s="8" t="n">
        <v>8</v>
      </c>
      <c r="AO24" s="8" t="n">
        <v>6</v>
      </c>
      <c r="AP24" s="8" t="n">
        <v>20</v>
      </c>
      <c r="AQ24" s="8" t="n">
        <v>20</v>
      </c>
      <c r="AR24" s="9" t="n">
        <v>22</v>
      </c>
      <c r="AS24" s="8" t="n">
        <v>37</v>
      </c>
      <c r="AT24" s="9" t="n">
        <v>57</v>
      </c>
      <c r="AU24" s="8" t="n">
        <v>37</v>
      </c>
      <c r="AV24" s="9" t="n">
        <v>42</v>
      </c>
      <c r="AW24" s="8" t="n">
        <v>37</v>
      </c>
      <c r="AX24" s="8" t="n">
        <v>51</v>
      </c>
      <c r="AY24" s="42" t="n">
        <v>63</v>
      </c>
      <c r="AZ24" s="8" t="n">
        <v>55</v>
      </c>
      <c r="BA24" s="42" t="n">
        <v>63</v>
      </c>
      <c r="BB24" s="8" t="n">
        <v>62</v>
      </c>
      <c r="BC24" s="42" t="n">
        <v>63</v>
      </c>
      <c r="BD24" s="8" t="n">
        <v>62</v>
      </c>
      <c r="BE24" s="42" t="n">
        <v>92</v>
      </c>
      <c r="BG24" s="42" t="n">
        <v>92</v>
      </c>
      <c r="BI24" s="42" t="n">
        <v>92</v>
      </c>
    </row>
    <row r="25" customFormat="false" ht="12.75" hidden="false" customHeight="false" outlineLevel="0" collapsed="false">
      <c r="A25" s="17" t="s">
        <v>35</v>
      </c>
      <c r="B25" s="18"/>
      <c r="C25" s="18"/>
      <c r="D25" s="18"/>
      <c r="E25" s="19"/>
      <c r="F25" s="19"/>
      <c r="G25" s="20"/>
      <c r="H25" s="17" t="s">
        <v>35</v>
      </c>
      <c r="I25" s="18"/>
      <c r="J25" s="18"/>
      <c r="K25" s="18"/>
      <c r="L25" s="19"/>
      <c r="M25" s="19"/>
      <c r="N25" s="20"/>
      <c r="O25" s="21"/>
      <c r="P25" s="18" t="n">
        <f aca="false">+'[5]Mgmt Summary'!J19/1000</f>
        <v>0.000849</v>
      </c>
      <c r="Q25" s="18" t="n">
        <f aca="false">+'[5]Mgmt Summary'!M19/1000</f>
        <v>0.930877</v>
      </c>
      <c r="R25" s="18" t="n">
        <f aca="false">+'[5]Mgmt Summary'!O19/1000</f>
        <v>-2.53091</v>
      </c>
      <c r="S25" s="19" t="n">
        <f aca="false">+'[5]Mgmt Summary'!C19/1000</f>
        <v>3.75</v>
      </c>
      <c r="T25" s="19" t="n">
        <f aca="false">+[5]Expenses!E19/1000</f>
        <v>1.542486</v>
      </c>
      <c r="U25" s="20" t="n">
        <f aca="false">+'[5]Mgmt Summary'!E19/1000</f>
        <v>0.383622</v>
      </c>
      <c r="V25" s="21"/>
      <c r="W25" s="18" t="n">
        <f aca="false">+'[6]Mgmt Summary'!J19/1000</f>
        <v>0.001476</v>
      </c>
      <c r="X25" s="18" t="n">
        <f aca="false">+'[6]Mgmt Summary'!M19/1000</f>
        <v>1.542486</v>
      </c>
      <c r="Y25" s="18" t="n">
        <f aca="false">+'[6]Mgmt Summary'!O19/1000</f>
        <v>-3.364902</v>
      </c>
      <c r="Z25" s="19" t="n">
        <f aca="false">+'[7]Mgmt Summary'!C19/1000</f>
        <v>3.75</v>
      </c>
      <c r="AA25" s="19" t="n">
        <f aca="false">+[7]Expenses!E19/1000</f>
        <v>1.542486</v>
      </c>
      <c r="AB25" s="20" t="n">
        <f aca="false">+'[7]Mgmt Summary'!E19/1000</f>
        <v>0.383622</v>
      </c>
      <c r="AC25" s="21"/>
      <c r="AD25" s="18" t="n">
        <f aca="false">+B25+I25+P25+W25</f>
        <v>0.002325</v>
      </c>
      <c r="AE25" s="18" t="n">
        <f aca="false">+C25+J25+Q25+X25</f>
        <v>2.473363</v>
      </c>
      <c r="AF25" s="18" t="n">
        <f aca="false">+D25+K25+R25+Y25</f>
        <v>-5.895812</v>
      </c>
      <c r="AG25" s="19" t="n">
        <f aca="false">+E25+L25+S25+Z25</f>
        <v>7.5</v>
      </c>
      <c r="AH25" s="19" t="n">
        <f aca="false">+F25+M25+T25+AA25</f>
        <v>3.084972</v>
      </c>
      <c r="AI25" s="20" t="n">
        <f aca="false">+G25+N25+U25+AB25</f>
        <v>0.767244</v>
      </c>
      <c r="AK25" s="9" t="s">
        <v>35</v>
      </c>
      <c r="AL25" s="9"/>
      <c r="AM25" s="8"/>
      <c r="AN25" s="8"/>
      <c r="AO25" s="8"/>
      <c r="AP25" s="8"/>
      <c r="AQ25" s="8"/>
      <c r="AR25" s="9"/>
      <c r="AS25" s="8"/>
      <c r="AT25" s="9"/>
      <c r="AU25" s="8"/>
      <c r="AW25" s="8"/>
      <c r="AX25" s="1" t="n">
        <v>19</v>
      </c>
      <c r="AY25" s="42" t="n">
        <v>24</v>
      </c>
      <c r="AZ25" s="1" t="n">
        <v>19</v>
      </c>
      <c r="BA25" s="42" t="n">
        <v>24</v>
      </c>
      <c r="BB25" s="1" t="n">
        <v>18</v>
      </c>
      <c r="BC25" s="42" t="n">
        <v>24</v>
      </c>
      <c r="BD25" s="8" t="n">
        <v>18</v>
      </c>
      <c r="BE25" s="42" t="n">
        <v>27</v>
      </c>
      <c r="BG25" s="42" t="n">
        <v>27</v>
      </c>
      <c r="BI25" s="42" t="n">
        <v>27</v>
      </c>
    </row>
    <row r="26" customFormat="false" ht="13.5" hidden="false" customHeight="false" outlineLevel="0" collapsed="false">
      <c r="A26" s="28" t="s">
        <v>37</v>
      </c>
      <c r="B26" s="18" t="n">
        <f aca="false">+('[1]QTD Mgmt Summary'!C20+'[1]QTD Mgmt Summary'!C21+'[1]QTD Mgmt Summary'!C25+'[1]QTD Mgmt Summary'!C26+'[1]QTD Mgmt Summary'!C32)/1000+'[1]QTD Mgmt Summary'!C18/1000</f>
        <v>0.215968</v>
      </c>
      <c r="C26" s="18" t="n">
        <f aca="false">(+[1]Expenses!$D$20+[1]Expenses!$D$21+[1]Expenses!$D$25)/1000+[1]Expenses!D18/1000</f>
        <v>33.163512</v>
      </c>
      <c r="D26" s="18" t="n">
        <f aca="false">(+'[1]QTD Mgmt Summary'!K20+'[1]QTD Mgmt Summary'!K21+'[1]QTD Mgmt Summary'!K25+'[1]QTD Mgmt Summary'!K26+'[1]QTD Mgmt Summary'!K27)/1000+'[1]QTD Mgmt Summary'!K18/1000</f>
        <v>-15.7017925</v>
      </c>
      <c r="E26" s="19" t="n">
        <f aca="false">+('[2]Mgmt Summary'!$C$18+'[2]Mgmt Summary'!$C$20+'[2]Mgmt Summary'!$C$21+'[2]Mgmt Summary'!$C$22+'[2]Mgmt Summary'!$C$26+'[2]Mgmt Summary'!$C$27)/1000</f>
        <v>2.523</v>
      </c>
      <c r="F26" s="19" t="n">
        <f aca="false">+('[2]Mgmt Summary'!$M$18+'[2]Mgmt Summary'!$M$20+'[2]Mgmt Summary'!$M$21+'[2]Mgmt Summary'!$M$22+'[2]Mgmt Summary'!$M$26+'[2]Mgmt Summary'!$M$27)/1000</f>
        <v>29.978773</v>
      </c>
      <c r="G26" s="20" t="n">
        <f aca="false">+('[2]Mgmt Summary'!$E$18+'[2]Mgmt Summary'!$E$20+'[2]Mgmt Summary'!$E$21+'[2]Mgmt Summary'!$E$22+'[2]Mgmt Summary'!$E$26+'[2]Mgmt Summary'!$E$27)/1000</f>
        <v>-6.109408</v>
      </c>
      <c r="H26" s="28" t="s">
        <v>38</v>
      </c>
      <c r="I26" s="18" t="n">
        <f aca="false">SUM('[3]Mgmt Summary'!$G$19:$G$22)/1000</f>
        <v>2.131763</v>
      </c>
      <c r="J26" s="18" t="n">
        <f aca="false">SUM('[3]Mgmt Summary'!$M$19:$M$22)/1000+'[3]Mgmt Summary'!$M$26/1000</f>
        <v>33.355591</v>
      </c>
      <c r="K26" s="18" t="n">
        <f aca="false">SUM('[3]Mgmt Summary'!$O$19:$O$22)/1000+'[3]Mgmt Summary'!$O$26/1000+'[3]Mgmt Summary'!$O$27/1000</f>
        <v>-13.751741</v>
      </c>
      <c r="L26" s="19" t="n">
        <f aca="false">SUM('[3]Mgmt Summary'!$C$19:$C$22)/1000</f>
        <v>6.216104</v>
      </c>
      <c r="M26" s="19" t="n">
        <f aca="false">SUM(([3]Expenses!$E$19:$E$21))/1000+[3]Expenses!$E$25/1000</f>
        <v>29.624557</v>
      </c>
      <c r="N26" s="43" t="n">
        <f aca="false">+('[3]Mgmt Summary'!E19+'[3]Mgmt Summary'!E20+'[3]Mgmt Summary'!E21+'[3]Mgmt Summary'!E22+'[3]Mgmt Summary'!E26+'[3]Mgmt Summary'!E27)/1000</f>
        <v>-1.91598299999999</v>
      </c>
      <c r="O26" s="21"/>
      <c r="P26" s="18" t="n">
        <f aca="false">SUM('[5]Mgmt Summary'!$J$20:$J$23)/1000+SUM('[5]Mgmt Summary'!$J$27)/1000+45</f>
        <v>-3.775806</v>
      </c>
      <c r="Q26" s="18" t="n">
        <f aca="false">SUM('[5]Mgmt Summary'!M20:M23)/1000+'[5]Mgmt Summary'!$M$27/1000</f>
        <v>1.176195</v>
      </c>
      <c r="R26" s="18" t="n">
        <f aca="false">SUM('[5]Mgmt Summary'!O20:O23)/1000+'[5]Mgmt Summary'!$O$27/1000+'[5]Mgmt Summary'!$O$28/1000+'[5]Mgmt Summary'!$O$29/1000+'[5]Mgmt Summary'!$O$30/1000</f>
        <v>-59.272212</v>
      </c>
      <c r="S26" s="19" t="n">
        <f aca="false">+SUM(('[5]Mgmt Summary'!C20:C23))/1000</f>
        <v>7.203701</v>
      </c>
      <c r="T26" s="19" t="n">
        <f aca="false">+SUM(([5]Expenses!E20:E22))/1000+[5]Expenses!$E$27/1000</f>
        <v>31.272688</v>
      </c>
      <c r="U26" s="43" t="n">
        <f aca="false">+SUM(('[5]Mgmt Summary'!E20:E23))/1000+'[5]Mgmt Summary'!$E$27/1000+'[5]Mgmt Summary'!$E$28/1000+'[5]Mgmt Summary'!$E$29/1000+'[5]Mgmt Summary'!$E$30/1000</f>
        <v>-1.120917</v>
      </c>
      <c r="V26" s="21"/>
      <c r="W26" s="18" t="n">
        <f aca="false">SUM('[6]Mgmt Summary'!$J$20:$J$24)/1000+('[6]Mgmt Summary'!$J$27)/1000</f>
        <v>-28.853</v>
      </c>
      <c r="X26" s="18" t="n">
        <f aca="false">SUM('[6]Mgmt Summary'!$M$20:$M$24)/1000+'[6]Mgmt Summary'!$M$28/1000</f>
        <v>1.371521</v>
      </c>
      <c r="Y26" s="18" t="n">
        <f aca="false">SUM('[6]Mgmt Summary'!$O$20:$O$24)/1000+'[6]Mgmt Summary'!$O$28/1000+'[6]Mgmt Summary'!$O$29/1000+'[6]Mgmt Summary'!$O$27/1000+'[6]Mgmt Summary'!$O$30/1000</f>
        <v>-50.218254</v>
      </c>
      <c r="Z26" s="19" t="n">
        <f aca="false">('[7]Mgmt Summary'!C20+'[7]Mgmt Summary'!C21+'[7]Mgmt Summary'!C22+'[7]Mgmt Summary'!C23)/1000</f>
        <v>3.333392</v>
      </c>
      <c r="AA26" s="19" t="n">
        <f aca="false">+([7]Expenses!$E$20+[7]Expenses!$E$21+[7]Expenses!$E$22+[7]Expenses!$E$26)/1000</f>
        <v>44.013506</v>
      </c>
      <c r="AB26" s="43" t="n">
        <f aca="false">+('[7]Mgmt Summary'!$E$20+'[7]Mgmt Summary'!$E$21+'[7]Mgmt Summary'!$E$22+'[7]Mgmt Summary'!$E$23+'[7]Mgmt Summary'!$E$27+'[7]Mgmt Summary'!$E$28)/1000</f>
        <v>-18.031862</v>
      </c>
      <c r="AC26" s="21"/>
      <c r="AD26" s="18" t="n">
        <f aca="false">+B26+I26+P26+W26</f>
        <v>-30.281075</v>
      </c>
      <c r="AE26" s="18" t="n">
        <f aca="false">+C26+J26+Q26+X26</f>
        <v>69.066819</v>
      </c>
      <c r="AF26" s="18" t="n">
        <f aca="false">+D26+K26+R26+Y26</f>
        <v>-138.9439995</v>
      </c>
      <c r="AG26" s="19" t="n">
        <f aca="false">+E26+L26+S26+Z26</f>
        <v>19.276197</v>
      </c>
      <c r="AH26" s="19" t="n">
        <f aca="false">+F26+M26+T26+AA26</f>
        <v>134.889524</v>
      </c>
      <c r="AI26" s="20" t="n">
        <f aca="false">+G26+N26+U26+AB26</f>
        <v>-27.17817</v>
      </c>
      <c r="AK26" s="9" t="s">
        <v>44</v>
      </c>
      <c r="AL26" s="9" t="n">
        <v>33</v>
      </c>
      <c r="AM26" s="8" t="n">
        <v>44</v>
      </c>
      <c r="AN26" s="8" t="n">
        <v>32</v>
      </c>
      <c r="AO26" s="8" t="n">
        <v>44</v>
      </c>
      <c r="AP26" s="8" t="n">
        <v>33.5</v>
      </c>
      <c r="AQ26" s="8" t="n">
        <v>44</v>
      </c>
      <c r="AR26" s="9" t="n">
        <v>34.5</v>
      </c>
      <c r="AS26" s="8" t="n">
        <v>44</v>
      </c>
      <c r="AT26" s="9" t="n">
        <v>37</v>
      </c>
      <c r="AU26" s="8" t="n">
        <v>44</v>
      </c>
      <c r="AV26" s="8" t="n">
        <v>33</v>
      </c>
      <c r="AW26" s="8" t="n">
        <v>44</v>
      </c>
      <c r="AX26" s="8" t="n">
        <f aca="false">33+2</f>
        <v>35</v>
      </c>
      <c r="AY26" s="42" t="n">
        <v>44</v>
      </c>
      <c r="AZ26" s="8" t="n">
        <v>36</v>
      </c>
      <c r="BA26" s="42" t="n">
        <v>44</v>
      </c>
      <c r="BB26" s="8" t="n">
        <v>34</v>
      </c>
      <c r="BC26" s="42" t="n">
        <v>44</v>
      </c>
      <c r="BD26" s="8" t="n">
        <v>38</v>
      </c>
      <c r="BE26" s="42" t="n">
        <v>44</v>
      </c>
      <c r="BG26" s="42" t="n">
        <v>44</v>
      </c>
      <c r="BI26" s="42" t="n">
        <v>44</v>
      </c>
    </row>
    <row r="27" customFormat="false" ht="13.5" hidden="false" customHeight="false" outlineLevel="0" collapsed="false">
      <c r="A27" s="17" t="s">
        <v>39</v>
      </c>
      <c r="B27" s="29" t="n">
        <f aca="false">SUM(B16:B26)</f>
        <v>100.66806961</v>
      </c>
      <c r="C27" s="30" t="n">
        <f aca="false">SUM(C16:C26)</f>
        <v>54.071289</v>
      </c>
      <c r="D27" s="30" t="n">
        <f aca="false">SUM(D16:D26)</f>
        <v>46.31566261</v>
      </c>
      <c r="E27" s="31" t="n">
        <f aca="false">SUM(E16:E26)</f>
        <v>97.29875</v>
      </c>
      <c r="F27" s="31" t="n">
        <f aca="false">SUM(F16:F26)</f>
        <v>52.31021</v>
      </c>
      <c r="G27" s="32" t="n">
        <f aca="false">SUM(G16:G26)</f>
        <v>44.98854</v>
      </c>
      <c r="H27" s="17" t="s">
        <v>39</v>
      </c>
      <c r="I27" s="29" t="n">
        <f aca="false">SUM(I16:I26)</f>
        <v>94.20920152</v>
      </c>
      <c r="J27" s="29" t="n">
        <f aca="false">SUM(J16:J26)</f>
        <v>59.979376</v>
      </c>
      <c r="K27" s="29" t="n">
        <f aca="false">SUM(K16:K26)</f>
        <v>34.12996452</v>
      </c>
      <c r="L27" s="33" t="n">
        <f aca="false">SUM(L16:L26)</f>
        <v>111.603422</v>
      </c>
      <c r="M27" s="31" t="n">
        <f aca="false">SUM(M16:M26)</f>
        <v>55.578955</v>
      </c>
      <c r="N27" s="32" t="n">
        <f aca="false">SUM(N16:N26)</f>
        <v>56.023991</v>
      </c>
      <c r="O27" s="34"/>
      <c r="P27" s="29" t="n">
        <f aca="false">SUM(P16:P26)</f>
        <v>31.03848</v>
      </c>
      <c r="Q27" s="30" t="n">
        <f aca="false">SUM(Q16:Q26)</f>
        <v>32.755734</v>
      </c>
      <c r="R27" s="30" t="n">
        <f aca="false">SUM(R16:R26)</f>
        <v>-31.105954</v>
      </c>
      <c r="S27" s="33" t="n">
        <f aca="false">SUM(S16:S26)</f>
        <v>123.813053</v>
      </c>
      <c r="T27" s="31" t="n">
        <f aca="false">SUM(T16:T26)</f>
        <v>58.601922</v>
      </c>
      <c r="U27" s="32" t="n">
        <f aca="false">SUM(U16:U26)</f>
        <v>65.211131</v>
      </c>
      <c r="V27" s="34"/>
      <c r="W27" s="29" t="n">
        <f aca="false">SUM(W16:W26)</f>
        <v>-76.862034</v>
      </c>
      <c r="X27" s="30" t="n">
        <f aca="false">SUM(X16:X26)</f>
        <v>35.094577</v>
      </c>
      <c r="Y27" s="30" t="n">
        <f aca="false">SUM(Y16:Y26)</f>
        <v>-154.598596</v>
      </c>
      <c r="Z27" s="33" t="n">
        <f aca="false">SUM(Z16:Z26)</f>
        <v>175.311472</v>
      </c>
      <c r="AA27" s="31" t="n">
        <f aca="false">SUM(AA16:AA26)</f>
        <v>72.596562</v>
      </c>
      <c r="AB27" s="32" t="n">
        <f aca="false">SUM(AB16:AB26)</f>
        <v>102.71491</v>
      </c>
      <c r="AC27" s="21"/>
      <c r="AD27" s="29" t="n">
        <f aca="false">SUM(AD16:AD26)</f>
        <v>149.05371713</v>
      </c>
      <c r="AE27" s="30" t="n">
        <f aca="false">SUM(AE16:AE26)</f>
        <v>181.900976</v>
      </c>
      <c r="AF27" s="30" t="n">
        <f aca="false">SUM(AF16:AF26)</f>
        <v>-105.25892287</v>
      </c>
      <c r="AG27" s="33" t="n">
        <f aca="false">SUM(AG16:AG26)</f>
        <v>508.026697</v>
      </c>
      <c r="AH27" s="31" t="n">
        <f aca="false">SUM(AH16:AH26)</f>
        <v>239.087649</v>
      </c>
      <c r="AI27" s="32" t="n">
        <f aca="false">SUM(AI16:AI26)</f>
        <v>268.938572</v>
      </c>
      <c r="AK27" s="9" t="s">
        <v>45</v>
      </c>
      <c r="AL27" s="9" t="n">
        <v>5</v>
      </c>
      <c r="AM27" s="8" t="n">
        <v>6</v>
      </c>
      <c r="AN27" s="8" t="n">
        <v>5</v>
      </c>
      <c r="AO27" s="8" t="n">
        <v>6</v>
      </c>
      <c r="AP27" s="8" t="n">
        <v>5</v>
      </c>
      <c r="AQ27" s="8" t="n">
        <v>7</v>
      </c>
      <c r="AR27" s="9" t="n">
        <v>5</v>
      </c>
      <c r="AS27" s="8" t="n">
        <v>7</v>
      </c>
      <c r="AT27" s="9" t="n">
        <v>4</v>
      </c>
      <c r="AU27" s="8" t="n">
        <v>7</v>
      </c>
      <c r="AV27" s="8" t="n">
        <v>4</v>
      </c>
      <c r="AW27" s="8" t="n">
        <v>9</v>
      </c>
      <c r="AX27" s="8" t="n">
        <v>0</v>
      </c>
      <c r="AY27" s="42"/>
      <c r="BA27" s="42"/>
      <c r="BC27" s="42"/>
      <c r="BE27" s="42"/>
      <c r="BG27" s="42"/>
      <c r="BI27" s="42"/>
    </row>
    <row r="28" customFormat="false" ht="12.75" hidden="false" customHeight="false" outlineLevel="0" collapsed="false">
      <c r="A28" s="9"/>
      <c r="B28" s="34"/>
      <c r="C28" s="34"/>
      <c r="D28" s="34"/>
      <c r="E28" s="34"/>
      <c r="F28" s="34"/>
      <c r="G28" s="34"/>
      <c r="H28" s="9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21"/>
      <c r="AD28" s="34"/>
      <c r="AE28" s="34"/>
      <c r="AF28" s="34"/>
      <c r="AG28" s="34"/>
      <c r="AH28" s="34"/>
      <c r="AI28" s="34"/>
      <c r="AK28" s="9" t="s">
        <v>46</v>
      </c>
      <c r="AL28" s="9" t="n">
        <v>20</v>
      </c>
      <c r="AM28" s="8" t="n">
        <v>22</v>
      </c>
      <c r="AN28" s="9" t="n">
        <v>19</v>
      </c>
      <c r="AO28" s="8" t="n">
        <v>22</v>
      </c>
      <c r="AP28" s="9" t="n">
        <v>19</v>
      </c>
      <c r="AQ28" s="8" t="n">
        <v>22</v>
      </c>
      <c r="AR28" s="9" t="n">
        <v>0</v>
      </c>
      <c r="AS28" s="8" t="n">
        <v>0</v>
      </c>
      <c r="AT28" s="9" t="n">
        <v>0</v>
      </c>
      <c r="AU28" s="8" t="n">
        <v>0</v>
      </c>
      <c r="AW28" s="8" t="n">
        <v>0</v>
      </c>
      <c r="AX28" s="8" t="n">
        <v>0</v>
      </c>
      <c r="AY28" s="42" t="n">
        <v>0</v>
      </c>
      <c r="BA28" s="42" t="n">
        <v>0</v>
      </c>
      <c r="BC28" s="42" t="n">
        <v>0</v>
      </c>
      <c r="BE28" s="42" t="n">
        <v>0</v>
      </c>
      <c r="BG28" s="42" t="n">
        <v>0</v>
      </c>
      <c r="BI28" s="42" t="n">
        <v>0</v>
      </c>
    </row>
    <row r="29" customFormat="false" ht="12.75" hidden="false" customHeight="false" outlineLevel="0" collapsed="false">
      <c r="A29" s="9"/>
      <c r="B29" s="34"/>
      <c r="C29" s="34"/>
      <c r="D29" s="34"/>
      <c r="E29" s="34"/>
      <c r="F29" s="34"/>
      <c r="G29" s="34"/>
      <c r="H29" s="9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K29" s="9" t="s">
        <v>33</v>
      </c>
      <c r="AL29" s="8" t="n">
        <v>40</v>
      </c>
      <c r="AM29" s="8" t="n">
        <v>54</v>
      </c>
      <c r="AN29" s="8" t="n">
        <v>42</v>
      </c>
      <c r="AO29" s="8" t="n">
        <v>54</v>
      </c>
      <c r="AP29" s="8" t="n">
        <v>41</v>
      </c>
      <c r="AQ29" s="8" t="n">
        <v>54</v>
      </c>
      <c r="AR29" s="9" t="n">
        <v>41</v>
      </c>
      <c r="AS29" s="8" t="n">
        <v>54</v>
      </c>
      <c r="AT29" s="9" t="n">
        <v>46</v>
      </c>
      <c r="AU29" s="8" t="n">
        <v>54</v>
      </c>
      <c r="AV29" s="9" t="n">
        <v>48</v>
      </c>
      <c r="AW29" s="8" t="n">
        <v>54</v>
      </c>
      <c r="AX29" s="2" t="n">
        <f aca="false">11+1+20+7+5+2</f>
        <v>46</v>
      </c>
      <c r="AY29" s="42" t="n">
        <v>54</v>
      </c>
      <c r="AZ29" s="2" t="n">
        <f aca="false">6+2+21+7+5</f>
        <v>41</v>
      </c>
      <c r="BA29" s="42" t="n">
        <v>54</v>
      </c>
      <c r="BB29" s="2" t="n">
        <f aca="false">3+2+21+7+5</f>
        <v>38</v>
      </c>
      <c r="BC29" s="42" t="n">
        <v>54</v>
      </c>
      <c r="BD29" s="2" t="n">
        <f aca="false">2+20+7+5</f>
        <v>34</v>
      </c>
      <c r="BE29" s="42" t="n">
        <v>54</v>
      </c>
      <c r="BF29" s="2"/>
      <c r="BG29" s="42" t="n">
        <v>54</v>
      </c>
      <c r="BH29" s="2"/>
      <c r="BI29" s="42" t="n">
        <v>54</v>
      </c>
    </row>
    <row r="30" customFormat="false" ht="12.75" hidden="false" customHeight="false" outlineLevel="0" collapsed="false">
      <c r="A30" s="9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K30" s="9" t="s">
        <v>40</v>
      </c>
      <c r="AL30" s="8" t="n">
        <f aca="false">5+7+208</f>
        <v>220</v>
      </c>
      <c r="AM30" s="9" t="n">
        <f aca="false">5+8+217</f>
        <v>230</v>
      </c>
      <c r="AN30" s="8" t="n">
        <f aca="false">5+7+221</f>
        <v>233</v>
      </c>
      <c r="AO30" s="9" t="n">
        <f aca="false">8+5+215</f>
        <v>228</v>
      </c>
      <c r="AP30" s="8" t="n">
        <f aca="false">7+5+216</f>
        <v>228</v>
      </c>
      <c r="AQ30" s="9" t="n">
        <f aca="false">8+5+215</f>
        <v>228</v>
      </c>
      <c r="AR30" s="1" t="n">
        <f aca="false">130+5+10</f>
        <v>145</v>
      </c>
      <c r="AS30" s="9" t="n">
        <f aca="false">106</f>
        <v>106</v>
      </c>
      <c r="AT30" s="1" t="n">
        <v>158</v>
      </c>
      <c r="AU30" s="9" t="n">
        <f aca="false">105+8+5</f>
        <v>118</v>
      </c>
      <c r="AV30" s="1" t="n">
        <f aca="false">108+5+10+28</f>
        <v>151</v>
      </c>
      <c r="AW30" s="9" t="n">
        <f aca="false">107+5+8</f>
        <v>120</v>
      </c>
      <c r="AX30" s="1" t="n">
        <f aca="false">11+6+94+32+1</f>
        <v>144</v>
      </c>
      <c r="AY30" s="9" t="n">
        <f aca="false">107+5+8</f>
        <v>120</v>
      </c>
      <c r="AZ30" s="1" t="n">
        <f aca="false">31+11+4+95</f>
        <v>141</v>
      </c>
      <c r="BA30" s="9" t="n">
        <f aca="false">107+5+8</f>
        <v>120</v>
      </c>
      <c r="BB30" s="1" t="n">
        <f aca="false">11+28+4+95</f>
        <v>138</v>
      </c>
      <c r="BC30" s="9" t="n">
        <f aca="false">105+5+8</f>
        <v>118</v>
      </c>
      <c r="BD30" s="1" t="n">
        <f aca="false">11+27+6+121</f>
        <v>165</v>
      </c>
      <c r="BE30" s="9" t="n">
        <f aca="false">105+5+8</f>
        <v>118</v>
      </c>
      <c r="BG30" s="9" t="n">
        <f aca="false">105+5+8</f>
        <v>118</v>
      </c>
      <c r="BI30" s="9" t="n">
        <f aca="false">105+5+8</f>
        <v>118</v>
      </c>
      <c r="BJ30" s="2"/>
      <c r="BK30" s="2"/>
      <c r="BL30" s="2"/>
      <c r="BM30" s="2"/>
    </row>
    <row r="31" customFormat="false" ht="12.75" hidden="false" customHeight="false" outlineLevel="0" collapsed="false">
      <c r="A31" s="44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K31" s="7" t="s">
        <v>41</v>
      </c>
      <c r="AL31" s="7" t="n">
        <f aca="false">SUM(AL19:AL30)</f>
        <v>545</v>
      </c>
      <c r="AM31" s="37" t="n">
        <f aca="false">SUM(AM19:AM30)</f>
        <v>622</v>
      </c>
      <c r="AN31" s="37" t="n">
        <f aca="false">SUM(AN19:AN30)</f>
        <v>551</v>
      </c>
      <c r="AO31" s="37" t="n">
        <f aca="false">SUM(AO19:AO30)</f>
        <v>620</v>
      </c>
      <c r="AP31" s="37" t="n">
        <f aca="false">SUM(AP19:AP30)</f>
        <v>562</v>
      </c>
      <c r="AQ31" s="37" t="n">
        <f aca="false">SUM(AQ19:AQ30)</f>
        <v>635</v>
      </c>
      <c r="AR31" s="37" t="n">
        <f aca="false">SUM(AR19:AR30)</f>
        <v>464</v>
      </c>
      <c r="AS31" s="37" t="n">
        <f aca="false">SUM(AS19:AS30)</f>
        <v>513</v>
      </c>
      <c r="AT31" s="37" t="n">
        <f aca="false">SUM(AT19:AT30)</f>
        <v>523</v>
      </c>
      <c r="AU31" s="37" t="n">
        <f aca="false">SUM(AU19:AU30)</f>
        <v>524</v>
      </c>
      <c r="AV31" s="37" t="n">
        <f aca="false">SUM(AV19:AV30)</f>
        <v>497</v>
      </c>
      <c r="AW31" s="37" t="n">
        <f aca="false">SUM(AW19:AW30)</f>
        <v>533</v>
      </c>
      <c r="AX31" s="37" t="n">
        <f aca="false">SUM(AX19:AX30)</f>
        <v>541</v>
      </c>
      <c r="AY31" s="37" t="n">
        <f aca="false">SUM(AY19:AY30)</f>
        <v>578</v>
      </c>
      <c r="AZ31" s="37" t="n">
        <f aca="false">SUM(AZ19:AZ30)</f>
        <v>553</v>
      </c>
      <c r="BA31" s="37" t="n">
        <f aca="false">SUM(BA19:BA30)</f>
        <v>580</v>
      </c>
      <c r="BB31" s="37" t="n">
        <f aca="false">SUM(BB19:BB30)</f>
        <v>561</v>
      </c>
      <c r="BC31" s="37" t="n">
        <f aca="false">SUM(BC19:BC30)</f>
        <v>578</v>
      </c>
      <c r="BD31" s="37" t="n">
        <f aca="false">SUM(BD19:BD30)</f>
        <v>634</v>
      </c>
      <c r="BE31" s="37" t="n">
        <f aca="false">SUM(BE19:BE30)</f>
        <v>610</v>
      </c>
      <c r="BG31" s="37" t="n">
        <f aca="false">SUM(BG19:BG30)</f>
        <v>610</v>
      </c>
      <c r="BI31" s="37" t="n">
        <f aca="false">SUM(BI19:BI30)</f>
        <v>610</v>
      </c>
      <c r="BJ31" s="2"/>
      <c r="BK31" s="2"/>
      <c r="BL31" s="2"/>
      <c r="BM31" s="2"/>
    </row>
    <row r="32" customFormat="false" ht="13.5" hidden="false" customHeight="false" outlineLevel="0" collapsed="false">
      <c r="A32" s="9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45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N32" s="2"/>
      <c r="AP32" s="2"/>
      <c r="AQ32" s="9"/>
      <c r="AR32" s="7"/>
      <c r="AS32" s="7"/>
      <c r="AT32" s="7"/>
      <c r="AU32" s="7"/>
      <c r="AV32" s="7"/>
      <c r="AW32" s="7"/>
      <c r="AX32" s="46"/>
      <c r="AY32" s="7"/>
      <c r="BA32" s="7"/>
      <c r="BC32" s="7"/>
      <c r="BJ32" s="2"/>
      <c r="BK32" s="2"/>
      <c r="BL32" s="2"/>
      <c r="BM32" s="2"/>
    </row>
    <row r="33" customFormat="false" ht="12.75" hidden="false" customHeight="false" outlineLevel="0" collapsed="false">
      <c r="A33" s="47"/>
      <c r="B33" s="48" t="s">
        <v>47</v>
      </c>
      <c r="C33" s="49" t="s">
        <v>47</v>
      </c>
      <c r="D33" s="49" t="s">
        <v>47</v>
      </c>
      <c r="E33" s="50" t="s">
        <v>47</v>
      </c>
      <c r="F33" s="51"/>
      <c r="G33" s="51"/>
      <c r="H33" s="47"/>
      <c r="I33" s="48" t="s">
        <v>48</v>
      </c>
      <c r="J33" s="49" t="s">
        <v>48</v>
      </c>
      <c r="K33" s="49" t="s">
        <v>48</v>
      </c>
      <c r="L33" s="50" t="s">
        <v>48</v>
      </c>
      <c r="N33" s="52"/>
      <c r="AK33" s="53"/>
      <c r="AL33" s="7"/>
      <c r="AM33" s="7"/>
      <c r="AR33" s="51"/>
    </row>
    <row r="34" customFormat="false" ht="13.5" hidden="false" customHeight="false" outlineLevel="0" collapsed="false">
      <c r="A34" s="54" t="s">
        <v>49</v>
      </c>
      <c r="B34" s="55" t="s">
        <v>0</v>
      </c>
      <c r="C34" s="56" t="s">
        <v>50</v>
      </c>
      <c r="D34" s="56" t="s">
        <v>51</v>
      </c>
      <c r="E34" s="57" t="s">
        <v>52</v>
      </c>
      <c r="F34" s="51"/>
      <c r="G34" s="51"/>
      <c r="H34" s="54" t="s">
        <v>49</v>
      </c>
      <c r="I34" s="55" t="s">
        <v>0</v>
      </c>
      <c r="J34" s="56" t="s">
        <v>50</v>
      </c>
      <c r="K34" s="56" t="s">
        <v>51</v>
      </c>
      <c r="L34" s="57" t="s">
        <v>52</v>
      </c>
      <c r="M34" s="51"/>
      <c r="N34" s="52"/>
      <c r="AR34" s="58"/>
      <c r="AT34" s="0"/>
      <c r="AU34" s="8"/>
      <c r="AW34" s="8"/>
      <c r="AX34" s="27"/>
      <c r="AY34" s="8"/>
      <c r="AZ34" s="8"/>
      <c r="BA34" s="8"/>
      <c r="BB34" s="27"/>
      <c r="BC34" s="8"/>
      <c r="BD34" s="8"/>
      <c r="BE34" s="8"/>
      <c r="BF34" s="27"/>
      <c r="BG34" s="8"/>
      <c r="BH34" s="8"/>
      <c r="BI34" s="8"/>
      <c r="BJ34" s="1" t="s">
        <v>53</v>
      </c>
    </row>
    <row r="35" customFormat="false" ht="12.75" hidden="false" customHeight="false" outlineLevel="0" collapsed="false">
      <c r="A35" s="59" t="s">
        <v>13</v>
      </c>
      <c r="B35" s="60" t="n">
        <f aca="false">+B3</f>
        <v>61.971161</v>
      </c>
      <c r="C35" s="60" t="n">
        <f aca="false">+B35+I3</f>
        <v>94.767986</v>
      </c>
      <c r="D35" s="60" t="n">
        <f aca="false">+C35+P3</f>
        <v>78.632197</v>
      </c>
      <c r="E35" s="61" t="n">
        <f aca="false">+D35+W3</f>
        <v>27.134721</v>
      </c>
      <c r="H35" s="59" t="s">
        <v>13</v>
      </c>
      <c r="I35" s="62" t="n">
        <f aca="false">+E3</f>
        <v>40</v>
      </c>
      <c r="J35" s="60" t="n">
        <f aca="false">+I35+L3</f>
        <v>72.5</v>
      </c>
      <c r="K35" s="60" t="n">
        <f aca="false">+J35+S3</f>
        <v>105</v>
      </c>
      <c r="L35" s="61" t="n">
        <f aca="false">+K35+Z3</f>
        <v>150</v>
      </c>
      <c r="N35" s="52"/>
      <c r="AR35" s="58"/>
      <c r="AT35" s="8"/>
      <c r="AU35" s="8"/>
      <c r="AV35" s="8"/>
      <c r="AW35" s="8"/>
      <c r="AX35" s="8"/>
      <c r="AY35" s="8"/>
      <c r="AZ35" s="8"/>
      <c r="BA35" s="8"/>
      <c r="BB35" s="8"/>
      <c r="BC35" s="8" t="n">
        <v>63</v>
      </c>
      <c r="BD35" s="8"/>
      <c r="BE35" s="8" t="n">
        <v>65</v>
      </c>
      <c r="BF35" s="8"/>
      <c r="BG35" s="8" t="n">
        <v>67</v>
      </c>
      <c r="BH35" s="8"/>
      <c r="BI35" s="8" t="n">
        <v>69</v>
      </c>
      <c r="BJ35" s="9" t="s">
        <v>32</v>
      </c>
    </row>
    <row r="36" customFormat="false" ht="12.75" hidden="false" customHeight="false" outlineLevel="0" collapsed="false">
      <c r="A36" s="63" t="s">
        <v>26</v>
      </c>
      <c r="B36" s="64" t="n">
        <f aca="false">+B4</f>
        <v>14.04090233</v>
      </c>
      <c r="C36" s="64" t="n">
        <f aca="false">+B36+I4</f>
        <v>40.25542585</v>
      </c>
      <c r="D36" s="64" t="n">
        <f aca="false">+C36+P4</f>
        <v>72.71947285</v>
      </c>
      <c r="E36" s="65" t="n">
        <f aca="false">+D36+W4</f>
        <v>79.33310785</v>
      </c>
      <c r="H36" s="63" t="s">
        <v>26</v>
      </c>
      <c r="I36" s="66" t="n">
        <f aca="false">+E4</f>
        <v>18.75</v>
      </c>
      <c r="J36" s="64" t="n">
        <f aca="false">+I36+L4</f>
        <v>37.5</v>
      </c>
      <c r="K36" s="64" t="n">
        <f aca="false">+J36+S4</f>
        <v>56.25</v>
      </c>
      <c r="L36" s="65" t="n">
        <f aca="false">+K36+Z4</f>
        <v>75</v>
      </c>
      <c r="N36" s="52"/>
      <c r="AU36" s="8" t="s">
        <v>54</v>
      </c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customFormat="false" ht="12.75" hidden="false" customHeight="false" outlineLevel="0" collapsed="false">
      <c r="A37" s="63" t="s">
        <v>27</v>
      </c>
      <c r="B37" s="64" t="n">
        <f aca="false">+B5</f>
        <v>8.725</v>
      </c>
      <c r="C37" s="64" t="n">
        <f aca="false">+B37+I5</f>
        <v>17.583</v>
      </c>
      <c r="D37" s="64" t="n">
        <f aca="false">+C37+P5</f>
        <v>26.509</v>
      </c>
      <c r="E37" s="65" t="n">
        <f aca="false">+D37+W5</f>
        <v>17.039</v>
      </c>
      <c r="H37" s="63" t="s">
        <v>27</v>
      </c>
      <c r="I37" s="66" t="n">
        <f aca="false">+E5</f>
        <v>8.509251</v>
      </c>
      <c r="J37" s="64" t="n">
        <f aca="false">+I37+L5</f>
        <v>15.58807</v>
      </c>
      <c r="K37" s="64" t="n">
        <f aca="false">+J37+S5</f>
        <v>24.247422</v>
      </c>
      <c r="L37" s="65" t="n">
        <f aca="false">+K37+Z5</f>
        <v>33.000002</v>
      </c>
      <c r="N37" s="52"/>
      <c r="AU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customFormat="false" ht="12.75" hidden="false" customHeight="false" outlineLevel="0" collapsed="false">
      <c r="A38" s="63" t="s">
        <v>29</v>
      </c>
      <c r="B38" s="64" t="n">
        <f aca="false">+B6</f>
        <v>1.67201528</v>
      </c>
      <c r="C38" s="64" t="n">
        <f aca="false">+B38+I6</f>
        <v>4.22258428</v>
      </c>
      <c r="D38" s="64" t="n">
        <f aca="false">+C38+P6</f>
        <v>5.21947028</v>
      </c>
      <c r="E38" s="65" t="n">
        <f aca="false">+D38+W6</f>
        <v>6.07789728</v>
      </c>
      <c r="H38" s="63" t="s">
        <v>29</v>
      </c>
      <c r="I38" s="66" t="n">
        <f aca="false">+E6</f>
        <v>4.875</v>
      </c>
      <c r="J38" s="64" t="n">
        <f aca="false">+I38+L6</f>
        <v>16.75</v>
      </c>
      <c r="K38" s="64" t="n">
        <f aca="false">+J38+S6</f>
        <v>28.625</v>
      </c>
      <c r="L38" s="65" t="n">
        <f aca="false">+K38+Z6</f>
        <v>37.5</v>
      </c>
      <c r="N38" s="52"/>
      <c r="AU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customFormat="false" ht="12.75" hidden="false" customHeight="false" outlineLevel="0" collapsed="false">
      <c r="A39" s="63" t="s">
        <v>30</v>
      </c>
      <c r="B39" s="64" t="n">
        <f aca="false">+B7</f>
        <v>13.281757</v>
      </c>
      <c r="C39" s="64" t="n">
        <f aca="false">+B39+I7</f>
        <v>30.457757</v>
      </c>
      <c r="D39" s="64" t="n">
        <f aca="false">+C39+P7</f>
        <v>36.179207</v>
      </c>
      <c r="E39" s="65" t="n">
        <f aca="false">+D39+W7</f>
        <v>39.495207</v>
      </c>
      <c r="H39" s="63" t="s">
        <v>30</v>
      </c>
      <c r="I39" s="66" t="n">
        <f aca="false">+E7</f>
        <v>20</v>
      </c>
      <c r="J39" s="64" t="n">
        <f aca="false">+I39+L7</f>
        <v>47.5</v>
      </c>
      <c r="K39" s="64" t="n">
        <f aca="false">+J39+S7</f>
        <v>74.87</v>
      </c>
      <c r="L39" s="65" t="n">
        <f aca="false">+K39+Z7</f>
        <v>104.415</v>
      </c>
      <c r="N39" s="52"/>
      <c r="AU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customFormat="false" ht="12.75" hidden="false" customHeight="false" outlineLevel="0" collapsed="false">
      <c r="A40" s="63" t="s">
        <v>32</v>
      </c>
      <c r="B40" s="64" t="n">
        <f aca="false">+B8</f>
        <v>0.040954</v>
      </c>
      <c r="C40" s="64" t="n">
        <f aca="false">+B40+I8</f>
        <v>1.689406</v>
      </c>
      <c r="D40" s="64" t="n">
        <f aca="false">+C40+P8</f>
        <v>2.955896</v>
      </c>
      <c r="E40" s="65" t="n">
        <f aca="false">+D40+W8</f>
        <v>2.8038</v>
      </c>
      <c r="H40" s="63" t="s">
        <v>32</v>
      </c>
      <c r="I40" s="66" t="n">
        <f aca="false">+E8</f>
        <v>0.5</v>
      </c>
      <c r="J40" s="64" t="n">
        <f aca="false">+I40+L8</f>
        <v>1.811</v>
      </c>
      <c r="K40" s="64" t="n">
        <f aca="false">+J40+S8</f>
        <v>7.516</v>
      </c>
      <c r="L40" s="65" t="n">
        <f aca="false">+K40+Z8</f>
        <v>20.8215</v>
      </c>
      <c r="N40" s="52"/>
      <c r="AU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customFormat="false" ht="12.75" hidden="false" customHeight="false" outlineLevel="0" collapsed="false">
      <c r="A41" s="63" t="s">
        <v>34</v>
      </c>
      <c r="B41" s="64" t="n">
        <f aca="false">+B9</f>
        <v>0.720312</v>
      </c>
      <c r="C41" s="64" t="n">
        <f aca="false">+B41+I9</f>
        <v>3.553381</v>
      </c>
      <c r="D41" s="64" t="n">
        <f aca="false">+C41+P9</f>
        <v>5.127734</v>
      </c>
      <c r="E41" s="65" t="n">
        <f aca="false">+D41+W9</f>
        <v>7.448734</v>
      </c>
      <c r="H41" s="63" t="s">
        <v>34</v>
      </c>
      <c r="I41" s="66" t="n">
        <f aca="false">+E9</f>
        <v>2.141499</v>
      </c>
      <c r="J41" s="64" t="n">
        <f aca="false">+I41+L9</f>
        <v>8.513998</v>
      </c>
      <c r="K41" s="64" t="n">
        <f aca="false">+J41+S9</f>
        <v>16.513998</v>
      </c>
      <c r="L41" s="65" t="n">
        <f aca="false">+K41+Z9</f>
        <v>60.513998</v>
      </c>
      <c r="N41" s="52"/>
      <c r="AU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customFormat="false" ht="12.75" hidden="false" customHeight="false" outlineLevel="0" collapsed="false">
      <c r="A42" s="63" t="s">
        <v>35</v>
      </c>
      <c r="B42" s="64" t="n">
        <f aca="false">+B10</f>
        <v>0</v>
      </c>
      <c r="C42" s="64" t="n">
        <f aca="false">+B42+I10</f>
        <v>0</v>
      </c>
      <c r="D42" s="64" t="n">
        <f aca="false">+C42+P10</f>
        <v>0.000849</v>
      </c>
      <c r="E42" s="65" t="n">
        <f aca="false">+D42+W10</f>
        <v>0.002325</v>
      </c>
      <c r="H42" s="63" t="s">
        <v>35</v>
      </c>
      <c r="I42" s="66" t="n">
        <f aca="false">+E10</f>
        <v>0</v>
      </c>
      <c r="J42" s="64" t="n">
        <f aca="false">+I42+L10</f>
        <v>0</v>
      </c>
      <c r="K42" s="64" t="n">
        <f aca="false">+J42+S10</f>
        <v>3.75</v>
      </c>
      <c r="L42" s="65" t="n">
        <f aca="false">+K42+Z10</f>
        <v>7.5</v>
      </c>
      <c r="N42" s="52"/>
      <c r="AU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customFormat="false" ht="13.5" hidden="false" customHeight="false" outlineLevel="0" collapsed="false">
      <c r="A43" s="67" t="s">
        <v>55</v>
      </c>
      <c r="B43" s="64" t="n">
        <f aca="false">+B11</f>
        <v>0.215968</v>
      </c>
      <c r="C43" s="64" t="n">
        <f aca="false">+B43+I11</f>
        <v>2.347731</v>
      </c>
      <c r="D43" s="64" t="n">
        <f aca="false">+C43+P11</f>
        <v>-1.428075</v>
      </c>
      <c r="E43" s="65" t="n">
        <f aca="false">+D43+W11</f>
        <v>-30.281075</v>
      </c>
      <c r="H43" s="67" t="s">
        <v>55</v>
      </c>
      <c r="I43" s="66" t="n">
        <f aca="false">+E11</f>
        <v>2.523</v>
      </c>
      <c r="J43" s="64" t="n">
        <f aca="false">+I43+L11</f>
        <v>8.739104</v>
      </c>
      <c r="K43" s="64" t="n">
        <f aca="false">+J43+S11</f>
        <v>15.942805</v>
      </c>
      <c r="L43" s="65" t="n">
        <f aca="false">+K43+Z11</f>
        <v>19.276197</v>
      </c>
      <c r="N43" s="52"/>
      <c r="AU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customFormat="false" ht="13.5" hidden="false" customHeight="false" outlineLevel="0" collapsed="false">
      <c r="A44" s="68" t="s">
        <v>39</v>
      </c>
      <c r="B44" s="69" t="n">
        <f aca="false">SUM(B35:B43)</f>
        <v>100.66806961</v>
      </c>
      <c r="C44" s="69" t="n">
        <f aca="false">SUM(C35:C43)</f>
        <v>194.87727113</v>
      </c>
      <c r="D44" s="69" t="n">
        <f aca="false">SUM(D35:D43)</f>
        <v>225.91575113</v>
      </c>
      <c r="E44" s="70" t="n">
        <f aca="false">SUM(E35:E43)</f>
        <v>149.05371713</v>
      </c>
      <c r="F44" s="71"/>
      <c r="H44" s="68" t="s">
        <v>39</v>
      </c>
      <c r="I44" s="72" t="n">
        <f aca="false">SUM(I35:I43)</f>
        <v>97.29875</v>
      </c>
      <c r="J44" s="69" t="n">
        <f aca="false">SUM(J35:J43)</f>
        <v>208.902172</v>
      </c>
      <c r="K44" s="69" t="n">
        <f aca="false">SUM(K35:K43)</f>
        <v>332.715225</v>
      </c>
      <c r="L44" s="70" t="n">
        <f aca="false">SUM(L35:L43)</f>
        <v>508.026697</v>
      </c>
      <c r="N44" s="52"/>
      <c r="AT44" s="2"/>
      <c r="AU44" s="8"/>
      <c r="AV44" s="2"/>
      <c r="AW44" s="8"/>
      <c r="AX44" s="9"/>
      <c r="AY44" s="8"/>
      <c r="AZ44" s="9"/>
      <c r="BA44" s="8"/>
      <c r="BB44" s="9"/>
      <c r="BC44" s="8"/>
      <c r="BD44" s="9"/>
      <c r="BE44" s="8"/>
      <c r="BF44" s="9"/>
      <c r="BG44" s="8"/>
      <c r="BH44" s="9"/>
      <c r="BI44" s="8"/>
    </row>
    <row r="45" customFormat="false" ht="12.75" hidden="false" customHeight="false" outlineLevel="0" collapsed="false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73"/>
      <c r="AT45" s="7"/>
      <c r="AU45" s="9"/>
      <c r="AV45" s="7"/>
      <c r="AW45" s="9"/>
      <c r="AX45" s="37"/>
      <c r="AY45" s="9"/>
      <c r="AZ45" s="37"/>
      <c r="BA45" s="9"/>
      <c r="BB45" s="37"/>
      <c r="BC45" s="9"/>
      <c r="BD45" s="8"/>
      <c r="BE45" s="9"/>
      <c r="BF45" s="8"/>
      <c r="BG45" s="9"/>
      <c r="BH45" s="8"/>
      <c r="BI45" s="9"/>
    </row>
    <row r="46" customFormat="false" ht="12.75" hidden="false" customHeight="false" outlineLevel="0" collapsed="false">
      <c r="A46" s="17"/>
      <c r="B46" s="51" t="s">
        <v>0</v>
      </c>
      <c r="C46" s="51" t="s">
        <v>1</v>
      </c>
      <c r="D46" s="51" t="s">
        <v>2</v>
      </c>
      <c r="E46" s="51" t="s">
        <v>3</v>
      </c>
      <c r="F46" s="51" t="s">
        <v>4</v>
      </c>
      <c r="I46" s="51" t="s">
        <v>0</v>
      </c>
      <c r="J46" s="51" t="s">
        <v>1</v>
      </c>
      <c r="K46" s="51" t="s">
        <v>2</v>
      </c>
      <c r="L46" s="51" t="s">
        <v>3</v>
      </c>
      <c r="M46" s="51" t="s">
        <v>4</v>
      </c>
      <c r="N46" s="52"/>
      <c r="AU46" s="37"/>
      <c r="AW46" s="37"/>
      <c r="AX46" s="8"/>
      <c r="AY46" s="37"/>
      <c r="AZ46" s="8"/>
      <c r="BA46" s="37"/>
      <c r="BB46" s="8"/>
      <c r="BC46" s="37"/>
      <c r="BD46" s="8"/>
      <c r="BE46" s="37"/>
      <c r="BF46" s="8"/>
      <c r="BG46" s="37"/>
      <c r="BH46" s="8"/>
      <c r="BI46" s="37"/>
    </row>
    <row r="47" customFormat="false" ht="12.75" hidden="false" customHeight="false" outlineLevel="0" collapsed="false">
      <c r="A47" s="74" t="s">
        <v>56</v>
      </c>
      <c r="B47" s="75" t="n">
        <f aca="false">+B44</f>
        <v>100.66806961</v>
      </c>
      <c r="C47" s="75" t="n">
        <f aca="false">+I12</f>
        <v>94.20920152</v>
      </c>
      <c r="D47" s="75" t="n">
        <f aca="false">+P12</f>
        <v>31.03848</v>
      </c>
      <c r="E47" s="75" t="n">
        <f aca="false">+W12</f>
        <v>-76.862034</v>
      </c>
      <c r="F47" s="76" t="n">
        <f aca="false">SUM(B47:E47)</f>
        <v>149.05371713</v>
      </c>
      <c r="I47" s="75" t="n">
        <f aca="false">+E12</f>
        <v>97.29875</v>
      </c>
      <c r="J47" s="75" t="n">
        <f aca="false">+L12</f>
        <v>111.603422</v>
      </c>
      <c r="K47" s="75" t="n">
        <f aca="false">+S12</f>
        <v>123.813053</v>
      </c>
      <c r="L47" s="75" t="n">
        <f aca="false">+Z12</f>
        <v>175.311472</v>
      </c>
      <c r="M47" s="77" t="n">
        <f aca="false">SUM(I47:L47)</f>
        <v>508.026697</v>
      </c>
      <c r="N47" s="52"/>
      <c r="O47" s="34"/>
      <c r="P47" s="34"/>
      <c r="Q47" s="34"/>
      <c r="R47" s="34"/>
      <c r="S47" s="34"/>
      <c r="T47" s="34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customFormat="false" ht="12.75" hidden="false" customHeight="false" outlineLevel="0" collapsed="false">
      <c r="A48" s="53"/>
      <c r="B48" s="75"/>
      <c r="C48" s="75"/>
      <c r="D48" s="75"/>
      <c r="E48" s="75"/>
      <c r="F48" s="76"/>
      <c r="I48" s="75"/>
      <c r="J48" s="75"/>
      <c r="K48" s="75"/>
      <c r="L48" s="75"/>
      <c r="M48" s="77"/>
      <c r="N48" s="52"/>
    </row>
    <row r="49" customFormat="false" ht="12.75" hidden="false" customHeight="false" outlineLevel="0" collapsed="false">
      <c r="A49" s="52"/>
      <c r="B49" s="52"/>
      <c r="C49" s="52"/>
      <c r="D49" s="52"/>
      <c r="E49" s="52"/>
      <c r="F49" s="52"/>
      <c r="G49" s="52"/>
      <c r="H49" s="44"/>
      <c r="I49" s="52"/>
      <c r="J49" s="52"/>
      <c r="K49" s="52"/>
      <c r="L49" s="52"/>
      <c r="M49" s="52"/>
      <c r="N49" s="52"/>
    </row>
    <row r="50" customFormat="false" ht="13.5" hidden="false" customHeight="false" outlineLevel="0" collapsed="false">
      <c r="N50" s="52"/>
    </row>
    <row r="51" customFormat="false" ht="12.75" hidden="false" customHeight="false" outlineLevel="0" collapsed="false">
      <c r="A51" s="47"/>
      <c r="B51" s="48" t="s">
        <v>47</v>
      </c>
      <c r="C51" s="49" t="s">
        <v>47</v>
      </c>
      <c r="D51" s="49" t="s">
        <v>47</v>
      </c>
      <c r="E51" s="50" t="s">
        <v>47</v>
      </c>
      <c r="F51" s="51"/>
      <c r="G51" s="51"/>
      <c r="H51" s="47"/>
      <c r="I51" s="48" t="s">
        <v>48</v>
      </c>
      <c r="J51" s="49" t="s">
        <v>48</v>
      </c>
      <c r="K51" s="49" t="s">
        <v>48</v>
      </c>
      <c r="L51" s="50" t="s">
        <v>48</v>
      </c>
      <c r="N51" s="52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customFormat="false" ht="13.5" hidden="false" customHeight="false" outlineLevel="0" collapsed="false">
      <c r="A52" s="54" t="s">
        <v>57</v>
      </c>
      <c r="B52" s="55" t="s">
        <v>0</v>
      </c>
      <c r="C52" s="56" t="s">
        <v>50</v>
      </c>
      <c r="D52" s="56" t="s">
        <v>51</v>
      </c>
      <c r="E52" s="57" t="s">
        <v>52</v>
      </c>
      <c r="F52" s="51"/>
      <c r="G52" s="51"/>
      <c r="H52" s="54" t="s">
        <v>57</v>
      </c>
      <c r="I52" s="55" t="s">
        <v>0</v>
      </c>
      <c r="J52" s="56" t="s">
        <v>50</v>
      </c>
      <c r="K52" s="56" t="s">
        <v>51</v>
      </c>
      <c r="L52" s="57" t="s">
        <v>52</v>
      </c>
      <c r="M52" s="51"/>
      <c r="N52" s="52"/>
      <c r="V52" s="9"/>
    </row>
    <row r="53" customFormat="false" ht="12.75" hidden="false" customHeight="false" outlineLevel="0" collapsed="false">
      <c r="A53" s="59" t="s">
        <v>13</v>
      </c>
      <c r="B53" s="62" t="n">
        <f aca="false">+D3</f>
        <v>46.3071115</v>
      </c>
      <c r="C53" s="60" t="n">
        <f aca="false">+D3+K3</f>
        <v>64.0956495</v>
      </c>
      <c r="D53" s="60" t="n">
        <f aca="false">+D3+K3+R3</f>
        <v>77.9537175</v>
      </c>
      <c r="E53" s="61" t="n">
        <f aca="false">+D3+K3+R3+Y3</f>
        <v>9.5344985</v>
      </c>
      <c r="H53" s="59" t="s">
        <v>13</v>
      </c>
      <c r="I53" s="62" t="n">
        <f aca="false">+G3</f>
        <v>23.249788</v>
      </c>
      <c r="J53" s="60" t="n">
        <f aca="false">+G3+N3</f>
        <v>38.776304</v>
      </c>
      <c r="K53" s="60" t="n">
        <f aca="false">+G3+N3+U3</f>
        <v>54.383022</v>
      </c>
      <c r="L53" s="61" t="n">
        <f aca="false">+G3+N3+U3+AB3</f>
        <v>82.461279</v>
      </c>
      <c r="N53" s="52"/>
    </row>
    <row r="54" customFormat="false" ht="12.75" hidden="false" customHeight="false" outlineLevel="0" collapsed="false">
      <c r="A54" s="63" t="s">
        <v>26</v>
      </c>
      <c r="B54" s="66" t="n">
        <f aca="false">+D4</f>
        <v>5.95682733</v>
      </c>
      <c r="C54" s="64" t="n">
        <f aca="false">+D4+K4</f>
        <v>23.92368485</v>
      </c>
      <c r="D54" s="64" t="n">
        <f aca="false">+D4+K4+R4</f>
        <v>45.77066285</v>
      </c>
      <c r="E54" s="65" t="n">
        <f aca="false">+D4+K4+R4+Y4</f>
        <v>42.76153685</v>
      </c>
      <c r="H54" s="63" t="s">
        <v>26</v>
      </c>
      <c r="I54" s="66" t="n">
        <f aca="false">+G4</f>
        <v>9.252878</v>
      </c>
      <c r="J54" s="64" t="n">
        <f aca="false">+G4+N4</f>
        <v>18.474862</v>
      </c>
      <c r="K54" s="64" t="n">
        <f aca="false">+G4+N4+U4</f>
        <v>27.601321</v>
      </c>
      <c r="L54" s="65" t="n">
        <f aca="false">+G4+N4+U4+AB4</f>
        <v>36.72856</v>
      </c>
      <c r="N54" s="52"/>
    </row>
    <row r="55" customFormat="false" ht="12.75" hidden="false" customHeight="false" outlineLevel="0" collapsed="false">
      <c r="A55" s="63" t="s">
        <v>27</v>
      </c>
      <c r="B55" s="66" t="n">
        <f aca="false">+D5</f>
        <v>5.839069</v>
      </c>
      <c r="C55" s="64" t="n">
        <f aca="false">+D5+K5</f>
        <v>12.486</v>
      </c>
      <c r="D55" s="64" t="n">
        <f aca="false">+D5+K5+R5</f>
        <v>17.647736</v>
      </c>
      <c r="E55" s="65" t="n">
        <f aca="false">+D5+K5+R5+Y5</f>
        <v>4.540903</v>
      </c>
      <c r="H55" s="63" t="s">
        <v>27</v>
      </c>
      <c r="I55" s="66" t="n">
        <f aca="false">+G5</f>
        <v>4.460982</v>
      </c>
      <c r="J55" s="64" t="n">
        <f aca="false">+G5+N5</f>
        <v>8.299169</v>
      </c>
      <c r="K55" s="64" t="n">
        <f aca="false">+G5+N5+U5</f>
        <v>13.652066</v>
      </c>
      <c r="L55" s="65" t="n">
        <f aca="false">+G5+N5+U5+AB5</f>
        <v>19.067813</v>
      </c>
      <c r="N55" s="52"/>
    </row>
    <row r="56" customFormat="false" ht="12.75" hidden="false" customHeight="false" outlineLevel="0" collapsed="false">
      <c r="A56" s="63" t="s">
        <v>29</v>
      </c>
      <c r="B56" s="66" t="n">
        <f aca="false">+D6</f>
        <v>0.33799628</v>
      </c>
      <c r="C56" s="64" t="n">
        <f aca="false">+D6+K6</f>
        <v>0.94298728</v>
      </c>
      <c r="D56" s="64" t="n">
        <f aca="false">+D6+K6+R6</f>
        <v>-0.74085672</v>
      </c>
      <c r="E56" s="65" t="n">
        <f aca="false">+D6+K6+R6+Y6</f>
        <v>-3.35283772</v>
      </c>
      <c r="H56" s="63" t="s">
        <v>29</v>
      </c>
      <c r="I56" s="66" t="n">
        <f aca="false">+G6</f>
        <v>2.259021</v>
      </c>
      <c r="J56" s="64" t="n">
        <f aca="false">+G6+N6</f>
        <v>10.874207</v>
      </c>
      <c r="K56" s="64" t="n">
        <f aca="false">+G6+N6+U6</f>
        <v>19.275749</v>
      </c>
      <c r="L56" s="65" t="n">
        <f aca="false">+G6+N6+U6+AB6</f>
        <v>24.680341</v>
      </c>
      <c r="N56" s="52"/>
    </row>
    <row r="57" customFormat="false" ht="12.75" hidden="false" customHeight="false" outlineLevel="0" collapsed="false">
      <c r="A57" s="63" t="s">
        <v>30</v>
      </c>
      <c r="B57" s="66" t="n">
        <f aca="false">+D7</f>
        <v>9.464195</v>
      </c>
      <c r="C57" s="64" t="n">
        <f aca="false">+D7+K7</f>
        <v>22.637327</v>
      </c>
      <c r="D57" s="64" t="n">
        <f aca="false">+D7+K7+R7</f>
        <v>24.066307</v>
      </c>
      <c r="E57" s="65" t="n">
        <f aca="false">+D7+K7+R7+Y7</f>
        <v>24.25176</v>
      </c>
      <c r="H57" s="63" t="s">
        <v>30</v>
      </c>
      <c r="I57" s="66" t="n">
        <f aca="false">+G7</f>
        <v>14.454606</v>
      </c>
      <c r="J57" s="64" t="n">
        <f aca="false">+G7+N7</f>
        <v>35.941361</v>
      </c>
      <c r="K57" s="64" t="n">
        <f aca="false">+G7+N7+U7</f>
        <v>57.778544</v>
      </c>
      <c r="L57" s="65" t="n">
        <f aca="false">+G7+N7+U7+AB7</f>
        <v>84.192997</v>
      </c>
      <c r="N57" s="52"/>
    </row>
    <row r="58" customFormat="false" ht="12.75" hidden="false" customHeight="false" outlineLevel="0" collapsed="false">
      <c r="A58" s="63" t="s">
        <v>32</v>
      </c>
      <c r="B58" s="66" t="n">
        <f aca="false">+D8</f>
        <v>-1.843474</v>
      </c>
      <c r="C58" s="64" t="n">
        <f aca="false">+D8+K8</f>
        <v>-5.610675</v>
      </c>
      <c r="D58" s="64" t="n">
        <f aca="false">+D8+K8+R8</f>
        <v>-9.768805</v>
      </c>
      <c r="E58" s="65" t="n">
        <f aca="false">+D8+K8+R8+Y8</f>
        <v>-18.684111</v>
      </c>
      <c r="H58" s="63" t="s">
        <v>32</v>
      </c>
      <c r="I58" s="66" t="n">
        <f aca="false">+G8</f>
        <v>-1.244696</v>
      </c>
      <c r="J58" s="64" t="n">
        <f aca="false">+G8+N8</f>
        <v>-4.868407</v>
      </c>
      <c r="K58" s="64" t="n">
        <f aca="false">+G8+N8+U8</f>
        <v>-4.621567</v>
      </c>
      <c r="L58" s="65" t="n">
        <f aca="false">+G8+N8+U8+AB8</f>
        <v>-0.0792769999999985</v>
      </c>
      <c r="N58" s="52"/>
    </row>
    <row r="59" customFormat="false" ht="12.75" hidden="false" customHeight="false" outlineLevel="0" collapsed="false">
      <c r="A59" s="63" t="s">
        <v>34</v>
      </c>
      <c r="B59" s="66" t="n">
        <f aca="false">+D9</f>
        <v>-4.04427</v>
      </c>
      <c r="C59" s="64" t="n">
        <f aca="false">+D9+K9</f>
        <v>-8.575813</v>
      </c>
      <c r="D59" s="64" t="n">
        <f aca="false">+D9+K9+R9</f>
        <v>-14.332433</v>
      </c>
      <c r="E59" s="65" t="n">
        <f aca="false">+D9+K9+R9+Y9</f>
        <v>-19.470861</v>
      </c>
      <c r="H59" s="63" t="s">
        <v>34</v>
      </c>
      <c r="I59" s="66" t="n">
        <f aca="false">+G9</f>
        <v>-1.334631</v>
      </c>
      <c r="J59" s="64" t="n">
        <f aca="false">+G9+N9</f>
        <v>1.540426</v>
      </c>
      <c r="K59" s="64" t="n">
        <f aca="false">+G9+N9+U9</f>
        <v>6.917213</v>
      </c>
      <c r="L59" s="65" t="n">
        <f aca="false">+G9+N9+U9+AB9</f>
        <v>48.297785</v>
      </c>
      <c r="N59" s="52"/>
    </row>
    <row r="60" customFormat="false" ht="12.75" hidden="false" customHeight="false" outlineLevel="0" collapsed="false">
      <c r="A60" s="63" t="s">
        <v>35</v>
      </c>
      <c r="B60" s="66" t="n">
        <f aca="false">+D10</f>
        <v>0</v>
      </c>
      <c r="C60" s="64" t="n">
        <f aca="false">+D10+K10</f>
        <v>0</v>
      </c>
      <c r="D60" s="64" t="n">
        <f aca="false">+D10+K10+R10</f>
        <v>-2.53091</v>
      </c>
      <c r="E60" s="65" t="n">
        <f aca="false">+D10+K10+R10+Y10</f>
        <v>-5.895812</v>
      </c>
      <c r="H60" s="63" t="s">
        <v>35</v>
      </c>
      <c r="I60" s="66" t="n">
        <f aca="false">+G10</f>
        <v>0</v>
      </c>
      <c r="J60" s="64" t="n">
        <f aca="false">+G10+N10</f>
        <v>0</v>
      </c>
      <c r="K60" s="64" t="n">
        <f aca="false">+G10+N10+U10</f>
        <v>0.383622</v>
      </c>
      <c r="L60" s="65" t="n">
        <f aca="false">+G10+N10+U10+AB10</f>
        <v>0.767244</v>
      </c>
      <c r="N60" s="52"/>
    </row>
    <row r="61" customFormat="false" ht="13.5" hidden="false" customHeight="false" outlineLevel="0" collapsed="false">
      <c r="A61" s="67" t="s">
        <v>55</v>
      </c>
      <c r="B61" s="78" t="n">
        <f aca="false">+D11</f>
        <v>-15.7017925</v>
      </c>
      <c r="C61" s="79" t="n">
        <f aca="false">+D11+K11</f>
        <v>-29.4535335</v>
      </c>
      <c r="D61" s="79" t="n">
        <f aca="false">+D11+K11+R11</f>
        <v>-88.7257455</v>
      </c>
      <c r="E61" s="80" t="n">
        <f aca="false">+D11+K11+R11+Y11</f>
        <v>-138.9439995</v>
      </c>
      <c r="F61" s="71"/>
      <c r="H61" s="67" t="s">
        <v>55</v>
      </c>
      <c r="I61" s="78" t="n">
        <f aca="false">+G11</f>
        <v>-6.109408</v>
      </c>
      <c r="J61" s="79" t="n">
        <f aca="false">+G11+N11</f>
        <v>-8.02539099999999</v>
      </c>
      <c r="K61" s="79" t="n">
        <f aca="false">+G11+N11+U11</f>
        <v>-9.14630799999999</v>
      </c>
      <c r="L61" s="80" t="n">
        <f aca="false">+G11+N11+U11+AB11</f>
        <v>-27.17817</v>
      </c>
      <c r="N61" s="52"/>
    </row>
    <row r="62" customFormat="false" ht="13.5" hidden="false" customHeight="false" outlineLevel="0" collapsed="false">
      <c r="A62" s="68" t="s">
        <v>39</v>
      </c>
      <c r="B62" s="72" t="n">
        <f aca="false">SUM(B53:B61)</f>
        <v>46.31566261</v>
      </c>
      <c r="C62" s="69" t="n">
        <f aca="false">SUM(C53:C61)</f>
        <v>80.44562713</v>
      </c>
      <c r="D62" s="69" t="n">
        <f aca="false">SUM(D53:D61)</f>
        <v>49.33967313</v>
      </c>
      <c r="E62" s="70" t="n">
        <f aca="false">SUM(E53:E61)</f>
        <v>-105.25892287</v>
      </c>
      <c r="F62" s="71"/>
      <c r="H62" s="68" t="s">
        <v>39</v>
      </c>
      <c r="I62" s="72" t="n">
        <f aca="false">SUM(I53:I61)</f>
        <v>44.98854</v>
      </c>
      <c r="J62" s="69" t="n">
        <f aca="false">SUM(J53:J61)</f>
        <v>101.012531</v>
      </c>
      <c r="K62" s="69" t="n">
        <f aca="false">SUM(K53:K61)</f>
        <v>166.223662</v>
      </c>
      <c r="L62" s="70" t="n">
        <f aca="false">SUM(L53:L61)</f>
        <v>268.938572</v>
      </c>
      <c r="N62" s="52"/>
    </row>
    <row r="63" customFormat="false" ht="12.75" hidden="false" customHeight="false" outlineLevel="0" collapsed="false">
      <c r="A63" s="17"/>
      <c r="B63" s="75"/>
      <c r="C63" s="75"/>
      <c r="D63" s="75"/>
      <c r="F63" s="71"/>
      <c r="I63" s="75"/>
      <c r="J63" s="75"/>
      <c r="K63" s="75"/>
      <c r="N63" s="52"/>
    </row>
    <row r="64" customFormat="false" ht="12.75" hidden="false" customHeight="false" outlineLevel="0" collapsed="false">
      <c r="A64" s="17"/>
      <c r="B64" s="75"/>
      <c r="C64" s="75"/>
      <c r="D64" s="75"/>
      <c r="F64" s="71"/>
      <c r="I64" s="75"/>
      <c r="J64" s="75"/>
      <c r="K64" s="75"/>
      <c r="N64" s="52"/>
    </row>
    <row r="65" customFormat="false" ht="12.75" hidden="false" customHeight="false" outlineLevel="0" collapsed="false">
      <c r="A65" s="17"/>
      <c r="B65" s="51" t="s">
        <v>0</v>
      </c>
      <c r="C65" s="51" t="s">
        <v>1</v>
      </c>
      <c r="D65" s="51" t="s">
        <v>2</v>
      </c>
      <c r="E65" s="51" t="s">
        <v>3</v>
      </c>
      <c r="F65" s="51" t="s">
        <v>4</v>
      </c>
      <c r="I65" s="51" t="s">
        <v>0</v>
      </c>
      <c r="J65" s="51" t="s">
        <v>1</v>
      </c>
      <c r="K65" s="51" t="s">
        <v>2</v>
      </c>
      <c r="L65" s="51" t="s">
        <v>3</v>
      </c>
      <c r="M65" s="51" t="s">
        <v>4</v>
      </c>
      <c r="N65" s="52"/>
    </row>
    <row r="66" customFormat="false" ht="12.75" hidden="false" customHeight="false" outlineLevel="0" collapsed="false">
      <c r="A66" s="74" t="s">
        <v>58</v>
      </c>
      <c r="B66" s="75" t="n">
        <f aca="false">+D12</f>
        <v>46.31566261</v>
      </c>
      <c r="C66" s="75" t="n">
        <f aca="false">+K12</f>
        <v>34.12996452</v>
      </c>
      <c r="D66" s="75" t="n">
        <f aca="false">+R12</f>
        <v>-31.105954</v>
      </c>
      <c r="E66" s="75" t="n">
        <f aca="false">+Y12</f>
        <v>-154.598596</v>
      </c>
      <c r="F66" s="76" t="n">
        <f aca="false">SUM(B66:E66)</f>
        <v>-105.25892287</v>
      </c>
      <c r="I66" s="75" t="n">
        <f aca="false">+G12</f>
        <v>44.98854</v>
      </c>
      <c r="J66" s="75" t="n">
        <f aca="false">+N12</f>
        <v>56.023991</v>
      </c>
      <c r="K66" s="75" t="n">
        <f aca="false">+U12</f>
        <v>65.211131</v>
      </c>
      <c r="L66" s="75" t="n">
        <f aca="false">+AB12</f>
        <v>102.71491</v>
      </c>
      <c r="M66" s="77" t="n">
        <f aca="false">SUM(I66:L66)</f>
        <v>268.938572</v>
      </c>
      <c r="N66" s="52"/>
    </row>
    <row r="67" customFormat="false" ht="12.75" hidden="false" customHeight="false" outlineLevel="0" collapsed="false">
      <c r="A67" s="52"/>
      <c r="B67" s="52"/>
      <c r="C67" s="81"/>
      <c r="D67" s="81"/>
      <c r="E67" s="52"/>
      <c r="F67" s="52"/>
      <c r="G67" s="52"/>
      <c r="H67" s="44"/>
      <c r="I67" s="52"/>
      <c r="J67" s="81"/>
      <c r="K67" s="81"/>
      <c r="L67" s="52"/>
      <c r="M67" s="52"/>
      <c r="N67" s="52"/>
    </row>
    <row r="68" customFormat="false" ht="13.5" hidden="false" customHeight="false" outlineLevel="0" collapsed="false">
      <c r="G68" s="82"/>
    </row>
    <row r="69" customFormat="false" ht="12.75" hidden="false" customHeight="false" outlineLevel="0" collapsed="false">
      <c r="A69" s="47"/>
      <c r="B69" s="48" t="s">
        <v>59</v>
      </c>
      <c r="C69" s="49" t="s">
        <v>59</v>
      </c>
      <c r="D69" s="49" t="s">
        <v>59</v>
      </c>
      <c r="E69" s="50" t="s">
        <v>59</v>
      </c>
      <c r="F69" s="51"/>
      <c r="G69" s="82"/>
    </row>
    <row r="70" customFormat="false" ht="13.5" hidden="false" customHeight="false" outlineLevel="0" collapsed="false">
      <c r="A70" s="54" t="s">
        <v>60</v>
      </c>
      <c r="B70" s="55" t="s">
        <v>0</v>
      </c>
      <c r="C70" s="56" t="s">
        <v>1</v>
      </c>
      <c r="D70" s="56" t="s">
        <v>2</v>
      </c>
      <c r="E70" s="57" t="s">
        <v>3</v>
      </c>
      <c r="F70" s="51"/>
      <c r="G70" s="82"/>
    </row>
    <row r="71" customFormat="false" ht="12.75" hidden="false" customHeight="false" outlineLevel="0" collapsed="false">
      <c r="A71" s="59" t="s">
        <v>13</v>
      </c>
      <c r="B71" s="60" t="n">
        <v>27.4</v>
      </c>
      <c r="C71" s="60" t="n">
        <v>14.5</v>
      </c>
      <c r="D71" s="60" t="n">
        <v>-2.909</v>
      </c>
      <c r="E71" s="61" t="n">
        <v>16.412</v>
      </c>
      <c r="F71" s="75" t="n">
        <f aca="false">SUM(B71:E71)</f>
        <v>55.403</v>
      </c>
      <c r="G71" s="82"/>
    </row>
    <row r="72" customFormat="false" ht="12.75" hidden="false" customHeight="false" outlineLevel="0" collapsed="false">
      <c r="A72" s="63" t="s">
        <v>26</v>
      </c>
      <c r="B72" s="64" t="n">
        <f aca="false">2.359+3.674</f>
        <v>6.033</v>
      </c>
      <c r="C72" s="64" t="n">
        <f aca="false">4.009+-6.918</f>
        <v>-2.909</v>
      </c>
      <c r="D72" s="64" t="n">
        <f aca="false">-1.548+2.948</f>
        <v>1.4</v>
      </c>
      <c r="E72" s="65" t="n">
        <f aca="false">46.518+6.453</f>
        <v>52.971</v>
      </c>
      <c r="F72" s="75" t="n">
        <f aca="false">SUM(B72:E72)</f>
        <v>57.495</v>
      </c>
      <c r="G72" s="82"/>
    </row>
    <row r="73" customFormat="false" ht="12.75" hidden="false" customHeight="false" outlineLevel="0" collapsed="false">
      <c r="A73" s="63" t="s">
        <v>43</v>
      </c>
      <c r="B73" s="64" t="n">
        <v>0</v>
      </c>
      <c r="C73" s="64" t="n">
        <v>0</v>
      </c>
      <c r="D73" s="64" t="n">
        <v>0</v>
      </c>
      <c r="E73" s="65" t="n">
        <v>0</v>
      </c>
      <c r="F73" s="75" t="n">
        <f aca="false">SUM(B73:E73)</f>
        <v>0</v>
      </c>
      <c r="G73" s="82"/>
    </row>
    <row r="74" customFormat="false" ht="12.75" hidden="false" customHeight="false" outlineLevel="0" collapsed="false">
      <c r="A74" s="63" t="s">
        <v>27</v>
      </c>
      <c r="B74" s="64" t="n">
        <v>5.666</v>
      </c>
      <c r="C74" s="64" t="n">
        <v>3.794</v>
      </c>
      <c r="D74" s="64" t="n">
        <v>3.436</v>
      </c>
      <c r="E74" s="65" t="n">
        <v>6.215</v>
      </c>
      <c r="F74" s="75" t="n">
        <f aca="false">SUM(B74:E74)</f>
        <v>19.111</v>
      </c>
      <c r="G74" s="82"/>
    </row>
    <row r="75" customFormat="false" ht="12.75" hidden="false" customHeight="false" outlineLevel="0" collapsed="false">
      <c r="A75" s="63" t="s">
        <v>29</v>
      </c>
      <c r="B75" s="64" t="n">
        <v>0</v>
      </c>
      <c r="C75" s="64" t="n">
        <v>1.22</v>
      </c>
      <c r="D75" s="64" t="n">
        <v>0</v>
      </c>
      <c r="E75" s="65" t="n">
        <v>0</v>
      </c>
      <c r="F75" s="75" t="n">
        <f aca="false">SUM(B75:E75)</f>
        <v>1.22</v>
      </c>
      <c r="G75" s="82"/>
    </row>
    <row r="76" customFormat="false" ht="12.75" hidden="false" customHeight="false" outlineLevel="0" collapsed="false">
      <c r="A76" s="63" t="s">
        <v>30</v>
      </c>
      <c r="B76" s="64" t="n">
        <v>32.515</v>
      </c>
      <c r="C76" s="64" t="n">
        <v>13.6</v>
      </c>
      <c r="D76" s="64" t="n">
        <v>18.67</v>
      </c>
      <c r="E76" s="65" t="n">
        <v>4.083</v>
      </c>
      <c r="F76" s="75" t="n">
        <f aca="false">SUM(B76:E76)</f>
        <v>68.868</v>
      </c>
      <c r="G76" s="82"/>
    </row>
    <row r="77" customFormat="false" ht="12.75" hidden="false" customHeight="false" outlineLevel="0" collapsed="false">
      <c r="A77" s="63" t="s">
        <v>32</v>
      </c>
      <c r="B77" s="64"/>
      <c r="C77" s="64"/>
      <c r="D77" s="64" t="n">
        <v>0</v>
      </c>
      <c r="E77" s="65" t="n">
        <v>0</v>
      </c>
      <c r="F77" s="75" t="n">
        <f aca="false">SUM(B77:E77)</f>
        <v>0</v>
      </c>
      <c r="G77" s="82"/>
    </row>
    <row r="78" customFormat="false" ht="12.75" hidden="false" customHeight="false" outlineLevel="0" collapsed="false">
      <c r="A78" s="63" t="s">
        <v>44</v>
      </c>
      <c r="B78" s="64" t="n">
        <v>0</v>
      </c>
      <c r="C78" s="64" t="n">
        <v>0</v>
      </c>
      <c r="D78" s="64" t="n">
        <v>0</v>
      </c>
      <c r="E78" s="65" t="n">
        <f aca="false">5.489</f>
        <v>5.489</v>
      </c>
      <c r="F78" s="75" t="n">
        <f aca="false">SUM(B78:E78)</f>
        <v>5.489</v>
      </c>
      <c r="G78" s="82"/>
    </row>
    <row r="79" customFormat="false" ht="12.75" hidden="false" customHeight="false" outlineLevel="0" collapsed="false">
      <c r="A79" s="63" t="s">
        <v>45</v>
      </c>
      <c r="B79" s="64" t="n">
        <v>0</v>
      </c>
      <c r="C79" s="64" t="n">
        <v>0</v>
      </c>
      <c r="D79" s="64" t="n">
        <v>0</v>
      </c>
      <c r="E79" s="65" t="n">
        <v>-1.304</v>
      </c>
      <c r="F79" s="75" t="n">
        <f aca="false">SUM(B79:E79)</f>
        <v>-1.304</v>
      </c>
      <c r="G79" s="82"/>
    </row>
    <row r="80" customFormat="false" ht="12.75" hidden="false" customHeight="false" outlineLevel="0" collapsed="false">
      <c r="A80" s="63" t="s">
        <v>46</v>
      </c>
      <c r="B80" s="64" t="n">
        <v>0</v>
      </c>
      <c r="C80" s="64" t="n">
        <v>0</v>
      </c>
      <c r="D80" s="64" t="n">
        <v>0</v>
      </c>
      <c r="E80" s="65" t="n">
        <v>0.132</v>
      </c>
      <c r="F80" s="75" t="n">
        <f aca="false">SUM(B80:E80)</f>
        <v>0.132</v>
      </c>
      <c r="G80" s="82"/>
    </row>
    <row r="81" customFormat="false" ht="13.5" hidden="false" customHeight="false" outlineLevel="0" collapsed="false">
      <c r="A81" s="67" t="s">
        <v>55</v>
      </c>
      <c r="B81" s="64" t="n">
        <v>-0.6</v>
      </c>
      <c r="C81" s="64" t="n">
        <v>-0.6</v>
      </c>
      <c r="D81" s="64" t="n">
        <v>-0.5</v>
      </c>
      <c r="E81" s="65" t="n">
        <v>-0.5</v>
      </c>
      <c r="F81" s="75" t="n">
        <f aca="false">SUM(B81:E81)</f>
        <v>-2.2</v>
      </c>
      <c r="G81" s="82"/>
    </row>
    <row r="82" customFormat="false" ht="13.5" hidden="false" customHeight="false" outlineLevel="0" collapsed="false">
      <c r="A82" s="68" t="s">
        <v>39</v>
      </c>
      <c r="B82" s="69" t="n">
        <f aca="false">SUM(B71:B81)</f>
        <v>71.014</v>
      </c>
      <c r="C82" s="69" t="n">
        <f aca="false">SUM(C71:C81)</f>
        <v>29.605</v>
      </c>
      <c r="D82" s="69" t="n">
        <f aca="false">SUM(D71:D81)</f>
        <v>20.097</v>
      </c>
      <c r="E82" s="70" t="n">
        <f aca="false">SUM(E71:E81)</f>
        <v>83.498</v>
      </c>
      <c r="F82" s="71" t="n">
        <f aca="false">SUM(B82:E82)</f>
        <v>204.214</v>
      </c>
      <c r="G82" s="82"/>
    </row>
    <row r="83" customFormat="false" ht="12.75" hidden="false" customHeight="false" outlineLevel="0" collapsed="false">
      <c r="B83" s="34"/>
      <c r="C83" s="34"/>
      <c r="D83" s="34"/>
      <c r="E83" s="34"/>
      <c r="F83" s="34"/>
      <c r="G83" s="82"/>
    </row>
    <row r="84" customFormat="false" ht="12.75" hidden="false" customHeight="false" outlineLevel="0" collapsed="false">
      <c r="A84" s="53"/>
      <c r="B84" s="75"/>
      <c r="C84" s="75"/>
      <c r="D84" s="75"/>
      <c r="E84" s="75"/>
      <c r="F84" s="76"/>
      <c r="G84" s="82"/>
    </row>
    <row r="85" customFormat="false" ht="12.75" hidden="false" customHeight="false" outlineLevel="0" collapsed="false">
      <c r="A85" s="82"/>
      <c r="B85" s="82"/>
      <c r="C85" s="82"/>
      <c r="D85" s="82"/>
      <c r="E85" s="82"/>
      <c r="F85" s="82"/>
      <c r="G85" s="82"/>
    </row>
    <row r="86" customFormat="false" ht="13.5" hidden="false" customHeight="false" outlineLevel="0" collapsed="false">
      <c r="G86" s="82"/>
    </row>
    <row r="87" customFormat="false" ht="12.75" hidden="false" customHeight="false" outlineLevel="0" collapsed="false">
      <c r="A87" s="83" t="n">
        <v>2000</v>
      </c>
      <c r="B87" s="48" t="s">
        <v>59</v>
      </c>
      <c r="C87" s="49" t="s">
        <v>59</v>
      </c>
      <c r="D87" s="49" t="s">
        <v>59</v>
      </c>
      <c r="E87" s="50" t="s">
        <v>59</v>
      </c>
      <c r="F87" s="51"/>
      <c r="G87" s="82"/>
    </row>
    <row r="88" customFormat="false" ht="13.5" hidden="false" customHeight="false" outlineLevel="0" collapsed="false">
      <c r="A88" s="54" t="s">
        <v>61</v>
      </c>
      <c r="B88" s="55" t="s">
        <v>0</v>
      </c>
      <c r="C88" s="56" t="s">
        <v>1</v>
      </c>
      <c r="D88" s="56" t="s">
        <v>2</v>
      </c>
      <c r="E88" s="57" t="s">
        <v>3</v>
      </c>
      <c r="F88" s="51"/>
      <c r="G88" s="82"/>
    </row>
    <row r="89" customFormat="false" ht="12.75" hidden="false" customHeight="false" outlineLevel="0" collapsed="false">
      <c r="A89" s="59" t="s">
        <v>13</v>
      </c>
      <c r="B89" s="62" t="n">
        <v>5.469</v>
      </c>
      <c r="C89" s="60" t="n">
        <v>11.058</v>
      </c>
      <c r="D89" s="60" t="n">
        <v>13.844</v>
      </c>
      <c r="E89" s="61" t="n">
        <v>6.483</v>
      </c>
      <c r="F89" s="75" t="n">
        <f aca="false">SUM(B89:E89)</f>
        <v>36.854</v>
      </c>
      <c r="G89" s="82"/>
    </row>
    <row r="90" customFormat="false" ht="12.75" hidden="false" customHeight="false" outlineLevel="0" collapsed="false">
      <c r="A90" s="63" t="s">
        <v>26</v>
      </c>
      <c r="B90" s="66" t="n">
        <f aca="false">4.496+0.077</f>
        <v>4.573</v>
      </c>
      <c r="C90" s="64" t="n">
        <f aca="false">2.726+0.085</f>
        <v>2.811</v>
      </c>
      <c r="D90" s="64" t="n">
        <f aca="false">3.84+0.143</f>
        <v>3.983</v>
      </c>
      <c r="E90" s="65" t="n">
        <f aca="false">3.03+1.443</f>
        <v>4.473</v>
      </c>
      <c r="F90" s="75" t="n">
        <f aca="false">SUM(B90:E90)</f>
        <v>15.84</v>
      </c>
      <c r="G90" s="82"/>
    </row>
    <row r="91" customFormat="false" ht="12.75" hidden="false" customHeight="false" outlineLevel="0" collapsed="false">
      <c r="A91" s="63" t="s">
        <v>43</v>
      </c>
      <c r="B91" s="66" t="n">
        <v>0</v>
      </c>
      <c r="C91" s="64" t="n">
        <v>0</v>
      </c>
      <c r="D91" s="64" t="n">
        <v>0</v>
      </c>
      <c r="E91" s="65" t="n">
        <v>0</v>
      </c>
      <c r="F91" s="75" t="n">
        <f aca="false">SUM(B91:E91)</f>
        <v>0</v>
      </c>
      <c r="G91" s="82"/>
    </row>
    <row r="92" customFormat="false" ht="12.75" hidden="false" customHeight="false" outlineLevel="0" collapsed="false">
      <c r="A92" s="63" t="s">
        <v>27</v>
      </c>
      <c r="B92" s="66" t="n">
        <v>1.927</v>
      </c>
      <c r="C92" s="64" t="n">
        <v>0.688</v>
      </c>
      <c r="D92" s="64" t="n">
        <v>0.642</v>
      </c>
      <c r="E92" s="65" t="n">
        <v>1.131</v>
      </c>
      <c r="F92" s="75" t="n">
        <f aca="false">SUM(B92:E92)</f>
        <v>4.388</v>
      </c>
      <c r="G92" s="82"/>
    </row>
    <row r="93" customFormat="false" ht="12.75" hidden="false" customHeight="false" outlineLevel="0" collapsed="false">
      <c r="A93" s="63" t="s">
        <v>29</v>
      </c>
      <c r="B93" s="66" t="n">
        <v>1.101</v>
      </c>
      <c r="C93" s="64" t="n">
        <v>1.295</v>
      </c>
      <c r="D93" s="64" t="n">
        <v>0.737</v>
      </c>
      <c r="E93" s="65" t="n">
        <v>1.816</v>
      </c>
      <c r="F93" s="75" t="n">
        <f aca="false">SUM(B93:E93)</f>
        <v>4.949</v>
      </c>
      <c r="G93" s="82"/>
    </row>
    <row r="94" customFormat="false" ht="12.75" hidden="false" customHeight="false" outlineLevel="0" collapsed="false">
      <c r="A94" s="63" t="s">
        <v>30</v>
      </c>
      <c r="B94" s="66" t="n">
        <v>0.643</v>
      </c>
      <c r="C94" s="64" t="n">
        <v>0.938</v>
      </c>
      <c r="D94" s="64" t="n">
        <v>1.025</v>
      </c>
      <c r="E94" s="65" t="n">
        <v>1.46</v>
      </c>
      <c r="F94" s="75" t="n">
        <f aca="false">SUM(B94:E94)</f>
        <v>4.066</v>
      </c>
      <c r="G94" s="82"/>
    </row>
    <row r="95" customFormat="false" ht="12.75" hidden="false" customHeight="false" outlineLevel="0" collapsed="false">
      <c r="A95" s="63" t="s">
        <v>32</v>
      </c>
      <c r="B95" s="66"/>
      <c r="C95" s="64"/>
      <c r="D95" s="64"/>
      <c r="E95" s="65" t="n">
        <v>1.602</v>
      </c>
      <c r="F95" s="75" t="n">
        <f aca="false">SUM(B95:E95)</f>
        <v>1.602</v>
      </c>
      <c r="G95" s="82"/>
    </row>
    <row r="96" customFormat="false" ht="12.75" hidden="false" customHeight="false" outlineLevel="0" collapsed="false">
      <c r="A96" s="63" t="s">
        <v>44</v>
      </c>
      <c r="B96" s="66" t="n">
        <v>0</v>
      </c>
      <c r="C96" s="64" t="n">
        <v>0</v>
      </c>
      <c r="D96" s="64" t="n">
        <v>0</v>
      </c>
      <c r="E96" s="65" t="n">
        <f aca="false">2.625</f>
        <v>2.625</v>
      </c>
      <c r="F96" s="75" t="n">
        <f aca="false">SUM(B96:E96)</f>
        <v>2.625</v>
      </c>
      <c r="G96" s="82"/>
    </row>
    <row r="97" customFormat="false" ht="12.75" hidden="false" customHeight="false" outlineLevel="0" collapsed="false">
      <c r="A97" s="63" t="s">
        <v>45</v>
      </c>
      <c r="B97" s="66" t="n">
        <v>0</v>
      </c>
      <c r="C97" s="64" t="n">
        <v>0</v>
      </c>
      <c r="D97" s="64" t="n">
        <v>0</v>
      </c>
      <c r="E97" s="65" t="n">
        <v>0.301</v>
      </c>
      <c r="F97" s="75" t="n">
        <f aca="false">SUM(B97:E97)</f>
        <v>0.301</v>
      </c>
      <c r="G97" s="82"/>
    </row>
    <row r="98" customFormat="false" ht="12.75" hidden="false" customHeight="false" outlineLevel="0" collapsed="false">
      <c r="A98" s="63" t="s">
        <v>46</v>
      </c>
      <c r="B98" s="66" t="n">
        <v>0</v>
      </c>
      <c r="C98" s="64" t="n">
        <v>0</v>
      </c>
      <c r="D98" s="64" t="n">
        <v>0</v>
      </c>
      <c r="E98" s="65" t="n">
        <v>1.344</v>
      </c>
      <c r="F98" s="75" t="n">
        <f aca="false">SUM(B98:E98)</f>
        <v>1.344</v>
      </c>
      <c r="G98" s="82"/>
    </row>
    <row r="99" customFormat="false" ht="13.5" hidden="false" customHeight="false" outlineLevel="0" collapsed="false">
      <c r="A99" s="67" t="s">
        <v>55</v>
      </c>
      <c r="B99" s="78" t="n">
        <v>0</v>
      </c>
      <c r="C99" s="79" t="n">
        <v>0</v>
      </c>
      <c r="D99" s="79" t="n">
        <v>0.06</v>
      </c>
      <c r="E99" s="80" t="n">
        <v>1.372</v>
      </c>
      <c r="F99" s="75" t="n">
        <f aca="false">SUM(B99:E99)</f>
        <v>1.432</v>
      </c>
      <c r="G99" s="82"/>
    </row>
    <row r="100" customFormat="false" ht="13.5" hidden="false" customHeight="false" outlineLevel="0" collapsed="false">
      <c r="A100" s="68" t="s">
        <v>39</v>
      </c>
      <c r="B100" s="72" t="n">
        <f aca="false">SUM(B89:B99)</f>
        <v>13.713</v>
      </c>
      <c r="C100" s="69" t="n">
        <f aca="false">SUM(C89:C99)</f>
        <v>16.79</v>
      </c>
      <c r="D100" s="69" t="n">
        <f aca="false">SUM(D89:D99)</f>
        <v>20.291</v>
      </c>
      <c r="E100" s="70" t="n">
        <f aca="false">SUM(E89:E99)</f>
        <v>22.607</v>
      </c>
      <c r="F100" s="71" t="n">
        <f aca="false">SUM(B100:E100)</f>
        <v>73.401</v>
      </c>
      <c r="G100" s="82"/>
    </row>
    <row r="101" customFormat="false" ht="12.75" hidden="false" customHeight="false" outlineLevel="0" collapsed="false">
      <c r="A101" s="17"/>
      <c r="B101" s="75"/>
      <c r="C101" s="75"/>
      <c r="D101" s="75"/>
      <c r="F101" s="71"/>
      <c r="G101" s="82"/>
    </row>
    <row r="102" customFormat="false" ht="12.75" hidden="false" customHeight="false" outlineLevel="0" collapsed="false">
      <c r="G102" s="82"/>
    </row>
    <row r="103" customFormat="false" ht="12.75" hidden="false" customHeight="false" outlineLevel="0" collapsed="false">
      <c r="A103" s="82"/>
      <c r="B103" s="82"/>
      <c r="C103" s="82"/>
      <c r="D103" s="82"/>
      <c r="E103" s="82"/>
      <c r="F103" s="82"/>
      <c r="G103" s="82"/>
    </row>
    <row r="104" customFormat="false" ht="13.5" hidden="false" customHeight="false" outlineLevel="0" collapsed="false">
      <c r="G104" s="82"/>
    </row>
    <row r="105" customFormat="false" ht="12.75" hidden="false" customHeight="false" outlineLevel="0" collapsed="false">
      <c r="A105" s="83" t="n">
        <v>2000</v>
      </c>
      <c r="B105" s="48" t="s">
        <v>59</v>
      </c>
      <c r="C105" s="49" t="s">
        <v>59</v>
      </c>
      <c r="D105" s="49" t="s">
        <v>59</v>
      </c>
      <c r="E105" s="50" t="s">
        <v>59</v>
      </c>
      <c r="F105" s="51"/>
      <c r="G105" s="82"/>
    </row>
    <row r="106" customFormat="false" ht="13.5" hidden="false" customHeight="false" outlineLevel="0" collapsed="false">
      <c r="A106" s="54" t="s">
        <v>62</v>
      </c>
      <c r="B106" s="55" t="s">
        <v>0</v>
      </c>
      <c r="C106" s="56" t="s">
        <v>1</v>
      </c>
      <c r="D106" s="56" t="s">
        <v>2</v>
      </c>
      <c r="E106" s="57" t="s">
        <v>3</v>
      </c>
      <c r="F106" s="51"/>
      <c r="G106" s="82"/>
    </row>
    <row r="107" customFormat="false" ht="12.75" hidden="false" customHeight="false" outlineLevel="0" collapsed="false">
      <c r="A107" s="59" t="s">
        <v>13</v>
      </c>
      <c r="B107" s="62" t="n">
        <v>19.7</v>
      </c>
      <c r="C107" s="60" t="n">
        <v>-7.201</v>
      </c>
      <c r="D107" s="60" t="n">
        <v>-22.509</v>
      </c>
      <c r="E107" s="61" t="n">
        <v>-1.51</v>
      </c>
      <c r="F107" s="75" t="n">
        <f aca="false">SUM(B107:E107)</f>
        <v>-11.52</v>
      </c>
      <c r="G107" s="82"/>
    </row>
    <row r="108" customFormat="false" ht="12.75" hidden="false" customHeight="false" outlineLevel="0" collapsed="false">
      <c r="A108" s="63" t="s">
        <v>26</v>
      </c>
      <c r="B108" s="66" t="n">
        <v>0</v>
      </c>
      <c r="C108" s="64" t="n">
        <v>-7.9</v>
      </c>
      <c r="D108" s="64" t="n">
        <v>-4.7</v>
      </c>
      <c r="E108" s="65" t="n">
        <v>42.9</v>
      </c>
      <c r="F108" s="75" t="n">
        <f aca="false">SUM(B108:E108)</f>
        <v>30.3</v>
      </c>
      <c r="G108" s="82"/>
    </row>
    <row r="109" customFormat="false" ht="12.75" hidden="false" customHeight="false" outlineLevel="0" collapsed="false">
      <c r="A109" s="63" t="s">
        <v>43</v>
      </c>
      <c r="B109" s="66" t="n">
        <v>0</v>
      </c>
      <c r="C109" s="64" t="n">
        <v>0</v>
      </c>
      <c r="D109" s="64" t="n">
        <v>0</v>
      </c>
      <c r="E109" s="65" t="n">
        <v>0</v>
      </c>
      <c r="F109" s="75" t="n">
        <f aca="false">SUM(B109:E109)</f>
        <v>0</v>
      </c>
      <c r="G109" s="82"/>
    </row>
    <row r="110" customFormat="false" ht="12.75" hidden="false" customHeight="false" outlineLevel="0" collapsed="false">
      <c r="A110" s="63" t="s">
        <v>27</v>
      </c>
      <c r="B110" s="66" t="n">
        <v>3.057</v>
      </c>
      <c r="C110" s="64" t="n">
        <v>2.397</v>
      </c>
      <c r="D110" s="64" t="n">
        <v>2.235</v>
      </c>
      <c r="E110" s="65" t="n">
        <v>3.676</v>
      </c>
      <c r="F110" s="75" t="n">
        <f aca="false">SUM(B110:E110)</f>
        <v>11.365</v>
      </c>
      <c r="G110" s="82"/>
    </row>
    <row r="111" customFormat="false" ht="12.75" hidden="false" customHeight="false" outlineLevel="0" collapsed="false">
      <c r="A111" s="63" t="s">
        <v>29</v>
      </c>
      <c r="B111" s="66" t="n">
        <v>-1.549</v>
      </c>
      <c r="C111" s="64" t="n">
        <v>-0.528</v>
      </c>
      <c r="D111" s="64" t="n">
        <v>-1.418</v>
      </c>
      <c r="E111" s="65" t="n">
        <v>-3.099</v>
      </c>
      <c r="F111" s="75" t="n">
        <f aca="false">SUM(B111:E111)</f>
        <v>-6.594</v>
      </c>
      <c r="G111" s="82"/>
    </row>
    <row r="112" customFormat="false" ht="12.75" hidden="false" customHeight="false" outlineLevel="0" collapsed="false">
      <c r="A112" s="63" t="s">
        <v>30</v>
      </c>
      <c r="B112" s="66" t="n">
        <v>31.095</v>
      </c>
      <c r="C112" s="64" t="n">
        <v>11.921</v>
      </c>
      <c r="D112" s="64" t="n">
        <v>16.915</v>
      </c>
      <c r="E112" s="65" t="n">
        <v>-1.646</v>
      </c>
      <c r="F112" s="75" t="n">
        <f aca="false">SUM(B112:E112)</f>
        <v>58.285</v>
      </c>
      <c r="G112" s="82"/>
    </row>
    <row r="113" customFormat="false" ht="12.75" hidden="false" customHeight="false" outlineLevel="0" collapsed="false">
      <c r="A113" s="63" t="s">
        <v>32</v>
      </c>
      <c r="B113" s="66"/>
      <c r="C113" s="64"/>
      <c r="D113" s="64"/>
      <c r="E113" s="65" t="n">
        <v>-1.602</v>
      </c>
      <c r="F113" s="75" t="n">
        <f aca="false">SUM(B113:E113)</f>
        <v>-1.602</v>
      </c>
      <c r="G113" s="82"/>
    </row>
    <row r="114" customFormat="false" ht="12.75" hidden="false" customHeight="false" outlineLevel="0" collapsed="false">
      <c r="A114" s="63" t="s">
        <v>44</v>
      </c>
      <c r="B114" s="66" t="n">
        <v>0</v>
      </c>
      <c r="C114" s="64" t="n">
        <v>0</v>
      </c>
      <c r="D114" s="64" t="n">
        <v>0</v>
      </c>
      <c r="E114" s="65" t="n">
        <v>2.864</v>
      </c>
      <c r="F114" s="75" t="n">
        <f aca="false">SUM(B114:E114)</f>
        <v>2.864</v>
      </c>
      <c r="G114" s="82"/>
    </row>
    <row r="115" customFormat="false" ht="12.75" hidden="false" customHeight="false" outlineLevel="0" collapsed="false">
      <c r="A115" s="63" t="s">
        <v>45</v>
      </c>
      <c r="B115" s="66" t="n">
        <v>0</v>
      </c>
      <c r="C115" s="64" t="n">
        <v>0</v>
      </c>
      <c r="D115" s="64" t="n">
        <v>0</v>
      </c>
      <c r="E115" s="65" t="n">
        <v>-1.605</v>
      </c>
      <c r="F115" s="75" t="n">
        <f aca="false">SUM(B115:E115)</f>
        <v>-1.605</v>
      </c>
      <c r="G115" s="82"/>
    </row>
    <row r="116" customFormat="false" ht="12.75" hidden="false" customHeight="false" outlineLevel="0" collapsed="false">
      <c r="A116" s="63" t="s">
        <v>46</v>
      </c>
      <c r="B116" s="66" t="n">
        <v>0</v>
      </c>
      <c r="C116" s="64" t="n">
        <v>0</v>
      </c>
      <c r="D116" s="64" t="n">
        <v>0</v>
      </c>
      <c r="E116" s="65" t="n">
        <v>-1.871</v>
      </c>
      <c r="F116" s="75" t="n">
        <f aca="false">SUM(B116:E116)</f>
        <v>-1.871</v>
      </c>
      <c r="G116" s="82"/>
    </row>
    <row r="117" customFormat="false" ht="13.5" hidden="false" customHeight="false" outlineLevel="0" collapsed="false">
      <c r="A117" s="67" t="s">
        <v>55</v>
      </c>
      <c r="B117" s="78" t="n">
        <v>-2.2</v>
      </c>
      <c r="C117" s="79" t="n">
        <v>-2.2</v>
      </c>
      <c r="D117" s="79" t="n">
        <v>-2.3</v>
      </c>
      <c r="E117" s="80" t="n">
        <f aca="false">-3.929-1.8</f>
        <v>-5.729</v>
      </c>
      <c r="F117" s="75" t="n">
        <f aca="false">SUM(B117:E117)</f>
        <v>-12.429</v>
      </c>
      <c r="G117" s="82"/>
    </row>
    <row r="118" customFormat="false" ht="13.5" hidden="false" customHeight="false" outlineLevel="0" collapsed="false">
      <c r="A118" s="68" t="s">
        <v>39</v>
      </c>
      <c r="B118" s="72" t="n">
        <f aca="false">SUM(B107:B117)</f>
        <v>50.103</v>
      </c>
      <c r="C118" s="69" t="n">
        <f aca="false">SUM(C107:C117)</f>
        <v>-3.511</v>
      </c>
      <c r="D118" s="69" t="n">
        <f aca="false">SUM(D107:D117)</f>
        <v>-11.777</v>
      </c>
      <c r="E118" s="70" t="n">
        <f aca="false">SUM(E107:E117)</f>
        <v>32.378</v>
      </c>
      <c r="F118" s="71" t="n">
        <f aca="false">SUM(B118:E118)</f>
        <v>67.193</v>
      </c>
      <c r="G118" s="82"/>
    </row>
    <row r="119" customFormat="false" ht="12.75" hidden="false" customHeight="false" outlineLevel="0" collapsed="false">
      <c r="A119" s="17"/>
      <c r="B119" s="75"/>
      <c r="C119" s="75"/>
      <c r="D119" s="75"/>
      <c r="F119" s="71"/>
      <c r="G119" s="82"/>
    </row>
    <row r="120" customFormat="false" ht="12.75" hidden="false" customHeight="false" outlineLevel="0" collapsed="false">
      <c r="G120" s="82"/>
    </row>
    <row r="121" customFormat="false" ht="12.75" hidden="false" customHeight="false" outlineLevel="0" collapsed="false">
      <c r="A121" s="82"/>
      <c r="B121" s="82"/>
      <c r="C121" s="82"/>
      <c r="D121" s="82"/>
      <c r="E121" s="82"/>
      <c r="F121" s="82"/>
      <c r="G121" s="82"/>
    </row>
  </sheetData>
  <mergeCells count="11">
    <mergeCell ref="B1:G1"/>
    <mergeCell ref="I1:N1"/>
    <mergeCell ref="P1:U1"/>
    <mergeCell ref="W1:AB1"/>
    <mergeCell ref="AD1:AI1"/>
    <mergeCell ref="B14:D14"/>
    <mergeCell ref="E14:G14"/>
    <mergeCell ref="I14:N14"/>
    <mergeCell ref="P14:U14"/>
    <mergeCell ref="W14:AB14"/>
    <mergeCell ref="AD14:AI14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H24" activeCellId="0" sqref="H2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 t="s">
        <v>43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 t="s">
        <v>107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3">
    <mergeCell ref="A1:O1"/>
    <mergeCell ref="A2:N2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71" t="s">
        <v>105</v>
      </c>
      <c r="B2" s="168"/>
      <c r="C2" s="168"/>
      <c r="D2" s="168"/>
      <c r="E2" s="168"/>
      <c r="F2" s="168"/>
      <c r="G2" s="168"/>
      <c r="H2" s="168" t="s">
        <v>42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</sheetData>
  <mergeCells count="1">
    <mergeCell ref="A1:O1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L23" activeCellId="0" sqref="L2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/>
      <c r="B2" s="168"/>
      <c r="C2" s="168"/>
      <c r="D2" s="168"/>
      <c r="E2" s="168"/>
      <c r="F2" s="168"/>
      <c r="G2" s="168"/>
      <c r="H2" s="168" t="s">
        <v>27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71" t="s">
        <v>105</v>
      </c>
      <c r="B2" s="168"/>
      <c r="C2" s="168"/>
      <c r="D2" s="168"/>
      <c r="E2" s="168"/>
      <c r="F2" s="168"/>
      <c r="G2" s="168"/>
      <c r="H2" s="168" t="s">
        <v>27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</sheetData>
  <mergeCells count="1">
    <mergeCell ref="A1:O1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/>
      <c r="B2" s="168"/>
      <c r="C2" s="168"/>
      <c r="D2" s="168"/>
      <c r="E2" s="168"/>
      <c r="F2" s="168"/>
      <c r="G2" s="168"/>
      <c r="H2" s="168" t="s">
        <v>101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/>
      <c r="B2" s="168"/>
      <c r="C2" s="168"/>
      <c r="D2" s="168"/>
      <c r="E2" s="168"/>
      <c r="F2" s="168"/>
      <c r="G2" s="168"/>
      <c r="H2" s="168" t="s">
        <v>33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/>
      <c r="B2" s="168"/>
      <c r="C2" s="168"/>
      <c r="D2" s="168"/>
      <c r="E2" s="168"/>
      <c r="F2" s="168"/>
      <c r="G2" s="168"/>
      <c r="H2" s="168" t="s">
        <v>45</v>
      </c>
      <c r="I2" s="168"/>
      <c r="J2" s="168"/>
      <c r="K2" s="168"/>
      <c r="L2" s="168"/>
      <c r="M2" s="168"/>
      <c r="N2" s="168"/>
      <c r="O2" s="169" t="s">
        <v>108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/>
      <c r="B2" s="168"/>
      <c r="C2" s="168"/>
      <c r="D2" s="168"/>
      <c r="E2" s="168"/>
      <c r="F2" s="168"/>
      <c r="G2" s="168"/>
      <c r="H2" s="168" t="s">
        <v>32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71" t="s">
        <v>105</v>
      </c>
      <c r="B2" s="168"/>
      <c r="C2" s="168"/>
      <c r="D2" s="168"/>
      <c r="E2" s="168"/>
      <c r="F2" s="168"/>
      <c r="G2" s="168"/>
      <c r="H2" s="168" t="s">
        <v>32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</sheetData>
  <mergeCells count="1">
    <mergeCell ref="A1:O1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/>
      <c r="B2" s="168"/>
      <c r="C2" s="168"/>
      <c r="D2" s="168"/>
      <c r="E2" s="168"/>
      <c r="F2" s="168"/>
      <c r="G2" s="168"/>
      <c r="H2" s="168" t="s">
        <v>44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AN3" activePane="bottomRight" state="frozen"/>
      <selection pane="topLeft" activeCell="A1" activeCellId="0" sqref="A1"/>
      <selection pane="topRight" activeCell="AN1" activeCellId="0" sqref="AN1"/>
      <selection pane="bottomLeft" activeCell="A3" activeCellId="0" sqref="A3"/>
      <selection pane="bottomRight" activeCell="AV12" activeCellId="0" sqref="AV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13.7"/>
    <col collapsed="false" customWidth="true" hidden="false" outlineLevel="0" max="3" min="3" style="1" width="16.7"/>
    <col collapsed="false" customWidth="true" hidden="false" outlineLevel="0" max="5" min="4" style="1" width="12.14"/>
    <col collapsed="false" customWidth="true" hidden="false" outlineLevel="0" max="6" min="6" style="2" width="2.42"/>
    <col collapsed="false" customWidth="true" hidden="false" outlineLevel="0" max="7" min="7" style="1" width="13.7"/>
    <col collapsed="false" customWidth="true" hidden="false" outlineLevel="0" max="8" min="8" style="1" width="16.7"/>
    <col collapsed="false" customWidth="true" hidden="false" outlineLevel="0" max="10" min="9" style="1" width="12.14"/>
    <col collapsed="false" customWidth="true" hidden="false" outlineLevel="0" max="11" min="11" style="2" width="2.42"/>
    <col collapsed="false" customWidth="true" hidden="false" outlineLevel="0" max="12" min="12" style="1" width="12.7"/>
    <col collapsed="false" customWidth="true" hidden="false" outlineLevel="0" max="13" min="13" style="1" width="15.7"/>
    <col collapsed="false" customWidth="true" hidden="false" outlineLevel="0" max="15" min="14" style="1" width="12.14"/>
    <col collapsed="false" customWidth="true" hidden="false" outlineLevel="0" max="16" min="16" style="2" width="2.42"/>
    <col collapsed="false" customWidth="true" hidden="false" outlineLevel="0" max="17" min="17" style="1" width="12.7"/>
    <col collapsed="false" customWidth="true" hidden="false" outlineLevel="0" max="18" min="18" style="1" width="13.7"/>
    <col collapsed="false" customWidth="true" hidden="false" outlineLevel="0" max="20" min="19" style="1" width="12.14"/>
    <col collapsed="false" customWidth="true" hidden="false" outlineLevel="0" max="21" min="21" style="2" width="2.42"/>
    <col collapsed="false" customWidth="true" hidden="false" outlineLevel="0" max="22" min="22" style="1" width="13.7"/>
    <col collapsed="false" customWidth="true" hidden="false" outlineLevel="0" max="23" min="23" style="1" width="15.7"/>
    <col collapsed="false" customWidth="true" hidden="false" outlineLevel="0" max="25" min="24" style="1" width="12.14"/>
    <col collapsed="false" customWidth="true" hidden="false" outlineLevel="0" max="26" min="26" style="9" width="2.42"/>
    <col collapsed="false" customWidth="true" hidden="false" outlineLevel="0" max="27" min="27" style="9" width="12.7"/>
    <col collapsed="false" customWidth="true" hidden="false" outlineLevel="0" max="28" min="28" style="9" width="13.7"/>
    <col collapsed="false" customWidth="true" hidden="false" outlineLevel="0" max="30" min="29" style="9" width="12.14"/>
    <col collapsed="false" customWidth="true" hidden="false" outlineLevel="0" max="31" min="31" style="9" width="2.42"/>
    <col collapsed="false" customWidth="true" hidden="false" outlineLevel="0" max="32" min="32" style="9" width="12.7"/>
    <col collapsed="false" customWidth="true" hidden="false" outlineLevel="0" max="33" min="33" style="9" width="13.7"/>
    <col collapsed="false" customWidth="true" hidden="false" outlineLevel="0" max="35" min="34" style="9" width="12.14"/>
    <col collapsed="false" customWidth="true" hidden="false" outlineLevel="0" max="36" min="36" style="9" width="2.42"/>
    <col collapsed="false" customWidth="true" hidden="false" outlineLevel="0" max="37" min="37" style="9" width="12.7"/>
    <col collapsed="false" customWidth="true" hidden="false" outlineLevel="0" max="38" min="38" style="9" width="13.7"/>
    <col collapsed="false" customWidth="true" hidden="false" outlineLevel="0" max="40" min="39" style="9" width="12.14"/>
    <col collapsed="false" customWidth="true" hidden="false" outlineLevel="0" max="41" min="41" style="9" width="2.42"/>
    <col collapsed="false" customWidth="true" hidden="false" outlineLevel="0" max="42" min="42" style="9" width="12.7"/>
    <col collapsed="false" customWidth="true" hidden="false" outlineLevel="0" max="43" min="43" style="9" width="13.7"/>
    <col collapsed="false" customWidth="true" hidden="false" outlineLevel="0" max="45" min="44" style="9" width="12.14"/>
    <col collapsed="false" customWidth="true" hidden="false" outlineLevel="0" max="46" min="46" style="9" width="2.42"/>
    <col collapsed="false" customWidth="true" hidden="false" outlineLevel="0" max="47" min="47" style="9" width="12.7"/>
    <col collapsed="false" customWidth="true" hidden="false" outlineLevel="0" max="48" min="48" style="9" width="13.7"/>
    <col collapsed="false" customWidth="true" hidden="false" outlineLevel="0" max="50" min="49" style="9" width="12.14"/>
    <col collapsed="false" customWidth="true" hidden="false" outlineLevel="0" max="51" min="51" style="9" width="2.42"/>
    <col collapsed="false" customWidth="true" hidden="false" outlineLevel="0" max="52" min="52" style="9" width="13.7"/>
    <col collapsed="false" customWidth="true" hidden="false" outlineLevel="0" max="53" min="53" style="1" width="13.7"/>
    <col collapsed="false" customWidth="true" hidden="false" outlineLevel="0" max="55" min="54" style="1" width="12.14"/>
    <col collapsed="false" customWidth="true" hidden="false" outlineLevel="0" max="56" min="56" style="1" width="2.42"/>
    <col collapsed="false" customWidth="true" hidden="false" outlineLevel="0" max="57" min="57" style="1" width="12.7"/>
    <col collapsed="false" customWidth="true" hidden="false" outlineLevel="0" max="58" min="58" style="1" width="13.7"/>
    <col collapsed="false" customWidth="true" hidden="false" outlineLevel="0" max="60" min="59" style="1" width="12.14"/>
    <col collapsed="false" customWidth="true" hidden="false" outlineLevel="0" max="61" min="61" style="1" width="2.42"/>
    <col collapsed="false" customWidth="true" hidden="false" outlineLevel="0" max="62" min="62" style="1" width="13.7"/>
    <col collapsed="false" customWidth="true" hidden="false" outlineLevel="0" max="63" min="63" style="1" width="15.7"/>
    <col collapsed="false" customWidth="true" hidden="false" outlineLevel="0" max="65" min="64" style="1" width="12.14"/>
    <col collapsed="false" customWidth="false" hidden="false" outlineLevel="0" max="68" min="66" style="1" width="9.14"/>
    <col collapsed="false" customWidth="true" hidden="false" outlineLevel="0" max="69" min="69" style="1" width="11.56"/>
    <col collapsed="false" customWidth="false" hidden="false" outlineLevel="0" max="257" min="70" style="1" width="9.14"/>
  </cols>
  <sheetData>
    <row r="1" customFormat="false" ht="19.5" hidden="false" customHeight="true" outlineLevel="0" collapsed="false">
      <c r="A1" s="3"/>
      <c r="B1" s="4" t="s">
        <v>0</v>
      </c>
      <c r="C1" s="4"/>
      <c r="D1" s="4"/>
      <c r="E1" s="4"/>
      <c r="F1" s="5"/>
      <c r="G1" s="4" t="s">
        <v>1</v>
      </c>
      <c r="H1" s="4"/>
      <c r="I1" s="4"/>
      <c r="J1" s="4"/>
      <c r="K1" s="5"/>
      <c r="L1" s="4" t="s">
        <v>2</v>
      </c>
      <c r="M1" s="4"/>
      <c r="N1" s="4"/>
      <c r="O1" s="4"/>
      <c r="P1" s="5"/>
      <c r="Q1" s="4" t="s">
        <v>3</v>
      </c>
      <c r="R1" s="4"/>
      <c r="S1" s="4"/>
      <c r="T1" s="4"/>
      <c r="U1" s="5"/>
      <c r="V1" s="4" t="s">
        <v>4</v>
      </c>
      <c r="W1" s="4"/>
      <c r="X1" s="4"/>
      <c r="Y1" s="4"/>
      <c r="Z1" s="84"/>
      <c r="AA1" s="53"/>
      <c r="AZ1" s="84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" hidden="false" customHeight="false" outlineLevel="0" collapsed="false">
      <c r="B2" s="85" t="s">
        <v>63</v>
      </c>
      <c r="C2" s="85" t="s">
        <v>64</v>
      </c>
      <c r="D2" s="85" t="s">
        <v>65</v>
      </c>
      <c r="E2" s="85" t="s">
        <v>66</v>
      </c>
      <c r="F2" s="12"/>
      <c r="G2" s="85" t="s">
        <v>63</v>
      </c>
      <c r="H2" s="85" t="s">
        <v>64</v>
      </c>
      <c r="I2" s="85" t="s">
        <v>65</v>
      </c>
      <c r="J2" s="85" t="s">
        <v>66</v>
      </c>
      <c r="K2" s="12"/>
      <c r="L2" s="85" t="s">
        <v>63</v>
      </c>
      <c r="M2" s="85" t="s">
        <v>64</v>
      </c>
      <c r="N2" s="85" t="s">
        <v>65</v>
      </c>
      <c r="O2" s="85" t="s">
        <v>66</v>
      </c>
      <c r="P2" s="12"/>
      <c r="Q2" s="85" t="s">
        <v>63</v>
      </c>
      <c r="R2" s="85" t="s">
        <v>64</v>
      </c>
      <c r="S2" s="85" t="s">
        <v>65</v>
      </c>
      <c r="T2" s="85" t="s">
        <v>66</v>
      </c>
      <c r="U2" s="12"/>
      <c r="V2" s="85" t="s">
        <v>63</v>
      </c>
      <c r="W2" s="85" t="s">
        <v>64</v>
      </c>
      <c r="X2" s="85" t="s">
        <v>65</v>
      </c>
      <c r="Y2" s="85" t="s">
        <v>66</v>
      </c>
      <c r="AA2" s="86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BA2" s="8"/>
      <c r="BB2" s="8"/>
      <c r="BC2" s="8"/>
    </row>
    <row r="3" customFormat="false" ht="12.75" hidden="false" customHeight="false" outlineLevel="0" collapsed="false">
      <c r="A3" s="17" t="s">
        <v>13</v>
      </c>
      <c r="B3" s="88" t="n">
        <f aca="false">+B11+G11+L11</f>
        <v>111902.855</v>
      </c>
      <c r="C3" s="88" t="n">
        <f aca="false">+C11+H11+M11</f>
        <v>1055869.85</v>
      </c>
      <c r="D3" s="88" t="n">
        <f aca="false">+D11+I11+N11</f>
        <v>31272</v>
      </c>
      <c r="E3" s="89" t="n">
        <f aca="false">+E11+J11+O11</f>
        <v>17807</v>
      </c>
      <c r="F3" s="90"/>
      <c r="G3" s="88" t="n">
        <f aca="false">+Q11+V11+AA11</f>
        <v>164653.357</v>
      </c>
      <c r="H3" s="88" t="n">
        <f aca="false">+R11+W11+AB11</f>
        <v>1218385.273</v>
      </c>
      <c r="I3" s="88" t="n">
        <f aca="false">+S11+X11+AC11</f>
        <v>29685</v>
      </c>
      <c r="J3" s="89" t="n">
        <f aca="false">+T11+Y11+AD11</f>
        <v>17434</v>
      </c>
      <c r="K3" s="90"/>
      <c r="L3" s="88" t="n">
        <f aca="false">+AF11+AK11+AP11</f>
        <v>157096.524</v>
      </c>
      <c r="M3" s="88" t="n">
        <f aca="false">+AG11+AL11+AQ11</f>
        <v>1242720</v>
      </c>
      <c r="N3" s="88" t="n">
        <f aca="false">+AH11+AM11+AR11</f>
        <v>33660</v>
      </c>
      <c r="O3" s="89" t="n">
        <f aca="false">+AI11+AN11+AS11</f>
        <v>20111</v>
      </c>
      <c r="P3" s="90"/>
      <c r="Q3" s="88" t="n">
        <f aca="false">+AU11+AZ11+BE11</f>
        <v>69486</v>
      </c>
      <c r="R3" s="88" t="n">
        <f aca="false">+AV11+BA11+BF11</f>
        <v>352307</v>
      </c>
      <c r="S3" s="88" t="n">
        <f aca="false">+AW11+BB11+BG11</f>
        <v>9779</v>
      </c>
      <c r="T3" s="89" t="n">
        <f aca="false">+AX11+BC11+BH11</f>
        <v>4992</v>
      </c>
      <c r="U3" s="90"/>
      <c r="V3" s="88" t="n">
        <f aca="false">+B3+G3+L3+Q3</f>
        <v>503138.736</v>
      </c>
      <c r="W3" s="88" t="n">
        <f aca="false">+C3+H3+M3+R3</f>
        <v>3869282.123</v>
      </c>
      <c r="X3" s="88" t="n">
        <f aca="false">+D3+I3+N3+S3</f>
        <v>104396</v>
      </c>
      <c r="Y3" s="89" t="n">
        <f aca="false">+E3+J3+O3+T3</f>
        <v>60344</v>
      </c>
      <c r="Z3" s="91"/>
      <c r="AA3" s="91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1"/>
      <c r="BA3" s="93"/>
      <c r="BB3" s="93"/>
      <c r="BC3" s="93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</row>
    <row r="4" customFormat="false" ht="12.75" hidden="false" customHeight="false" outlineLevel="0" collapsed="false">
      <c r="A4" s="17" t="s">
        <v>42</v>
      </c>
      <c r="B4" s="88" t="n">
        <f aca="false">+B12+G12+L12</f>
        <v>19532.815</v>
      </c>
      <c r="C4" s="88" t="n">
        <f aca="false">+C12+H12+M12</f>
        <v>4023.4</v>
      </c>
      <c r="D4" s="88" t="n">
        <f aca="false">+D12+I12+N12</f>
        <v>740</v>
      </c>
      <c r="E4" s="89" t="n">
        <f aca="false">+E12+J12+O12</f>
        <v>187</v>
      </c>
      <c r="F4" s="90"/>
      <c r="G4" s="88" t="n">
        <f aca="false">+Q12+V12+AA12</f>
        <v>21693.869</v>
      </c>
      <c r="H4" s="88" t="n">
        <f aca="false">+R12+W12+AB12</f>
        <v>4893.612</v>
      </c>
      <c r="I4" s="88" t="n">
        <f aca="false">+S12+X12+AC12</f>
        <v>385</v>
      </c>
      <c r="J4" s="89" t="n">
        <f aca="false">+T12+Y12+AD12</f>
        <v>31</v>
      </c>
      <c r="K4" s="90"/>
      <c r="L4" s="88" t="n">
        <f aca="false">+AF12+AK12+AP12</f>
        <v>22637.37</v>
      </c>
      <c r="M4" s="88" t="n">
        <f aca="false">+AG12+AL12+AQ12</f>
        <v>842.5</v>
      </c>
      <c r="N4" s="88" t="n">
        <f aca="false">+AH12+AM12+AR12</f>
        <v>1749</v>
      </c>
      <c r="O4" s="89" t="n">
        <f aca="false">+AI12+AN12+AS12</f>
        <v>362</v>
      </c>
      <c r="P4" s="90"/>
      <c r="Q4" s="88" t="n">
        <f aca="false">+AU12+AZ12+BE12</f>
        <v>6593</v>
      </c>
      <c r="R4" s="88" t="n">
        <f aca="false">+AV12+BA12+BF12</f>
        <v>533</v>
      </c>
      <c r="S4" s="88" t="n">
        <f aca="false">+AW12+BB12+BG12</f>
        <v>466</v>
      </c>
      <c r="T4" s="89" t="n">
        <f aca="false">+AX12+BC12+BH12</f>
        <v>104</v>
      </c>
      <c r="U4" s="90"/>
      <c r="V4" s="88" t="n">
        <f aca="false">+B4+G4+L4+Q4</f>
        <v>70457.054</v>
      </c>
      <c r="W4" s="88" t="n">
        <f aca="false">+C4+H4+M4+R4</f>
        <v>10292.512</v>
      </c>
      <c r="X4" s="88" t="n">
        <f aca="false">+D4+I4+N4+S4</f>
        <v>3340</v>
      </c>
      <c r="Y4" s="89" t="n">
        <f aca="false">+E4+J4+O4+T4</f>
        <v>684</v>
      </c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5"/>
      <c r="AK4" s="91"/>
      <c r="AL4" s="91"/>
      <c r="AM4" s="91"/>
      <c r="AN4" s="95"/>
      <c r="AO4" s="91"/>
      <c r="AP4" s="91"/>
      <c r="AQ4" s="91"/>
      <c r="AR4" s="95"/>
      <c r="AS4" s="91"/>
      <c r="AT4" s="91"/>
      <c r="AU4" s="91"/>
      <c r="AV4" s="95"/>
      <c r="AW4" s="91"/>
      <c r="AX4" s="91"/>
      <c r="AY4" s="91"/>
      <c r="AZ4" s="91"/>
      <c r="BA4" s="93"/>
      <c r="BB4" s="93"/>
      <c r="BC4" s="93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</row>
    <row r="5" customFormat="false" ht="12.75" hidden="false" customHeight="false" outlineLevel="0" collapsed="false">
      <c r="A5" s="17" t="s">
        <v>27</v>
      </c>
      <c r="B5" s="88" t="n">
        <f aca="false">+B13+G13+L13</f>
        <v>0</v>
      </c>
      <c r="C5" s="88" t="n">
        <f aca="false">+C13+H13+M13</f>
        <v>290100</v>
      </c>
      <c r="D5" s="88" t="n">
        <f aca="false">+D13+I13+N13</f>
        <v>378</v>
      </c>
      <c r="E5" s="89" t="n">
        <f aca="false">+E13+J13+O13</f>
        <v>139</v>
      </c>
      <c r="F5" s="90"/>
      <c r="G5" s="88" t="n">
        <f aca="false">+Q13+V13+AA13</f>
        <v>0</v>
      </c>
      <c r="H5" s="88" t="n">
        <f aca="false">+R13+W13+AB13</f>
        <v>185205.9</v>
      </c>
      <c r="I5" s="88" t="n">
        <f aca="false">+S13+X13+AC13</f>
        <v>328</v>
      </c>
      <c r="J5" s="89" t="n">
        <f aca="false">+T13+Y13+AD13</f>
        <v>204</v>
      </c>
      <c r="K5" s="90"/>
      <c r="L5" s="88" t="n">
        <f aca="false">+AF13+AK13+AP13</f>
        <v>0</v>
      </c>
      <c r="M5" s="88" t="n">
        <f aca="false">+AG13+AL13+AQ13</f>
        <v>303650</v>
      </c>
      <c r="N5" s="88" t="n">
        <f aca="false">+AH13+AM13+AR13</f>
        <v>354</v>
      </c>
      <c r="O5" s="89" t="n">
        <f aca="false">+AI13+AN13+AS13</f>
        <v>163</v>
      </c>
      <c r="P5" s="90"/>
      <c r="Q5" s="88" t="n">
        <f aca="false">+AU13+AZ13+BE13</f>
        <v>0</v>
      </c>
      <c r="R5" s="88" t="n">
        <f aca="false">+AV13+BA13+BF13</f>
        <v>259335</v>
      </c>
      <c r="S5" s="88" t="n">
        <f aca="false">+AW13+BB13+BG13</f>
        <v>180</v>
      </c>
      <c r="T5" s="89" t="n">
        <f aca="false">+AX13+BC13+BH13</f>
        <v>118</v>
      </c>
      <c r="U5" s="90"/>
      <c r="V5" s="88" t="n">
        <f aca="false">+B5+G5+L5+Q5</f>
        <v>0</v>
      </c>
      <c r="W5" s="88" t="n">
        <f aca="false">+C5+H5+M5+R5</f>
        <v>1038290.9</v>
      </c>
      <c r="X5" s="88" t="n">
        <f aca="false">+D5+I5+N5+S5</f>
        <v>1240</v>
      </c>
      <c r="Y5" s="89" t="n">
        <f aca="false">+E5+J5+O5+T5</f>
        <v>624</v>
      </c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3"/>
      <c r="BB5" s="93"/>
      <c r="BC5" s="93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</row>
    <row r="6" customFormat="false" ht="13.5" hidden="false" customHeight="false" outlineLevel="0" collapsed="false">
      <c r="A6" s="17" t="s">
        <v>32</v>
      </c>
      <c r="B6" s="88" t="n">
        <f aca="false">+B14+G14+L14</f>
        <v>772.799</v>
      </c>
      <c r="C6" s="88" t="n">
        <f aca="false">+C14+H14+M14</f>
        <v>0</v>
      </c>
      <c r="D6" s="88" t="n">
        <f aca="false">+D14+I14+N14</f>
        <v>2211</v>
      </c>
      <c r="E6" s="89" t="n">
        <f aca="false">+E14+J14+O14</f>
        <v>0</v>
      </c>
      <c r="F6" s="90"/>
      <c r="G6" s="88" t="n">
        <f aca="false">+Q14+V14+AA14</f>
        <v>2162.879</v>
      </c>
      <c r="H6" s="88" t="n">
        <f aca="false">+R14+W14+AB14</f>
        <v>0</v>
      </c>
      <c r="I6" s="88" t="n">
        <f aca="false">+S14+X14+AC14</f>
        <v>5690</v>
      </c>
      <c r="J6" s="89" t="n">
        <f aca="false">+T14+Y14+AD14</f>
        <v>0</v>
      </c>
      <c r="K6" s="90"/>
      <c r="L6" s="88" t="n">
        <f aca="false">+AF14+AK14+AP14</f>
        <v>2645.66</v>
      </c>
      <c r="M6" s="88" t="n">
        <f aca="false">+AG14+AL14+AQ14</f>
        <v>0</v>
      </c>
      <c r="N6" s="88" t="n">
        <f aca="false">+AH14+AM14+AR14</f>
        <v>5356</v>
      </c>
      <c r="O6" s="89" t="n">
        <f aca="false">+AI14+AN14+AS14</f>
        <v>0</v>
      </c>
      <c r="P6" s="90"/>
      <c r="Q6" s="88" t="n">
        <f aca="false">+AU14+AZ14+BE14</f>
        <v>2291</v>
      </c>
      <c r="R6" s="88" t="n">
        <f aca="false">+AV14+BA14+BF14</f>
        <v>0</v>
      </c>
      <c r="S6" s="88" t="n">
        <f aca="false">+AW14+BB14+BG14</f>
        <v>3335</v>
      </c>
      <c r="T6" s="89" t="n">
        <f aca="false">+AX14+BC14+BH14</f>
        <v>0</v>
      </c>
      <c r="U6" s="90"/>
      <c r="V6" s="88" t="n">
        <f aca="false">+B6+G6+L6+Q6</f>
        <v>7872.338</v>
      </c>
      <c r="W6" s="88" t="n">
        <f aca="false">+C6+H6+M6+R6</f>
        <v>0</v>
      </c>
      <c r="X6" s="88" t="n">
        <f aca="false">+D6+I6+N6+S6</f>
        <v>16592</v>
      </c>
      <c r="Y6" s="89" t="n">
        <f aca="false">+E6+J6+O6+T6</f>
        <v>0</v>
      </c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3"/>
      <c r="BB6" s="93"/>
      <c r="BC6" s="93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</row>
    <row r="7" customFormat="false" ht="13.5" hidden="false" customHeight="false" outlineLevel="0" collapsed="false">
      <c r="A7" s="17" t="s">
        <v>39</v>
      </c>
      <c r="B7" s="96" t="n">
        <f aca="false">SUM(B3:B6)</f>
        <v>132208.469</v>
      </c>
      <c r="C7" s="96" t="n">
        <f aca="false">SUM(C3:C6)</f>
        <v>1349993.25</v>
      </c>
      <c r="D7" s="96" t="n">
        <f aca="false">SUM(D3:D6)</f>
        <v>34601</v>
      </c>
      <c r="E7" s="97" t="n">
        <f aca="false">SUM(E3:E6)</f>
        <v>18133</v>
      </c>
      <c r="F7" s="98"/>
      <c r="G7" s="96" t="n">
        <f aca="false">SUM(G3:G6)</f>
        <v>188510.105</v>
      </c>
      <c r="H7" s="96" t="n">
        <f aca="false">SUM(H3:H6)</f>
        <v>1408484.785</v>
      </c>
      <c r="I7" s="96" t="n">
        <f aca="false">SUM(I3:I6)</f>
        <v>36088</v>
      </c>
      <c r="J7" s="97" t="n">
        <f aca="false">SUM(J3:J6)</f>
        <v>17669</v>
      </c>
      <c r="K7" s="98"/>
      <c r="L7" s="96" t="n">
        <f aca="false">SUM(L3:L6)</f>
        <v>182379.554</v>
      </c>
      <c r="M7" s="96" t="n">
        <f aca="false">SUM(M3:M6)</f>
        <v>1547212.5</v>
      </c>
      <c r="N7" s="96" t="n">
        <f aca="false">SUM(N3:N6)</f>
        <v>41119</v>
      </c>
      <c r="O7" s="97" t="n">
        <f aca="false">SUM(O3:O6)</f>
        <v>20636</v>
      </c>
      <c r="P7" s="98"/>
      <c r="Q7" s="96" t="n">
        <f aca="false">SUM(Q3:Q6)</f>
        <v>78370</v>
      </c>
      <c r="R7" s="96" t="n">
        <f aca="false">SUM(R3:R6)</f>
        <v>612175</v>
      </c>
      <c r="S7" s="96" t="n">
        <f aca="false">SUM(S3:S6)</f>
        <v>13760</v>
      </c>
      <c r="T7" s="97" t="n">
        <f aca="false">SUM(T3:T6)</f>
        <v>5214</v>
      </c>
      <c r="U7" s="90"/>
      <c r="V7" s="96" t="n">
        <f aca="false">SUM(V3:V6)</f>
        <v>581468.128</v>
      </c>
      <c r="W7" s="96" t="n">
        <f aca="false">SUM(W3:W6)</f>
        <v>4917865.535</v>
      </c>
      <c r="X7" s="96" t="n">
        <f aca="false">SUM(X3:X6)</f>
        <v>125568</v>
      </c>
      <c r="Y7" s="97" t="n">
        <f aca="false">SUM(Y3:Y6)</f>
        <v>61652</v>
      </c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9"/>
      <c r="AK7" s="91"/>
      <c r="AL7" s="99"/>
      <c r="AM7" s="91"/>
      <c r="AN7" s="99"/>
      <c r="AO7" s="91"/>
      <c r="AP7" s="99"/>
      <c r="AQ7" s="91"/>
      <c r="AR7" s="99"/>
      <c r="AS7" s="91"/>
      <c r="AT7" s="99"/>
      <c r="AU7" s="91"/>
      <c r="AV7" s="99"/>
      <c r="AW7" s="91"/>
      <c r="AX7" s="91"/>
      <c r="AY7" s="91"/>
      <c r="AZ7" s="91"/>
      <c r="BA7" s="93"/>
      <c r="BB7" s="93"/>
      <c r="BC7" s="93"/>
      <c r="BD7" s="94"/>
      <c r="BE7" s="94"/>
      <c r="BF7" s="94"/>
      <c r="BG7" s="94"/>
      <c r="BH7" s="94"/>
      <c r="BI7" s="94" t="s">
        <v>67</v>
      </c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</row>
    <row r="8" customFormat="false" ht="12.75" hidden="false" customHeight="false" outlineLevel="0" collapsed="false">
      <c r="A8" s="9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34"/>
      <c r="V8" s="21"/>
      <c r="W8" s="21"/>
      <c r="X8" s="21"/>
      <c r="Y8" s="21"/>
      <c r="AA8" s="53"/>
      <c r="AB8" s="53"/>
      <c r="AC8" s="53"/>
      <c r="AD8" s="53"/>
      <c r="AE8" s="53"/>
      <c r="AF8" s="53"/>
      <c r="AG8" s="53"/>
      <c r="AH8" s="53"/>
      <c r="AI8" s="53"/>
      <c r="AK8" s="53"/>
      <c r="AM8" s="53"/>
      <c r="AO8" s="53"/>
      <c r="AQ8" s="53"/>
      <c r="AS8" s="53"/>
      <c r="AU8" s="53"/>
      <c r="AW8" s="53"/>
      <c r="AY8" s="53"/>
      <c r="BA8" s="8"/>
      <c r="BB8" s="8"/>
      <c r="BC8" s="8"/>
    </row>
    <row r="9" customFormat="false" ht="15" hidden="false" customHeight="false" outlineLevel="0" collapsed="false">
      <c r="A9" s="3"/>
      <c r="B9" s="4" t="s">
        <v>14</v>
      </c>
      <c r="C9" s="4"/>
      <c r="D9" s="4"/>
      <c r="E9" s="4"/>
      <c r="F9" s="5"/>
      <c r="G9" s="4" t="s">
        <v>15</v>
      </c>
      <c r="H9" s="4"/>
      <c r="I9" s="4"/>
      <c r="J9" s="4"/>
      <c r="K9" s="5"/>
      <c r="L9" s="4" t="s">
        <v>16</v>
      </c>
      <c r="M9" s="4"/>
      <c r="N9" s="4"/>
      <c r="O9" s="4"/>
      <c r="P9" s="5"/>
      <c r="Q9" s="4" t="s">
        <v>17</v>
      </c>
      <c r="R9" s="4"/>
      <c r="S9" s="4"/>
      <c r="T9" s="4"/>
      <c r="U9" s="21"/>
      <c r="V9" s="4" t="s">
        <v>18</v>
      </c>
      <c r="W9" s="4"/>
      <c r="X9" s="4"/>
      <c r="Y9" s="4"/>
      <c r="Z9" s="100"/>
      <c r="AA9" s="4" t="s">
        <v>19</v>
      </c>
      <c r="AB9" s="4"/>
      <c r="AC9" s="4"/>
      <c r="AD9" s="4"/>
      <c r="AE9" s="5"/>
      <c r="AF9" s="4" t="s">
        <v>20</v>
      </c>
      <c r="AG9" s="4"/>
      <c r="AH9" s="4"/>
      <c r="AI9" s="4"/>
      <c r="AJ9" s="5"/>
      <c r="AK9" s="4" t="s">
        <v>21</v>
      </c>
      <c r="AL9" s="4"/>
      <c r="AM9" s="4"/>
      <c r="AN9" s="4"/>
      <c r="AO9" s="5"/>
      <c r="AP9" s="4" t="s">
        <v>68</v>
      </c>
      <c r="AQ9" s="4"/>
      <c r="AR9" s="4"/>
      <c r="AS9" s="4"/>
      <c r="AT9" s="21"/>
      <c r="AU9" s="4" t="s">
        <v>23</v>
      </c>
      <c r="AV9" s="4"/>
      <c r="AW9" s="4"/>
      <c r="AX9" s="4"/>
      <c r="AY9" s="100"/>
      <c r="AZ9" s="4" t="s">
        <v>24</v>
      </c>
      <c r="BA9" s="4"/>
      <c r="BB9" s="4"/>
      <c r="BC9" s="4"/>
      <c r="BD9" s="100"/>
      <c r="BE9" s="4" t="s">
        <v>25</v>
      </c>
      <c r="BF9" s="4"/>
      <c r="BG9" s="4"/>
      <c r="BH9" s="4"/>
      <c r="BI9" s="9"/>
      <c r="BJ9" s="4" t="s">
        <v>4</v>
      </c>
      <c r="BK9" s="4"/>
      <c r="BL9" s="4"/>
      <c r="BM9" s="4"/>
      <c r="BN9" s="9"/>
      <c r="BO9" s="9"/>
      <c r="BP9" s="9"/>
      <c r="BQ9" s="9"/>
      <c r="BR9" s="9"/>
      <c r="BS9" s="9"/>
      <c r="BT9" s="9"/>
      <c r="BU9" s="9"/>
      <c r="BV9" s="9"/>
    </row>
    <row r="10" customFormat="false" ht="12.75" hidden="false" customHeight="false" outlineLevel="0" collapsed="false">
      <c r="A10" s="1" t="n">
        <v>2001</v>
      </c>
      <c r="B10" s="85" t="s">
        <v>63</v>
      </c>
      <c r="C10" s="85" t="s">
        <v>64</v>
      </c>
      <c r="D10" s="85" t="s">
        <v>65</v>
      </c>
      <c r="E10" s="85" t="s">
        <v>66</v>
      </c>
      <c r="F10" s="12"/>
      <c r="G10" s="85" t="s">
        <v>63</v>
      </c>
      <c r="H10" s="85" t="s">
        <v>64</v>
      </c>
      <c r="I10" s="85" t="s">
        <v>65</v>
      </c>
      <c r="J10" s="85" t="s">
        <v>66</v>
      </c>
      <c r="K10" s="12"/>
      <c r="L10" s="85" t="s">
        <v>63</v>
      </c>
      <c r="M10" s="85" t="s">
        <v>64</v>
      </c>
      <c r="N10" s="85" t="s">
        <v>65</v>
      </c>
      <c r="O10" s="85" t="s">
        <v>66</v>
      </c>
      <c r="P10" s="12"/>
      <c r="Q10" s="85" t="s">
        <v>63</v>
      </c>
      <c r="R10" s="85" t="s">
        <v>64</v>
      </c>
      <c r="S10" s="85" t="s">
        <v>65</v>
      </c>
      <c r="T10" s="85" t="s">
        <v>66</v>
      </c>
      <c r="U10" s="12"/>
      <c r="V10" s="85" t="s">
        <v>63</v>
      </c>
      <c r="W10" s="85" t="s">
        <v>64</v>
      </c>
      <c r="X10" s="85" t="s">
        <v>65</v>
      </c>
      <c r="Y10" s="85" t="s">
        <v>66</v>
      </c>
      <c r="Z10" s="101"/>
      <c r="AA10" s="85" t="s">
        <v>63</v>
      </c>
      <c r="AB10" s="85" t="s">
        <v>64</v>
      </c>
      <c r="AC10" s="85" t="s">
        <v>65</v>
      </c>
      <c r="AD10" s="85" t="s">
        <v>66</v>
      </c>
      <c r="AE10" s="12"/>
      <c r="AF10" s="85" t="s">
        <v>63</v>
      </c>
      <c r="AG10" s="85" t="s">
        <v>64</v>
      </c>
      <c r="AH10" s="85" t="s">
        <v>65</v>
      </c>
      <c r="AI10" s="85" t="s">
        <v>66</v>
      </c>
      <c r="AJ10" s="12"/>
      <c r="AK10" s="85" t="s">
        <v>63</v>
      </c>
      <c r="AL10" s="85" t="s">
        <v>64</v>
      </c>
      <c r="AM10" s="85" t="s">
        <v>65</v>
      </c>
      <c r="AN10" s="85" t="s">
        <v>66</v>
      </c>
      <c r="AO10" s="12"/>
      <c r="AP10" s="85" t="s">
        <v>63</v>
      </c>
      <c r="AQ10" s="85" t="s">
        <v>64</v>
      </c>
      <c r="AR10" s="85" t="s">
        <v>65</v>
      </c>
      <c r="AS10" s="85" t="s">
        <v>66</v>
      </c>
      <c r="AT10" s="12"/>
      <c r="AU10" s="85" t="s">
        <v>63</v>
      </c>
      <c r="AV10" s="85" t="s">
        <v>64</v>
      </c>
      <c r="AW10" s="85" t="s">
        <v>65</v>
      </c>
      <c r="AX10" s="85" t="s">
        <v>66</v>
      </c>
      <c r="AY10" s="101"/>
      <c r="AZ10" s="85" t="s">
        <v>63</v>
      </c>
      <c r="BA10" s="85" t="s">
        <v>64</v>
      </c>
      <c r="BB10" s="85" t="s">
        <v>65</v>
      </c>
      <c r="BC10" s="85" t="s">
        <v>66</v>
      </c>
      <c r="BD10" s="101"/>
      <c r="BE10" s="85" t="s">
        <v>63</v>
      </c>
      <c r="BF10" s="85" t="s">
        <v>64</v>
      </c>
      <c r="BG10" s="85" t="s">
        <v>65</v>
      </c>
      <c r="BH10" s="85" t="s">
        <v>66</v>
      </c>
      <c r="BI10" s="9"/>
      <c r="BJ10" s="85" t="s">
        <v>63</v>
      </c>
      <c r="BK10" s="85" t="s">
        <v>64</v>
      </c>
      <c r="BL10" s="85" t="s">
        <v>65</v>
      </c>
      <c r="BM10" s="85" t="s">
        <v>66</v>
      </c>
      <c r="BN10" s="9"/>
      <c r="BO10" s="9"/>
      <c r="BP10" s="9"/>
      <c r="BQ10" s="9"/>
      <c r="BR10" s="9"/>
      <c r="BS10" s="9"/>
      <c r="BT10" s="9"/>
      <c r="BU10" s="9"/>
      <c r="BV10" s="9"/>
    </row>
    <row r="11" customFormat="false" ht="12.75" hidden="false" customHeight="false" outlineLevel="0" collapsed="false">
      <c r="A11" s="17" t="s">
        <v>13</v>
      </c>
      <c r="B11" s="88" t="n">
        <v>35889.035</v>
      </c>
      <c r="C11" s="88" t="n">
        <v>314627.526</v>
      </c>
      <c r="D11" s="88" t="n">
        <v>10780</v>
      </c>
      <c r="E11" s="89" t="n">
        <v>6293</v>
      </c>
      <c r="F11" s="90"/>
      <c r="G11" s="88" t="n">
        <v>38708.028</v>
      </c>
      <c r="H11" s="88" t="n">
        <v>325890.158</v>
      </c>
      <c r="I11" s="88" t="n">
        <v>9908</v>
      </c>
      <c r="J11" s="89" t="n">
        <v>5954</v>
      </c>
      <c r="K11" s="90"/>
      <c r="L11" s="88" t="n">
        <v>37305.792</v>
      </c>
      <c r="M11" s="88" t="n">
        <v>415352.166</v>
      </c>
      <c r="N11" s="88" t="n">
        <v>10584</v>
      </c>
      <c r="O11" s="89" t="n">
        <v>5560</v>
      </c>
      <c r="P11" s="90"/>
      <c r="Q11" s="88" t="n">
        <v>51131.207</v>
      </c>
      <c r="R11" s="88" t="n">
        <v>390818.951</v>
      </c>
      <c r="S11" s="88" t="n">
        <v>8289</v>
      </c>
      <c r="T11" s="89" t="n">
        <v>3845</v>
      </c>
      <c r="U11" s="102"/>
      <c r="V11" s="88" t="n">
        <v>60815.774</v>
      </c>
      <c r="W11" s="88" t="n">
        <v>422219.235</v>
      </c>
      <c r="X11" s="88" t="n">
        <v>12021</v>
      </c>
      <c r="Y11" s="89" t="n">
        <v>6451</v>
      </c>
      <c r="Z11" s="90"/>
      <c r="AA11" s="88" t="n">
        <v>52706.376</v>
      </c>
      <c r="AB11" s="88" t="n">
        <v>405347.087</v>
      </c>
      <c r="AC11" s="88" t="n">
        <v>9375</v>
      </c>
      <c r="AD11" s="89" t="n">
        <v>7138</v>
      </c>
      <c r="AE11" s="90"/>
      <c r="AF11" s="88" t="n">
        <v>50733.235</v>
      </c>
      <c r="AG11" s="88" t="n">
        <f aca="false">284373+101430</f>
        <v>385803</v>
      </c>
      <c r="AH11" s="88" t="n">
        <v>10180</v>
      </c>
      <c r="AI11" s="89" t="n">
        <v>7574</v>
      </c>
      <c r="AJ11" s="90"/>
      <c r="AK11" s="88" t="n">
        <v>59849.841</v>
      </c>
      <c r="AL11" s="88" t="n">
        <f aca="false">291290+151757</f>
        <v>443047</v>
      </c>
      <c r="AM11" s="88" t="n">
        <v>12418</v>
      </c>
      <c r="AN11" s="89" t="n">
        <v>7543</v>
      </c>
      <c r="AO11" s="90"/>
      <c r="AP11" s="88" t="n">
        <v>46513.448</v>
      </c>
      <c r="AQ11" s="88" t="n">
        <f aca="false">279788+134082</f>
        <v>413870</v>
      </c>
      <c r="AR11" s="88" t="n">
        <v>11062</v>
      </c>
      <c r="AS11" s="89" t="n">
        <v>4994</v>
      </c>
      <c r="AT11" s="102"/>
      <c r="AU11" s="88" t="n">
        <v>69486</v>
      </c>
      <c r="AV11" s="88" t="n">
        <v>352307</v>
      </c>
      <c r="AW11" s="88" t="n">
        <v>9779</v>
      </c>
      <c r="AX11" s="89" t="n">
        <v>4992</v>
      </c>
      <c r="AY11" s="90"/>
      <c r="AZ11" s="88"/>
      <c r="BA11" s="88"/>
      <c r="BB11" s="88"/>
      <c r="BC11" s="89"/>
      <c r="BD11" s="90"/>
      <c r="BE11" s="88"/>
      <c r="BF11" s="88"/>
      <c r="BG11" s="88"/>
      <c r="BH11" s="89"/>
      <c r="BI11" s="91"/>
      <c r="BJ11" s="88" t="n">
        <v>276718.052</v>
      </c>
      <c r="BK11" s="88" t="n">
        <v>2201803.947</v>
      </c>
      <c r="BL11" s="88" t="n">
        <v>60957</v>
      </c>
      <c r="BM11" s="89" t="n">
        <v>35241</v>
      </c>
      <c r="BN11" s="91"/>
      <c r="BO11" s="91"/>
      <c r="BP11" s="91"/>
      <c r="BQ11" s="91"/>
      <c r="BR11" s="91"/>
      <c r="BS11" s="91"/>
      <c r="BT11" s="91"/>
      <c r="BU11" s="91"/>
      <c r="BV11" s="91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103"/>
      <c r="EG11" s="103"/>
      <c r="EH11" s="103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2.75" hidden="false" customHeight="false" outlineLevel="0" collapsed="false">
      <c r="A12" s="17" t="s">
        <v>42</v>
      </c>
      <c r="B12" s="88" t="n">
        <v>6936.721</v>
      </c>
      <c r="C12" s="88" t="n">
        <v>767.6</v>
      </c>
      <c r="D12" s="88" t="n">
        <v>331</v>
      </c>
      <c r="E12" s="89" t="n">
        <v>130</v>
      </c>
      <c r="F12" s="90"/>
      <c r="G12" s="88" t="n">
        <v>6270.981</v>
      </c>
      <c r="H12" s="88" t="n">
        <v>1460</v>
      </c>
      <c r="I12" s="88" t="n">
        <v>220</v>
      </c>
      <c r="J12" s="89" t="n">
        <v>46</v>
      </c>
      <c r="K12" s="90"/>
      <c r="L12" s="88" t="n">
        <v>6325.113</v>
      </c>
      <c r="M12" s="88" t="n">
        <v>1795.8</v>
      </c>
      <c r="N12" s="88" t="n">
        <v>189</v>
      </c>
      <c r="O12" s="89" t="n">
        <v>11</v>
      </c>
      <c r="P12" s="90"/>
      <c r="Q12" s="88" t="n">
        <v>8004.107</v>
      </c>
      <c r="R12" s="88" t="n">
        <v>240</v>
      </c>
      <c r="S12" s="88" t="n">
        <v>116</v>
      </c>
      <c r="T12" s="89" t="n">
        <v>15</v>
      </c>
      <c r="U12" s="90"/>
      <c r="V12" s="88" t="n">
        <v>5662.816</v>
      </c>
      <c r="W12" s="88" t="n">
        <v>2170.012</v>
      </c>
      <c r="X12" s="88" t="n">
        <v>144</v>
      </c>
      <c r="Y12" s="89" t="n">
        <v>10</v>
      </c>
      <c r="Z12" s="90"/>
      <c r="AA12" s="88" t="n">
        <v>8026.946</v>
      </c>
      <c r="AB12" s="88" t="n">
        <v>2483.6</v>
      </c>
      <c r="AC12" s="88" t="n">
        <f aca="false">91+34</f>
        <v>125</v>
      </c>
      <c r="AD12" s="89" t="n">
        <v>6</v>
      </c>
      <c r="AE12" s="90"/>
      <c r="AF12" s="88" t="n">
        <v>7527.629</v>
      </c>
      <c r="AG12" s="88" t="n">
        <v>287.5</v>
      </c>
      <c r="AH12" s="88" t="n">
        <f aca="false">327+45</f>
        <v>372</v>
      </c>
      <c r="AI12" s="89" t="n">
        <v>43</v>
      </c>
      <c r="AJ12" s="90"/>
      <c r="AK12" s="88" t="n">
        <v>7200.54</v>
      </c>
      <c r="AL12" s="88" t="n">
        <v>277.5</v>
      </c>
      <c r="AM12" s="88" t="n">
        <f aca="false">762+147</f>
        <v>909</v>
      </c>
      <c r="AN12" s="89" t="n">
        <v>203</v>
      </c>
      <c r="AO12" s="90"/>
      <c r="AP12" s="88" t="n">
        <v>7909.201</v>
      </c>
      <c r="AQ12" s="88" t="n">
        <v>277.5</v>
      </c>
      <c r="AR12" s="88" t="n">
        <f aca="false">410+58</f>
        <v>468</v>
      </c>
      <c r="AS12" s="89" t="n">
        <v>116</v>
      </c>
      <c r="AT12" s="90"/>
      <c r="AU12" s="88" t="n">
        <v>6593</v>
      </c>
      <c r="AV12" s="88" t="n">
        <v>533</v>
      </c>
      <c r="AW12" s="88" t="n">
        <v>466</v>
      </c>
      <c r="AX12" s="89" t="n">
        <v>104</v>
      </c>
      <c r="AY12" s="90"/>
      <c r="AZ12" s="88"/>
      <c r="BA12" s="88"/>
      <c r="BB12" s="88"/>
      <c r="BC12" s="89"/>
      <c r="BD12" s="90"/>
      <c r="BE12" s="88"/>
      <c r="BF12" s="88"/>
      <c r="BG12" s="88"/>
      <c r="BH12" s="89"/>
      <c r="BI12" s="91"/>
      <c r="BJ12" s="88" t="n">
        <v>42279.362</v>
      </c>
      <c r="BK12" s="88" t="n">
        <v>10831.012</v>
      </c>
      <c r="BL12" s="88" t="n">
        <v>1277</v>
      </c>
      <c r="BM12" s="89" t="n">
        <v>237</v>
      </c>
      <c r="BN12" s="91"/>
      <c r="BO12" s="91"/>
      <c r="BP12" s="91"/>
      <c r="BQ12" s="91"/>
      <c r="BR12" s="91"/>
      <c r="BS12" s="91"/>
      <c r="BT12" s="91"/>
      <c r="BU12" s="91"/>
      <c r="BV12" s="91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</row>
    <row r="13" customFormat="false" ht="14.25" hidden="false" customHeight="true" outlineLevel="0" collapsed="false">
      <c r="A13" s="17" t="s">
        <v>27</v>
      </c>
      <c r="B13" s="88" t="n">
        <v>0</v>
      </c>
      <c r="C13" s="88" t="n">
        <v>62850</v>
      </c>
      <c r="D13" s="88" t="n">
        <v>138</v>
      </c>
      <c r="E13" s="89" t="n">
        <v>62</v>
      </c>
      <c r="F13" s="90"/>
      <c r="G13" s="88" t="n">
        <v>0</v>
      </c>
      <c r="H13" s="88" t="n">
        <v>167500</v>
      </c>
      <c r="I13" s="88" t="n">
        <v>154</v>
      </c>
      <c r="J13" s="89" t="n">
        <v>50</v>
      </c>
      <c r="K13" s="90"/>
      <c r="L13" s="88" t="n">
        <v>0</v>
      </c>
      <c r="M13" s="88" t="n">
        <v>59750</v>
      </c>
      <c r="N13" s="88" t="n">
        <v>86</v>
      </c>
      <c r="O13" s="89" t="n">
        <v>27</v>
      </c>
      <c r="P13" s="90"/>
      <c r="Q13" s="88" t="n">
        <v>0</v>
      </c>
      <c r="R13" s="88" t="n">
        <v>19350</v>
      </c>
      <c r="S13" s="88" t="n">
        <v>58</v>
      </c>
      <c r="T13" s="89" t="n">
        <v>32</v>
      </c>
      <c r="U13" s="90"/>
      <c r="V13" s="88" t="n">
        <v>0</v>
      </c>
      <c r="W13" s="88" t="n">
        <v>56520</v>
      </c>
      <c r="X13" s="88" t="n">
        <v>123</v>
      </c>
      <c r="Y13" s="89" t="n">
        <v>82</v>
      </c>
      <c r="Z13" s="90"/>
      <c r="AA13" s="88" t="n">
        <v>0</v>
      </c>
      <c r="AB13" s="88" t="n">
        <v>109335.9</v>
      </c>
      <c r="AC13" s="88" t="n">
        <v>147</v>
      </c>
      <c r="AD13" s="89" t="n">
        <v>90</v>
      </c>
      <c r="AE13" s="90"/>
      <c r="AF13" s="88" t="n">
        <v>0</v>
      </c>
      <c r="AG13" s="88" t="n">
        <v>113660</v>
      </c>
      <c r="AH13" s="88" t="n">
        <v>142</v>
      </c>
      <c r="AI13" s="89" t="n">
        <v>58</v>
      </c>
      <c r="AJ13" s="90"/>
      <c r="AK13" s="88" t="n">
        <v>0</v>
      </c>
      <c r="AL13" s="88" t="n">
        <v>79850</v>
      </c>
      <c r="AM13" s="88" t="n">
        <v>135</v>
      </c>
      <c r="AN13" s="89" t="n">
        <v>63</v>
      </c>
      <c r="AO13" s="90"/>
      <c r="AP13" s="88" t="n">
        <v>0</v>
      </c>
      <c r="AQ13" s="88" t="n">
        <v>110140</v>
      </c>
      <c r="AR13" s="88" t="n">
        <v>77</v>
      </c>
      <c r="AS13" s="89" t="n">
        <v>42</v>
      </c>
      <c r="AT13" s="90"/>
      <c r="AU13" s="88" t="n">
        <v>0</v>
      </c>
      <c r="AV13" s="88" t="n">
        <v>259335</v>
      </c>
      <c r="AW13" s="88" t="n">
        <v>180</v>
      </c>
      <c r="AX13" s="89" t="n">
        <v>118</v>
      </c>
      <c r="AY13" s="90"/>
      <c r="AZ13" s="88"/>
      <c r="BA13" s="88"/>
      <c r="BB13" s="88"/>
      <c r="BC13" s="89"/>
      <c r="BD13" s="90"/>
      <c r="BE13" s="88"/>
      <c r="BF13" s="88"/>
      <c r="BG13" s="88"/>
      <c r="BH13" s="89"/>
      <c r="BI13" s="91"/>
      <c r="BJ13" s="88" t="n">
        <v>0</v>
      </c>
      <c r="BK13" s="88" t="n">
        <v>481935.9</v>
      </c>
      <c r="BL13" s="88" t="n">
        <v>807</v>
      </c>
      <c r="BM13" s="89" t="n">
        <v>438</v>
      </c>
      <c r="BN13" s="91"/>
      <c r="BO13" s="91"/>
      <c r="BP13" s="91"/>
      <c r="BQ13" s="91"/>
      <c r="BR13" s="91"/>
      <c r="BS13" s="91"/>
      <c r="BT13" s="91"/>
      <c r="BU13" s="91"/>
      <c r="BV13" s="91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</row>
    <row r="14" customFormat="false" ht="13.5" hidden="false" customHeight="false" outlineLevel="0" collapsed="false">
      <c r="A14" s="17" t="s">
        <v>32</v>
      </c>
      <c r="B14" s="88" t="n">
        <v>0</v>
      </c>
      <c r="C14" s="88" t="n">
        <v>0</v>
      </c>
      <c r="D14" s="88" t="n">
        <v>0</v>
      </c>
      <c r="E14" s="89" t="n">
        <v>0</v>
      </c>
      <c r="F14" s="90"/>
      <c r="G14" s="88" t="n">
        <v>0</v>
      </c>
      <c r="H14" s="88" t="n">
        <v>0</v>
      </c>
      <c r="I14" s="88" t="n">
        <v>0</v>
      </c>
      <c r="J14" s="89" t="n">
        <v>0</v>
      </c>
      <c r="K14" s="90"/>
      <c r="L14" s="88" t="n">
        <v>772.799</v>
      </c>
      <c r="M14" s="88" t="n">
        <v>0</v>
      </c>
      <c r="N14" s="88" t="n">
        <v>2211</v>
      </c>
      <c r="O14" s="89" t="n">
        <v>0</v>
      </c>
      <c r="P14" s="90"/>
      <c r="Q14" s="88" t="n">
        <v>787.527</v>
      </c>
      <c r="R14" s="88" t="n">
        <v>0</v>
      </c>
      <c r="S14" s="88" t="n">
        <v>2244</v>
      </c>
      <c r="T14" s="89" t="n">
        <v>0</v>
      </c>
      <c r="U14" s="90"/>
      <c r="V14" s="88" t="n">
        <v>795.274</v>
      </c>
      <c r="W14" s="88" t="n">
        <v>0</v>
      </c>
      <c r="X14" s="88" t="n">
        <v>1865</v>
      </c>
      <c r="Y14" s="89" t="n">
        <v>0</v>
      </c>
      <c r="Z14" s="90"/>
      <c r="AA14" s="88" t="n">
        <v>580.078</v>
      </c>
      <c r="AB14" s="88" t="n">
        <v>0</v>
      </c>
      <c r="AC14" s="88" t="n">
        <v>1581</v>
      </c>
      <c r="AD14" s="89" t="n">
        <v>0</v>
      </c>
      <c r="AE14" s="90"/>
      <c r="AF14" s="88" t="n">
        <v>690.348</v>
      </c>
      <c r="AG14" s="88" t="n">
        <v>0</v>
      </c>
      <c r="AH14" s="88" t="n">
        <v>1925</v>
      </c>
      <c r="AI14" s="89" t="n">
        <v>0</v>
      </c>
      <c r="AJ14" s="90"/>
      <c r="AK14" s="88" t="n">
        <v>508.312</v>
      </c>
      <c r="AL14" s="88" t="n">
        <v>0</v>
      </c>
      <c r="AM14" s="88" t="n">
        <v>1330</v>
      </c>
      <c r="AN14" s="89" t="n">
        <v>0</v>
      </c>
      <c r="AO14" s="90"/>
      <c r="AP14" s="88" t="n">
        <v>1447</v>
      </c>
      <c r="AQ14" s="88" t="n">
        <v>0</v>
      </c>
      <c r="AR14" s="88" t="n">
        <v>2101</v>
      </c>
      <c r="AS14" s="89" t="n">
        <v>0</v>
      </c>
      <c r="AT14" s="90"/>
      <c r="AU14" s="88" t="n">
        <v>2291</v>
      </c>
      <c r="AV14" s="88" t="n">
        <v>0</v>
      </c>
      <c r="AW14" s="88" t="n">
        <v>3335</v>
      </c>
      <c r="AX14" s="89" t="n">
        <v>0</v>
      </c>
      <c r="AY14" s="90"/>
      <c r="AZ14" s="88"/>
      <c r="BA14" s="88"/>
      <c r="BB14" s="88"/>
      <c r="BC14" s="89"/>
      <c r="BD14" s="90"/>
      <c r="BE14" s="88"/>
      <c r="BF14" s="88"/>
      <c r="BG14" s="88"/>
      <c r="BH14" s="89"/>
      <c r="BI14" s="91"/>
      <c r="BJ14" s="88" t="n">
        <v>4614.678</v>
      </c>
      <c r="BK14" s="88" t="n">
        <v>0</v>
      </c>
      <c r="BL14" s="88" t="n">
        <v>8508.343</v>
      </c>
      <c r="BM14" s="89" t="n">
        <v>0</v>
      </c>
      <c r="BN14" s="91"/>
      <c r="BO14" s="91"/>
      <c r="BP14" s="91"/>
      <c r="BQ14" s="91"/>
      <c r="BR14" s="91"/>
      <c r="BS14" s="91"/>
      <c r="BT14" s="91"/>
      <c r="BU14" s="91"/>
      <c r="BV14" s="91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</row>
    <row r="15" customFormat="false" ht="13.5" hidden="false" customHeight="false" outlineLevel="0" collapsed="false">
      <c r="A15" s="17" t="s">
        <v>39</v>
      </c>
      <c r="B15" s="96" t="n">
        <v>51061.466</v>
      </c>
      <c r="C15" s="96" t="n">
        <v>371507.961</v>
      </c>
      <c r="D15" s="96" t="n">
        <v>11249</v>
      </c>
      <c r="E15" s="97" t="n">
        <v>6485</v>
      </c>
      <c r="F15" s="98"/>
      <c r="G15" s="96" t="n">
        <v>44981.405</v>
      </c>
      <c r="H15" s="96" t="n">
        <v>484130.017</v>
      </c>
      <c r="I15" s="96" t="n">
        <v>10282</v>
      </c>
      <c r="J15" s="97" t="n">
        <v>6050</v>
      </c>
      <c r="K15" s="98"/>
      <c r="L15" s="96" t="n">
        <v>47566.935</v>
      </c>
      <c r="M15" s="96" t="n">
        <v>460947.361</v>
      </c>
      <c r="N15" s="96" t="n">
        <v>13070</v>
      </c>
      <c r="O15" s="97" t="n">
        <v>5598</v>
      </c>
      <c r="P15" s="98"/>
      <c r="Q15" s="96" t="n">
        <v>63525.685</v>
      </c>
      <c r="R15" s="96" t="n">
        <v>428915.275</v>
      </c>
      <c r="S15" s="96" t="n">
        <v>10736</v>
      </c>
      <c r="T15" s="97" t="n">
        <v>3892</v>
      </c>
      <c r="U15" s="90"/>
      <c r="V15" s="96" t="n">
        <v>79672.368</v>
      </c>
      <c r="W15" s="96" t="n">
        <v>479213.187</v>
      </c>
      <c r="X15" s="96" t="n">
        <v>14138</v>
      </c>
      <c r="Y15" s="97" t="n">
        <v>6543</v>
      </c>
      <c r="Z15" s="98"/>
      <c r="AA15" s="96" t="n">
        <v>61470.072</v>
      </c>
      <c r="AB15" s="96" t="n">
        <v>517166.587</v>
      </c>
      <c r="AC15" s="96" t="n">
        <v>11259</v>
      </c>
      <c r="AD15" s="96" t="n">
        <v>7234</v>
      </c>
      <c r="AE15" s="98"/>
      <c r="AF15" s="96" t="n">
        <v>0</v>
      </c>
      <c r="AG15" s="96" t="n">
        <v>0</v>
      </c>
      <c r="AH15" s="96" t="n">
        <v>0</v>
      </c>
      <c r="AI15" s="97" t="n">
        <v>0</v>
      </c>
      <c r="AJ15" s="98"/>
      <c r="AK15" s="96" t="n">
        <v>0</v>
      </c>
      <c r="AL15" s="96" t="n">
        <v>0</v>
      </c>
      <c r="AM15" s="96" t="n">
        <v>0</v>
      </c>
      <c r="AN15" s="97" t="n">
        <v>0</v>
      </c>
      <c r="AO15" s="98"/>
      <c r="AP15" s="96" t="n">
        <v>0</v>
      </c>
      <c r="AQ15" s="96" t="n">
        <v>0</v>
      </c>
      <c r="AR15" s="96" t="n">
        <v>0</v>
      </c>
      <c r="AS15" s="97" t="n">
        <v>0</v>
      </c>
      <c r="AT15" s="90"/>
      <c r="AU15" s="96" t="n">
        <v>0</v>
      </c>
      <c r="AV15" s="96" t="n">
        <v>0</v>
      </c>
      <c r="AW15" s="96" t="n">
        <v>0</v>
      </c>
      <c r="AX15" s="97" t="n">
        <v>0</v>
      </c>
      <c r="AY15" s="98"/>
      <c r="AZ15" s="96" t="n">
        <v>0</v>
      </c>
      <c r="BA15" s="96" t="n">
        <v>0</v>
      </c>
      <c r="BB15" s="96" t="n">
        <v>0</v>
      </c>
      <c r="BC15" s="97" t="n">
        <v>0</v>
      </c>
      <c r="BD15" s="98"/>
      <c r="BE15" s="96" t="n">
        <v>0</v>
      </c>
      <c r="BF15" s="96" t="n">
        <v>0</v>
      </c>
      <c r="BG15" s="96" t="n">
        <v>0</v>
      </c>
      <c r="BH15" s="97" t="n">
        <v>0</v>
      </c>
      <c r="BI15" s="91"/>
      <c r="BJ15" s="96" t="n">
        <v>286807.859</v>
      </c>
      <c r="BK15" s="96" t="n">
        <v>2224713.801</v>
      </c>
      <c r="BL15" s="96" t="n">
        <v>59475</v>
      </c>
      <c r="BM15" s="97" t="n">
        <v>28568</v>
      </c>
      <c r="BN15" s="91"/>
      <c r="BO15" s="91"/>
      <c r="BP15" s="91"/>
      <c r="BQ15" s="91"/>
      <c r="BR15" s="91"/>
      <c r="BS15" s="91"/>
      <c r="BT15" s="91"/>
      <c r="BU15" s="91"/>
      <c r="BV15" s="91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</row>
    <row r="16" customFormat="false" ht="12.75" hidden="false" customHeight="false" outlineLevel="0" collapsed="false">
      <c r="A16" s="9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21"/>
      <c r="V16" s="34"/>
      <c r="W16" s="34"/>
      <c r="X16" s="34"/>
      <c r="Y16" s="34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</row>
    <row r="17" customFormat="false" ht="15" hidden="false" customHeight="false" outlineLevel="0" collapsed="false">
      <c r="A17" s="3"/>
      <c r="B17" s="4" t="s">
        <v>14</v>
      </c>
      <c r="C17" s="4"/>
      <c r="D17" s="4"/>
      <c r="E17" s="4"/>
      <c r="F17" s="5"/>
      <c r="G17" s="4" t="s">
        <v>15</v>
      </c>
      <c r="H17" s="4"/>
      <c r="I17" s="4"/>
      <c r="J17" s="4"/>
      <c r="K17" s="5"/>
      <c r="L17" s="4" t="s">
        <v>16</v>
      </c>
      <c r="M17" s="4"/>
      <c r="N17" s="4"/>
      <c r="O17" s="4"/>
      <c r="P17" s="5"/>
      <c r="Q17" s="4" t="s">
        <v>17</v>
      </c>
      <c r="R17" s="4"/>
      <c r="S17" s="4"/>
      <c r="T17" s="4"/>
      <c r="U17" s="21"/>
      <c r="V17" s="4" t="s">
        <v>18</v>
      </c>
      <c r="W17" s="4"/>
      <c r="X17" s="4"/>
      <c r="Y17" s="4"/>
      <c r="Z17" s="100"/>
      <c r="AA17" s="4" t="s">
        <v>19</v>
      </c>
      <c r="AB17" s="4"/>
      <c r="AC17" s="4"/>
      <c r="AD17" s="4"/>
      <c r="AE17" s="5"/>
      <c r="AF17" s="4" t="s">
        <v>20</v>
      </c>
      <c r="AG17" s="4"/>
      <c r="AH17" s="4"/>
      <c r="AI17" s="4"/>
      <c r="AJ17" s="5"/>
      <c r="AK17" s="4" t="s">
        <v>21</v>
      </c>
      <c r="AL17" s="4"/>
      <c r="AM17" s="4"/>
      <c r="AN17" s="4"/>
      <c r="AO17" s="5"/>
      <c r="AP17" s="4" t="s">
        <v>68</v>
      </c>
      <c r="AQ17" s="4"/>
      <c r="AR17" s="4"/>
      <c r="AS17" s="4"/>
      <c r="AT17" s="21"/>
      <c r="AU17" s="4" t="s">
        <v>23</v>
      </c>
      <c r="AV17" s="4"/>
      <c r="AW17" s="4"/>
      <c r="AX17" s="4"/>
      <c r="AY17" s="100"/>
      <c r="AZ17" s="4" t="s">
        <v>24</v>
      </c>
      <c r="BA17" s="4"/>
      <c r="BB17" s="4"/>
      <c r="BC17" s="4"/>
      <c r="BD17" s="100"/>
      <c r="BE17" s="4" t="s">
        <v>25</v>
      </c>
      <c r="BF17" s="4"/>
      <c r="BG17" s="4"/>
      <c r="BH17" s="4"/>
      <c r="BI17" s="9"/>
      <c r="BJ17" s="4" t="s">
        <v>4</v>
      </c>
      <c r="BK17" s="4"/>
      <c r="BL17" s="4"/>
      <c r="BM17" s="4"/>
      <c r="BN17" s="9"/>
      <c r="BO17" s="9"/>
      <c r="BP17" s="9"/>
      <c r="BQ17" s="9"/>
      <c r="BR17" s="9"/>
      <c r="BS17" s="9"/>
      <c r="BT17" s="9"/>
      <c r="BU17" s="9"/>
      <c r="BV17" s="9"/>
    </row>
    <row r="18" customFormat="false" ht="12.75" hidden="false" customHeight="false" outlineLevel="0" collapsed="false">
      <c r="A18" s="1" t="n">
        <v>2000</v>
      </c>
      <c r="B18" s="85" t="s">
        <v>63</v>
      </c>
      <c r="C18" s="85" t="s">
        <v>64</v>
      </c>
      <c r="D18" s="85" t="s">
        <v>65</v>
      </c>
      <c r="E18" s="85" t="s">
        <v>66</v>
      </c>
      <c r="F18" s="12"/>
      <c r="G18" s="85" t="s">
        <v>63</v>
      </c>
      <c r="H18" s="85" t="s">
        <v>64</v>
      </c>
      <c r="I18" s="85" t="s">
        <v>65</v>
      </c>
      <c r="J18" s="85" t="s">
        <v>66</v>
      </c>
      <c r="K18" s="12"/>
      <c r="L18" s="85" t="s">
        <v>63</v>
      </c>
      <c r="M18" s="85" t="s">
        <v>64</v>
      </c>
      <c r="N18" s="85" t="s">
        <v>65</v>
      </c>
      <c r="O18" s="85" t="s">
        <v>66</v>
      </c>
      <c r="P18" s="12"/>
      <c r="Q18" s="85" t="s">
        <v>63</v>
      </c>
      <c r="R18" s="85" t="s">
        <v>64</v>
      </c>
      <c r="S18" s="85" t="s">
        <v>65</v>
      </c>
      <c r="T18" s="85" t="s">
        <v>66</v>
      </c>
      <c r="U18" s="12"/>
      <c r="V18" s="85" t="s">
        <v>63</v>
      </c>
      <c r="W18" s="85" t="s">
        <v>64</v>
      </c>
      <c r="X18" s="85" t="s">
        <v>65</v>
      </c>
      <c r="Y18" s="85" t="s">
        <v>66</v>
      </c>
      <c r="Z18" s="101"/>
      <c r="AA18" s="85" t="s">
        <v>63</v>
      </c>
      <c r="AB18" s="85" t="s">
        <v>64</v>
      </c>
      <c r="AC18" s="85" t="s">
        <v>65</v>
      </c>
      <c r="AD18" s="85" t="s">
        <v>66</v>
      </c>
      <c r="AE18" s="12"/>
      <c r="AF18" s="85" t="s">
        <v>63</v>
      </c>
      <c r="AG18" s="85" t="s">
        <v>64</v>
      </c>
      <c r="AH18" s="85" t="s">
        <v>65</v>
      </c>
      <c r="AI18" s="85" t="s">
        <v>66</v>
      </c>
      <c r="AJ18" s="12"/>
      <c r="AK18" s="85" t="s">
        <v>63</v>
      </c>
      <c r="AL18" s="85" t="s">
        <v>64</v>
      </c>
      <c r="AM18" s="85" t="s">
        <v>65</v>
      </c>
      <c r="AN18" s="85" t="s">
        <v>66</v>
      </c>
      <c r="AO18" s="12"/>
      <c r="AP18" s="85" t="s">
        <v>63</v>
      </c>
      <c r="AQ18" s="85" t="s">
        <v>64</v>
      </c>
      <c r="AR18" s="85" t="s">
        <v>65</v>
      </c>
      <c r="AS18" s="85" t="s">
        <v>66</v>
      </c>
      <c r="AT18" s="12"/>
      <c r="AU18" s="85" t="s">
        <v>63</v>
      </c>
      <c r="AV18" s="85" t="s">
        <v>64</v>
      </c>
      <c r="AW18" s="85" t="s">
        <v>65</v>
      </c>
      <c r="AX18" s="85" t="s">
        <v>66</v>
      </c>
      <c r="AY18" s="101"/>
      <c r="AZ18" s="85" t="s">
        <v>63</v>
      </c>
      <c r="BA18" s="85" t="s">
        <v>64</v>
      </c>
      <c r="BB18" s="85" t="s">
        <v>65</v>
      </c>
      <c r="BC18" s="85" t="s">
        <v>66</v>
      </c>
      <c r="BD18" s="101"/>
      <c r="BE18" s="85" t="s">
        <v>63</v>
      </c>
      <c r="BF18" s="85" t="s">
        <v>64</v>
      </c>
      <c r="BG18" s="85" t="s">
        <v>65</v>
      </c>
      <c r="BH18" s="85" t="s">
        <v>66</v>
      </c>
      <c r="BI18" s="9"/>
      <c r="BJ18" s="85" t="s">
        <v>63</v>
      </c>
      <c r="BK18" s="85" t="s">
        <v>64</v>
      </c>
      <c r="BL18" s="85" t="s">
        <v>65</v>
      </c>
      <c r="BM18" s="85" t="s">
        <v>66</v>
      </c>
      <c r="BN18" s="9"/>
      <c r="BO18" s="9"/>
      <c r="BP18" s="9"/>
      <c r="BQ18" s="9"/>
      <c r="BR18" s="9"/>
      <c r="BS18" s="9"/>
      <c r="BT18" s="9"/>
      <c r="BU18" s="9"/>
      <c r="BV18" s="9"/>
    </row>
    <row r="19" customFormat="false" ht="12.75" hidden="false" customHeight="false" outlineLevel="0" collapsed="false">
      <c r="A19" s="17" t="s">
        <v>13</v>
      </c>
      <c r="B19" s="88" t="n">
        <v>50965.918</v>
      </c>
      <c r="C19" s="88" t="n">
        <v>199515.983</v>
      </c>
      <c r="D19" s="88" t="n">
        <v>3050</v>
      </c>
      <c r="E19" s="89" t="n">
        <v>176</v>
      </c>
      <c r="F19" s="90"/>
      <c r="G19" s="88" t="n">
        <v>39570.202</v>
      </c>
      <c r="H19" s="88" t="n">
        <v>171546.618</v>
      </c>
      <c r="I19" s="88" t="n">
        <v>2694</v>
      </c>
      <c r="J19" s="89" t="n">
        <v>270</v>
      </c>
      <c r="K19" s="90"/>
      <c r="L19" s="88" t="n">
        <v>38112.879</v>
      </c>
      <c r="M19" s="88" t="n">
        <v>193331.081</v>
      </c>
      <c r="N19" s="88" t="n">
        <v>3172</v>
      </c>
      <c r="O19" s="89" t="n">
        <v>221</v>
      </c>
      <c r="P19" s="90"/>
      <c r="Q19" s="88" t="n">
        <v>28915.627</v>
      </c>
      <c r="R19" s="88" t="n">
        <v>150072.627</v>
      </c>
      <c r="S19" s="88" t="n">
        <v>2620</v>
      </c>
      <c r="T19" s="89" t="n">
        <v>570</v>
      </c>
      <c r="U19" s="102"/>
      <c r="V19" s="88" t="n">
        <v>41715.71</v>
      </c>
      <c r="W19" s="88" t="n">
        <v>245942.075</v>
      </c>
      <c r="X19" s="88" t="n">
        <v>5180</v>
      </c>
      <c r="Y19" s="89" t="n">
        <v>2106</v>
      </c>
      <c r="Z19" s="90"/>
      <c r="AA19" s="88" t="n">
        <v>36391.863</v>
      </c>
      <c r="AB19" s="88" t="n">
        <v>308437.321</v>
      </c>
      <c r="AC19" s="88" t="n">
        <v>6303</v>
      </c>
      <c r="AD19" s="89" t="n">
        <v>1631</v>
      </c>
      <c r="AE19" s="90"/>
      <c r="AF19" s="88" t="n">
        <v>37776.136</v>
      </c>
      <c r="AG19" s="88" t="n">
        <v>253779.674</v>
      </c>
      <c r="AH19" s="88" t="n">
        <v>3683</v>
      </c>
      <c r="AI19" s="89" t="n">
        <v>1141</v>
      </c>
      <c r="AJ19" s="90"/>
      <c r="AK19" s="88" t="n">
        <v>43826.926</v>
      </c>
      <c r="AL19" s="88" t="n">
        <v>308730.992</v>
      </c>
      <c r="AM19" s="88" t="n">
        <v>4563</v>
      </c>
      <c r="AN19" s="89" t="n">
        <v>1308</v>
      </c>
      <c r="AO19" s="90"/>
      <c r="AP19" s="88" t="n">
        <v>42724.757</v>
      </c>
      <c r="AQ19" s="88" t="n">
        <v>285951.801</v>
      </c>
      <c r="AR19" s="88" t="n">
        <v>5556</v>
      </c>
      <c r="AS19" s="89" t="n">
        <v>2131</v>
      </c>
      <c r="AT19" s="102"/>
      <c r="AU19" s="88" t="n">
        <v>52145.502</v>
      </c>
      <c r="AV19" s="88" t="n">
        <v>310339.722</v>
      </c>
      <c r="AW19" s="88" t="n">
        <v>6026</v>
      </c>
      <c r="AX19" s="89" t="n">
        <v>2575</v>
      </c>
      <c r="AY19" s="90"/>
      <c r="AZ19" s="88" t="n">
        <v>66226.272</v>
      </c>
      <c r="BA19" s="88" t="n">
        <v>311093.028</v>
      </c>
      <c r="BB19" s="88" t="n">
        <v>5283</v>
      </c>
      <c r="BC19" s="89" t="n">
        <v>2565</v>
      </c>
      <c r="BD19" s="90"/>
      <c r="BE19" s="88" t="n">
        <v>43836.365</v>
      </c>
      <c r="BF19" s="88" t="n">
        <v>297885.808</v>
      </c>
      <c r="BG19" s="88" t="n">
        <v>5326</v>
      </c>
      <c r="BH19" s="89" t="n">
        <v>2470</v>
      </c>
      <c r="BI19" s="91"/>
      <c r="BJ19" s="88" t="n">
        <v>522208.157</v>
      </c>
      <c r="BK19" s="88" t="n">
        <v>3036626.73</v>
      </c>
      <c r="BL19" s="88" t="n">
        <v>53456</v>
      </c>
      <c r="BM19" s="89" t="n">
        <v>17164</v>
      </c>
      <c r="BN19" s="91"/>
      <c r="BO19" s="91"/>
      <c r="BP19" s="91"/>
      <c r="BQ19" s="91"/>
      <c r="BR19" s="91"/>
      <c r="BS19" s="91"/>
      <c r="BT19" s="91"/>
      <c r="BU19" s="91"/>
      <c r="BV19" s="91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03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12.75" hidden="false" customHeight="false" outlineLevel="0" collapsed="false">
      <c r="A20" s="17" t="s">
        <v>42</v>
      </c>
      <c r="B20" s="88" t="n">
        <v>2692.75</v>
      </c>
      <c r="C20" s="88" t="n">
        <v>0</v>
      </c>
      <c r="D20" s="88" t="n">
        <v>93</v>
      </c>
      <c r="E20" s="89" t="n">
        <v>38</v>
      </c>
      <c r="F20" s="90"/>
      <c r="G20" s="88" t="n">
        <v>2549.831</v>
      </c>
      <c r="H20" s="88" t="n">
        <v>0</v>
      </c>
      <c r="I20" s="88" t="n">
        <v>92</v>
      </c>
      <c r="J20" s="89" t="n">
        <v>26</v>
      </c>
      <c r="K20" s="90"/>
      <c r="L20" s="88" t="n">
        <v>2692.487</v>
      </c>
      <c r="M20" s="88" t="n">
        <v>0</v>
      </c>
      <c r="N20" s="88" t="n">
        <v>81</v>
      </c>
      <c r="O20" s="89" t="n">
        <v>20</v>
      </c>
      <c r="P20" s="90"/>
      <c r="Q20" s="88" t="n">
        <v>2809.562</v>
      </c>
      <c r="R20" s="88" t="n">
        <v>0</v>
      </c>
      <c r="S20" s="88" t="n">
        <v>96</v>
      </c>
      <c r="T20" s="89" t="n">
        <v>31</v>
      </c>
      <c r="U20" s="90"/>
      <c r="V20" s="88" t="n">
        <v>2954.256</v>
      </c>
      <c r="W20" s="88" t="n">
        <v>0</v>
      </c>
      <c r="X20" s="88" t="n">
        <v>90</v>
      </c>
      <c r="Y20" s="89" t="n">
        <v>13</v>
      </c>
      <c r="Z20" s="90"/>
      <c r="AA20" s="88" t="n">
        <v>3265.875</v>
      </c>
      <c r="AB20" s="88" t="n">
        <v>0</v>
      </c>
      <c r="AC20" s="88" t="n">
        <v>71</v>
      </c>
      <c r="AD20" s="89" t="n">
        <v>15</v>
      </c>
      <c r="AE20" s="90"/>
      <c r="AF20" s="88" t="n">
        <v>2893.06</v>
      </c>
      <c r="AG20" s="88" t="n">
        <v>0</v>
      </c>
      <c r="AH20" s="88" t="n">
        <v>106</v>
      </c>
      <c r="AI20" s="89" t="n">
        <v>79</v>
      </c>
      <c r="AJ20" s="90"/>
      <c r="AK20" s="88" t="n">
        <v>3103.223</v>
      </c>
      <c r="AL20" s="88" t="n">
        <v>0</v>
      </c>
      <c r="AM20" s="88" t="n">
        <v>473</v>
      </c>
      <c r="AN20" s="89" t="n">
        <v>380</v>
      </c>
      <c r="AO20" s="90"/>
      <c r="AP20" s="88" t="n">
        <v>3022.793</v>
      </c>
      <c r="AQ20" s="88" t="n">
        <v>0</v>
      </c>
      <c r="AR20" s="88" t="n">
        <v>473</v>
      </c>
      <c r="AS20" s="89" t="n">
        <v>385</v>
      </c>
      <c r="AT20" s="90"/>
      <c r="AU20" s="88" t="n">
        <v>4236.09</v>
      </c>
      <c r="AV20" s="88" t="n">
        <v>0</v>
      </c>
      <c r="AW20" s="88" t="n">
        <v>955</v>
      </c>
      <c r="AX20" s="89" t="n">
        <v>817</v>
      </c>
      <c r="AY20" s="90"/>
      <c r="AZ20" s="88" t="n">
        <v>5082.321</v>
      </c>
      <c r="BA20" s="88" t="n">
        <v>0</v>
      </c>
      <c r="BB20" s="88" t="n">
        <v>421</v>
      </c>
      <c r="BC20" s="89" t="n">
        <v>208</v>
      </c>
      <c r="BD20" s="90"/>
      <c r="BE20" s="88" t="n">
        <v>5140.719</v>
      </c>
      <c r="BF20" s="88" t="n">
        <v>1980</v>
      </c>
      <c r="BG20" s="88" t="n">
        <v>332</v>
      </c>
      <c r="BH20" s="89" t="n">
        <v>164</v>
      </c>
      <c r="BI20" s="91"/>
      <c r="BJ20" s="88" t="n">
        <v>40442.967</v>
      </c>
      <c r="BK20" s="88" t="n">
        <v>1980</v>
      </c>
      <c r="BL20" s="88" t="n">
        <v>3283</v>
      </c>
      <c r="BM20" s="89" t="n">
        <v>2176</v>
      </c>
      <c r="BN20" s="91"/>
      <c r="BO20" s="91"/>
      <c r="BP20" s="91"/>
      <c r="BQ20" s="91"/>
      <c r="BR20" s="91"/>
      <c r="BS20" s="91"/>
      <c r="BT20" s="91"/>
      <c r="BU20" s="91"/>
      <c r="BV20" s="91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</row>
    <row r="21" customFormat="false" ht="14.25" hidden="false" customHeight="true" outlineLevel="0" collapsed="false">
      <c r="A21" s="17" t="s">
        <v>27</v>
      </c>
      <c r="B21" s="88" t="n">
        <v>0</v>
      </c>
      <c r="C21" s="88" t="n">
        <v>116753.047</v>
      </c>
      <c r="D21" s="88" t="n">
        <v>58</v>
      </c>
      <c r="E21" s="89" t="n">
        <v>35</v>
      </c>
      <c r="F21" s="90"/>
      <c r="G21" s="88" t="n">
        <v>0</v>
      </c>
      <c r="H21" s="88" t="n">
        <v>137559.875</v>
      </c>
      <c r="I21" s="88" t="n">
        <v>129</v>
      </c>
      <c r="J21" s="89" t="n">
        <v>60</v>
      </c>
      <c r="K21" s="90"/>
      <c r="L21" s="88" t="n">
        <v>0</v>
      </c>
      <c r="M21" s="88" t="n">
        <v>70954.87</v>
      </c>
      <c r="N21" s="88" t="n">
        <v>63</v>
      </c>
      <c r="O21" s="89" t="n">
        <v>29</v>
      </c>
      <c r="P21" s="90"/>
      <c r="Q21" s="88" t="n">
        <v>0</v>
      </c>
      <c r="R21" s="88" t="n">
        <v>5092.205</v>
      </c>
      <c r="S21" s="88" t="n">
        <v>25</v>
      </c>
      <c r="T21" s="89" t="n">
        <v>14</v>
      </c>
      <c r="U21" s="90"/>
      <c r="V21" s="88" t="n">
        <v>0</v>
      </c>
      <c r="W21" s="88" t="n">
        <v>8410.276</v>
      </c>
      <c r="X21" s="88" t="n">
        <v>167</v>
      </c>
      <c r="Y21" s="89" t="n">
        <v>142</v>
      </c>
      <c r="Z21" s="90"/>
      <c r="AA21" s="88" t="n">
        <v>0</v>
      </c>
      <c r="AB21" s="88" t="n">
        <v>9251.127</v>
      </c>
      <c r="AC21" s="88" t="n">
        <v>179</v>
      </c>
      <c r="AD21" s="89" t="n">
        <v>241</v>
      </c>
      <c r="AE21" s="90"/>
      <c r="AF21" s="88" t="n">
        <v>0</v>
      </c>
      <c r="AG21" s="88" t="n">
        <v>42465.187</v>
      </c>
      <c r="AH21" s="88" t="n">
        <v>192</v>
      </c>
      <c r="AI21" s="89" t="n">
        <v>124</v>
      </c>
      <c r="AJ21" s="90"/>
      <c r="AK21" s="88" t="n">
        <v>0</v>
      </c>
      <c r="AL21" s="88" t="n">
        <v>26001.776</v>
      </c>
      <c r="AM21" s="88" t="n">
        <v>157</v>
      </c>
      <c r="AN21" s="89" t="n">
        <v>126</v>
      </c>
      <c r="AO21" s="90"/>
      <c r="AP21" s="88" t="n">
        <v>0</v>
      </c>
      <c r="AQ21" s="88" t="n">
        <v>95942.337</v>
      </c>
      <c r="AR21" s="88" t="n">
        <v>138</v>
      </c>
      <c r="AS21" s="89" t="n">
        <v>54</v>
      </c>
      <c r="AT21" s="90"/>
      <c r="AU21" s="88" t="n">
        <v>0</v>
      </c>
      <c r="AV21" s="88" t="n">
        <v>27649.072</v>
      </c>
      <c r="AW21" s="88" t="n">
        <v>256</v>
      </c>
      <c r="AX21" s="89" t="n">
        <v>28</v>
      </c>
      <c r="AY21" s="90"/>
      <c r="AZ21" s="88" t="n">
        <v>0</v>
      </c>
      <c r="BA21" s="88" t="n">
        <v>18296.405</v>
      </c>
      <c r="BB21" s="88" t="n">
        <v>131</v>
      </c>
      <c r="BC21" s="89" t="n">
        <v>54</v>
      </c>
      <c r="BD21" s="90"/>
      <c r="BE21" s="88" t="n">
        <v>0</v>
      </c>
      <c r="BF21" s="88" t="n">
        <v>40429.214</v>
      </c>
      <c r="BG21" s="88" t="n">
        <v>134</v>
      </c>
      <c r="BH21" s="89" t="n">
        <v>71</v>
      </c>
      <c r="BI21" s="91"/>
      <c r="BJ21" s="88" t="n">
        <v>0</v>
      </c>
      <c r="BK21" s="88" t="n">
        <v>598805.391</v>
      </c>
      <c r="BL21" s="88" t="n">
        <v>1629</v>
      </c>
      <c r="BM21" s="89" t="n">
        <v>978</v>
      </c>
      <c r="BN21" s="91"/>
      <c r="BO21" s="91"/>
      <c r="BP21" s="91"/>
      <c r="BQ21" s="91"/>
      <c r="BR21" s="91"/>
      <c r="BS21" s="91"/>
      <c r="BT21" s="91"/>
      <c r="BU21" s="91"/>
      <c r="BV21" s="91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</row>
    <row r="22" customFormat="false" ht="13.5" hidden="false" customHeight="false" outlineLevel="0" collapsed="false">
      <c r="A22" s="17" t="s">
        <v>32</v>
      </c>
      <c r="B22" s="88" t="n">
        <v>0</v>
      </c>
      <c r="C22" s="88" t="n">
        <v>0</v>
      </c>
      <c r="D22" s="88" t="n">
        <v>0</v>
      </c>
      <c r="E22" s="89" t="n">
        <v>0</v>
      </c>
      <c r="F22" s="90"/>
      <c r="G22" s="88" t="n">
        <v>0</v>
      </c>
      <c r="H22" s="88" t="n">
        <v>0</v>
      </c>
      <c r="I22" s="88" t="n">
        <v>0</v>
      </c>
      <c r="J22" s="89" t="n">
        <v>0</v>
      </c>
      <c r="K22" s="90"/>
      <c r="L22" s="88" t="n">
        <v>0</v>
      </c>
      <c r="M22" s="88" t="n">
        <v>0</v>
      </c>
      <c r="N22" s="88" t="n">
        <v>0</v>
      </c>
      <c r="O22" s="89" t="n">
        <v>0</v>
      </c>
      <c r="P22" s="90"/>
      <c r="Q22" s="88" t="n">
        <v>0</v>
      </c>
      <c r="R22" s="88" t="n">
        <v>0</v>
      </c>
      <c r="S22" s="88" t="n">
        <v>0</v>
      </c>
      <c r="T22" s="89" t="n">
        <v>0</v>
      </c>
      <c r="U22" s="90"/>
      <c r="V22" s="88" t="n">
        <v>0</v>
      </c>
      <c r="W22" s="88" t="n">
        <v>0</v>
      </c>
      <c r="X22" s="88" t="n">
        <v>0</v>
      </c>
      <c r="Y22" s="89" t="n">
        <v>0</v>
      </c>
      <c r="Z22" s="90"/>
      <c r="AA22" s="88" t="n">
        <v>0</v>
      </c>
      <c r="AB22" s="88" t="n">
        <v>0</v>
      </c>
      <c r="AC22" s="88" t="n">
        <v>0</v>
      </c>
      <c r="AD22" s="89" t="n">
        <v>0</v>
      </c>
      <c r="AE22" s="90"/>
      <c r="AF22" s="88" t="n">
        <v>0</v>
      </c>
      <c r="AG22" s="88" t="n">
        <v>0</v>
      </c>
      <c r="AH22" s="88" t="n">
        <v>0</v>
      </c>
      <c r="AI22" s="89" t="n">
        <v>0</v>
      </c>
      <c r="AJ22" s="90"/>
      <c r="AK22" s="88" t="n">
        <v>0</v>
      </c>
      <c r="AL22" s="88" t="n">
        <v>0</v>
      </c>
      <c r="AM22" s="88" t="n">
        <v>0</v>
      </c>
      <c r="AN22" s="89" t="n">
        <v>0</v>
      </c>
      <c r="AO22" s="90"/>
      <c r="AP22" s="88" t="n">
        <v>0</v>
      </c>
      <c r="AQ22" s="88" t="n">
        <v>0</v>
      </c>
      <c r="AR22" s="88" t="n">
        <v>0</v>
      </c>
      <c r="AS22" s="89" t="n">
        <v>0</v>
      </c>
      <c r="AT22" s="90"/>
      <c r="AU22" s="88" t="n">
        <v>0</v>
      </c>
      <c r="AV22" s="88" t="n">
        <v>0</v>
      </c>
      <c r="AW22" s="88" t="n">
        <v>0</v>
      </c>
      <c r="AX22" s="89" t="n">
        <v>0</v>
      </c>
      <c r="AY22" s="90"/>
      <c r="AZ22" s="88" t="n">
        <v>0</v>
      </c>
      <c r="BA22" s="88" t="n">
        <v>0</v>
      </c>
      <c r="BB22" s="88" t="n">
        <v>0</v>
      </c>
      <c r="BC22" s="89" t="n">
        <v>0</v>
      </c>
      <c r="BD22" s="90"/>
      <c r="BE22" s="88" t="n">
        <v>0</v>
      </c>
      <c r="BF22" s="88" t="n">
        <v>0</v>
      </c>
      <c r="BG22" s="88" t="n">
        <v>0</v>
      </c>
      <c r="BH22" s="89" t="n">
        <v>0</v>
      </c>
      <c r="BI22" s="91"/>
      <c r="BJ22" s="88" t="n">
        <v>0</v>
      </c>
      <c r="BK22" s="88" t="n">
        <v>0</v>
      </c>
      <c r="BL22" s="88" t="n">
        <v>0</v>
      </c>
      <c r="BM22" s="89" t="n">
        <v>0</v>
      </c>
      <c r="BN22" s="91"/>
      <c r="BO22" s="91"/>
      <c r="BP22" s="91"/>
      <c r="BQ22" s="91"/>
      <c r="BR22" s="91"/>
      <c r="BS22" s="91"/>
      <c r="BT22" s="91"/>
      <c r="BU22" s="91"/>
      <c r="BV22" s="91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</row>
    <row r="23" customFormat="false" ht="13.5" hidden="false" customHeight="false" outlineLevel="0" collapsed="false">
      <c r="A23" s="17" t="s">
        <v>39</v>
      </c>
      <c r="B23" s="96" t="n">
        <v>52544.402</v>
      </c>
      <c r="C23" s="96" t="n">
        <v>316269.03</v>
      </c>
      <c r="D23" s="96" t="n">
        <v>3201</v>
      </c>
      <c r="E23" s="97" t="n">
        <v>249</v>
      </c>
      <c r="F23" s="98"/>
      <c r="G23" s="96" t="n">
        <v>40906.122</v>
      </c>
      <c r="H23" s="96" t="n">
        <v>309106.493</v>
      </c>
      <c r="I23" s="96" t="n">
        <v>2915</v>
      </c>
      <c r="J23" s="97" t="n">
        <v>356</v>
      </c>
      <c r="K23" s="98"/>
      <c r="L23" s="96" t="n">
        <v>39764.511</v>
      </c>
      <c r="M23" s="96" t="n">
        <v>264285.951</v>
      </c>
      <c r="N23" s="96" t="n">
        <v>3316</v>
      </c>
      <c r="O23" s="97" t="n">
        <v>270</v>
      </c>
      <c r="P23" s="98"/>
      <c r="Q23" s="96" t="n">
        <v>29428.401</v>
      </c>
      <c r="R23" s="96" t="n">
        <v>155164.832</v>
      </c>
      <c r="S23" s="96" t="n">
        <v>2741</v>
      </c>
      <c r="T23" s="97" t="n">
        <v>615</v>
      </c>
      <c r="U23" s="90"/>
      <c r="V23" s="96" t="n">
        <v>43413.421</v>
      </c>
      <c r="W23" s="96" t="n">
        <v>254352.351</v>
      </c>
      <c r="X23" s="96" t="n">
        <v>5437</v>
      </c>
      <c r="Y23" s="97" t="n">
        <v>2261</v>
      </c>
      <c r="Z23" s="98"/>
      <c r="AA23" s="96" t="n">
        <v>38397.105</v>
      </c>
      <c r="AB23" s="96" t="n">
        <v>317688.448</v>
      </c>
      <c r="AC23" s="96" t="n">
        <v>6553</v>
      </c>
      <c r="AD23" s="97" t="n">
        <v>1887</v>
      </c>
      <c r="AE23" s="98"/>
      <c r="AF23" s="96" t="n">
        <v>39170.394</v>
      </c>
      <c r="AG23" s="96" t="n">
        <v>296244.861</v>
      </c>
      <c r="AH23" s="96" t="n">
        <v>3981</v>
      </c>
      <c r="AI23" s="97" t="n">
        <v>1344</v>
      </c>
      <c r="AJ23" s="98"/>
      <c r="AK23" s="96" t="n">
        <v>45396.845</v>
      </c>
      <c r="AL23" s="96" t="n">
        <v>334732.768</v>
      </c>
      <c r="AM23" s="96" t="n">
        <v>5193</v>
      </c>
      <c r="AN23" s="97" t="n">
        <v>1814</v>
      </c>
      <c r="AO23" s="98"/>
      <c r="AP23" s="96" t="n">
        <v>44168.275</v>
      </c>
      <c r="AQ23" s="96" t="n">
        <v>381894.138</v>
      </c>
      <c r="AR23" s="96" t="n">
        <v>6167</v>
      </c>
      <c r="AS23" s="97" t="n">
        <v>2570</v>
      </c>
      <c r="AT23" s="90"/>
      <c r="AU23" s="96" t="n">
        <v>53837.992</v>
      </c>
      <c r="AV23" s="96" t="n">
        <v>338140.816</v>
      </c>
      <c r="AW23" s="96" t="n">
        <v>7237</v>
      </c>
      <c r="AX23" s="97" t="n">
        <v>3420</v>
      </c>
      <c r="AY23" s="98"/>
      <c r="AZ23" s="96" t="n">
        <v>68275.093</v>
      </c>
      <c r="BA23" s="96" t="n">
        <v>329531.236</v>
      </c>
      <c r="BB23" s="96" t="n">
        <v>5835</v>
      </c>
      <c r="BC23" s="97" t="n">
        <v>2827</v>
      </c>
      <c r="BD23" s="98"/>
      <c r="BE23" s="96" t="n">
        <v>45439.792</v>
      </c>
      <c r="BF23" s="96" t="n">
        <v>304914.488</v>
      </c>
      <c r="BG23" s="96" t="n">
        <v>5792</v>
      </c>
      <c r="BH23" s="97" t="n">
        <v>2705</v>
      </c>
      <c r="BI23" s="91"/>
      <c r="BJ23" s="96" t="n">
        <v>540742.353</v>
      </c>
      <c r="BK23" s="96" t="n">
        <v>3602325.412</v>
      </c>
      <c r="BL23" s="96" t="n">
        <v>58368</v>
      </c>
      <c r="BM23" s="97" t="n">
        <v>20318</v>
      </c>
      <c r="BN23" s="91"/>
      <c r="BO23" s="91"/>
      <c r="BP23" s="91"/>
      <c r="BQ23" s="91"/>
      <c r="BR23" s="91"/>
      <c r="BS23" s="91"/>
      <c r="BT23" s="91"/>
      <c r="BU23" s="91"/>
      <c r="BV23" s="91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</row>
    <row r="24" customFormat="false" ht="12.75" hidden="false" customHeight="false" outlineLevel="0" collapsed="false">
      <c r="V24" s="9"/>
      <c r="W24" s="9"/>
      <c r="X24" s="9"/>
      <c r="Y24" s="9"/>
    </row>
    <row r="26" customFormat="false" ht="15" hidden="false" customHeight="false" outlineLevel="0" collapsed="false">
      <c r="A26" s="104"/>
    </row>
  </sheetData>
  <mergeCells count="31">
    <mergeCell ref="B1:E1"/>
    <mergeCell ref="G1:J1"/>
    <mergeCell ref="L1:O1"/>
    <mergeCell ref="Q1:T1"/>
    <mergeCell ref="V1:Y1"/>
    <mergeCell ref="B9:E9"/>
    <mergeCell ref="G9:J9"/>
    <mergeCell ref="L9:O9"/>
    <mergeCell ref="Q9:T9"/>
    <mergeCell ref="V9:Y9"/>
    <mergeCell ref="AA9:AD9"/>
    <mergeCell ref="AF9:AI9"/>
    <mergeCell ref="AK9:AN9"/>
    <mergeCell ref="AP9:AS9"/>
    <mergeCell ref="AU9:AX9"/>
    <mergeCell ref="AZ9:BC9"/>
    <mergeCell ref="BE9:BH9"/>
    <mergeCell ref="BJ9:BM9"/>
    <mergeCell ref="B17:E17"/>
    <mergeCell ref="G17:J17"/>
    <mergeCell ref="L17:O17"/>
    <mergeCell ref="Q17:T17"/>
    <mergeCell ref="V17:Y17"/>
    <mergeCell ref="AA17:AD17"/>
    <mergeCell ref="AF17:AI17"/>
    <mergeCell ref="AK17:AN17"/>
    <mergeCell ref="AP17:AS17"/>
    <mergeCell ref="AU17:AX17"/>
    <mergeCell ref="AZ17:BC17"/>
    <mergeCell ref="BE17:BH17"/>
    <mergeCell ref="BJ17:BM17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4" activeCellId="0" sqref="H2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/>
      <c r="B2" s="168"/>
      <c r="C2" s="168"/>
      <c r="D2" s="168"/>
      <c r="E2" s="168"/>
      <c r="F2" s="168"/>
      <c r="G2" s="168"/>
      <c r="H2" s="168" t="s">
        <v>35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" activeCellId="0" sqref="H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 t="s">
        <v>46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 t="s">
        <v>109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3">
    <mergeCell ref="A1:O1"/>
    <mergeCell ref="A2:N2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O43"/>
  <sheetViews>
    <sheetView showFormulas="false" showGridLines="true" showRowColHeaders="true" showZeros="true" rightToLeft="false" tabSelected="false" showOutlineSymbols="true" defaultGridColor="true" view="normal" topLeftCell="C7" colorId="64" zoomScale="100" zoomScaleNormal="100" zoomScalePageLayoutView="85" workbookViewId="0">
      <selection pane="topLeft" activeCell="L23" activeCellId="0" sqref="L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5" width="2.7"/>
    <col collapsed="false" customWidth="true" hidden="false" outlineLevel="0" max="2" min="2" style="105" width="51.28"/>
    <col collapsed="false" customWidth="true" hidden="false" outlineLevel="0" max="3" min="3" style="105" width="7.7"/>
    <col collapsed="false" customWidth="true" hidden="false" outlineLevel="0" max="4" min="4" style="105" width="13.85"/>
    <col collapsed="false" customWidth="true" hidden="false" outlineLevel="0" max="5" min="5" style="105" width="8.99"/>
    <col collapsed="false" customWidth="true" hidden="false" outlineLevel="0" max="6" min="6" style="105" width="8.85"/>
    <col collapsed="false" customWidth="true" hidden="false" outlineLevel="0" max="15" min="7" style="105" width="8.99"/>
    <col collapsed="false" customWidth="true" hidden="false" outlineLevel="0" max="16" min="16" style="105" width="3.14"/>
    <col collapsed="false" customWidth="false" hidden="false" outlineLevel="0" max="257" min="17" style="105" width="9.14"/>
  </cols>
  <sheetData>
    <row r="1" customFormat="false" ht="12.75" hidden="false" customHeight="false" outlineLevel="0" collapsed="false">
      <c r="B1" s="106" t="s">
        <v>69</v>
      </c>
      <c r="C1" s="106"/>
      <c r="J1" s="107" t="str">
        <f aca="true">CELL("FILENAME",A1)</f>
        <v>'file:///mnt/12tb/@roms/datasets/enron/EDRM Enron Email Data Set v2 XML/filtered-attachments/xls/RADAR_Screens_4Q_1123.xls'#$Funds Flow-Cap Employed</v>
      </c>
    </row>
    <row r="2" customFormat="false" ht="12.75" hidden="false" customHeight="false" outlineLevel="0" collapsed="false">
      <c r="B2" s="106" t="s">
        <v>70</v>
      </c>
      <c r="C2" s="106"/>
      <c r="J2" s="108" t="n">
        <f aca="true">NOW()</f>
        <v>45926.9237498636</v>
      </c>
    </row>
    <row r="3" customFormat="false" ht="12.75" hidden="false" customHeight="false" outlineLevel="0" collapsed="false">
      <c r="B3" s="106" t="s">
        <v>71</v>
      </c>
      <c r="C3" s="106"/>
      <c r="J3" s="109" t="n">
        <f aca="true">NOW()</f>
        <v>45926.9237498637</v>
      </c>
    </row>
    <row r="4" customFormat="false" ht="12.75" hidden="false" customHeight="false" outlineLevel="0" collapsed="false">
      <c r="B4" s="110" t="s">
        <v>72</v>
      </c>
      <c r="C4" s="106"/>
    </row>
    <row r="5" customFormat="false" ht="12.75" hidden="false" customHeight="false" outlineLevel="0" collapsed="false">
      <c r="B5" s="106" t="s">
        <v>73</v>
      </c>
      <c r="C5" s="106"/>
    </row>
    <row r="6" customFormat="false" ht="3.75" hidden="false" customHeight="true" outlineLevel="0" collapsed="false"/>
    <row r="7" customFormat="false" ht="12.75" hidden="false" customHeight="false" outlineLevel="0" collapsed="false">
      <c r="B7" s="111" t="s">
        <v>74</v>
      </c>
      <c r="C7" s="112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customFormat="false" ht="4.5" hidden="false" customHeight="true" outlineLevel="0" collapsed="false"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7"/>
    </row>
    <row r="9" customFormat="false" ht="12.75" hidden="false" customHeight="false" outlineLevel="0" collapsed="false">
      <c r="B9" s="115"/>
      <c r="C9" s="116"/>
      <c r="D9" s="118" t="s">
        <v>14</v>
      </c>
      <c r="E9" s="118" t="s">
        <v>15</v>
      </c>
      <c r="F9" s="118" t="s">
        <v>16</v>
      </c>
      <c r="G9" s="118" t="s">
        <v>17</v>
      </c>
      <c r="H9" s="118" t="s">
        <v>18</v>
      </c>
      <c r="I9" s="118" t="s">
        <v>19</v>
      </c>
      <c r="J9" s="118" t="s">
        <v>20</v>
      </c>
      <c r="K9" s="118" t="s">
        <v>21</v>
      </c>
      <c r="L9" s="118" t="s">
        <v>68</v>
      </c>
      <c r="M9" s="118" t="s">
        <v>23</v>
      </c>
      <c r="N9" s="118" t="s">
        <v>24</v>
      </c>
      <c r="O9" s="119" t="s">
        <v>25</v>
      </c>
    </row>
    <row r="10" customFormat="false" ht="12.75" hidden="false" customHeight="false" outlineLevel="0" collapsed="false">
      <c r="B10" s="115" t="s">
        <v>75</v>
      </c>
      <c r="C10" s="116"/>
      <c r="D10" s="120" t="n">
        <v>-149.726</v>
      </c>
      <c r="E10" s="120" t="n">
        <f aca="false">-143.867-D10</f>
        <v>5.85900000000001</v>
      </c>
      <c r="F10" s="120" t="n">
        <v>-9.8</v>
      </c>
      <c r="G10" s="120" t="n">
        <f aca="false">G11-F11</f>
        <v>4.00900000000001</v>
      </c>
      <c r="H10" s="120" t="n">
        <v>-70.4</v>
      </c>
      <c r="I10" s="120" t="n">
        <v>-61.3</v>
      </c>
      <c r="J10" s="120" t="n">
        <v>-82.9</v>
      </c>
      <c r="K10" s="120" t="n">
        <f aca="false">+K11-J11</f>
        <v>19.042</v>
      </c>
      <c r="L10" s="120" t="n">
        <f aca="false">+L11-K11</f>
        <v>84.108</v>
      </c>
      <c r="M10" s="120" t="n">
        <v>0</v>
      </c>
      <c r="N10" s="120" t="n">
        <v>0</v>
      </c>
      <c r="O10" s="121" t="n">
        <v>0</v>
      </c>
    </row>
    <row r="11" customFormat="false" ht="12.75" hidden="false" customHeight="false" outlineLevel="0" collapsed="false">
      <c r="B11" s="115" t="s">
        <v>76</v>
      </c>
      <c r="C11" s="116"/>
      <c r="D11" s="122" t="n">
        <f aca="false">SUM($C10:D10)</f>
        <v>-149.726</v>
      </c>
      <c r="E11" s="122" t="n">
        <f aca="false">SUM($C10:E10)</f>
        <v>-143.867</v>
      </c>
      <c r="F11" s="122" t="n">
        <f aca="false">SUM($C10:F10)</f>
        <v>-153.667</v>
      </c>
      <c r="G11" s="122" t="n">
        <v>-149.658</v>
      </c>
      <c r="H11" s="122" t="n">
        <v>-220.1</v>
      </c>
      <c r="I11" s="122" t="n">
        <v>-281.4</v>
      </c>
      <c r="J11" s="122" t="n">
        <v>-364.3</v>
      </c>
      <c r="K11" s="122" t="n">
        <v>-345.258</v>
      </c>
      <c r="L11" s="122" t="n">
        <v>-261.15</v>
      </c>
      <c r="M11" s="122" t="n">
        <v>0</v>
      </c>
      <c r="N11" s="122" t="n">
        <v>0</v>
      </c>
      <c r="O11" s="123" t="n">
        <v>0</v>
      </c>
    </row>
    <row r="12" customFormat="false" ht="12.75" hidden="false" customHeight="false" outlineLevel="0" collapsed="false">
      <c r="B12" s="115" t="s">
        <v>77</v>
      </c>
      <c r="C12" s="116"/>
      <c r="D12" s="120" t="n">
        <v>0.7</v>
      </c>
      <c r="E12" s="120" t="n">
        <v>0.6</v>
      </c>
      <c r="F12" s="120" t="n">
        <v>9.4</v>
      </c>
      <c r="G12" s="120" t="n">
        <v>12.9</v>
      </c>
      <c r="H12" s="120" t="n">
        <v>-0.3</v>
      </c>
      <c r="I12" s="120" t="n">
        <v>8.4</v>
      </c>
      <c r="J12" s="120" t="n">
        <v>1.1</v>
      </c>
      <c r="K12" s="120" t="n">
        <v>1</v>
      </c>
      <c r="L12" s="120" t="n">
        <v>17.3</v>
      </c>
      <c r="M12" s="120" t="n">
        <v>16.3</v>
      </c>
      <c r="N12" s="120" t="n">
        <v>4.4</v>
      </c>
      <c r="O12" s="121" t="n">
        <v>78.2</v>
      </c>
    </row>
    <row r="13" customFormat="false" ht="12.75" hidden="false" customHeight="false" outlineLevel="0" collapsed="false">
      <c r="B13" s="115" t="s">
        <v>78</v>
      </c>
      <c r="C13" s="116"/>
      <c r="D13" s="122" t="n">
        <f aca="false">SUM($C12:D12)</f>
        <v>0.7</v>
      </c>
      <c r="E13" s="122" t="n">
        <f aca="false">SUM($C12:E12)</f>
        <v>1.3</v>
      </c>
      <c r="F13" s="122" t="n">
        <f aca="false">SUM($C12:F12)</f>
        <v>10.7</v>
      </c>
      <c r="G13" s="122" t="n">
        <f aca="false">SUM($C12:G12)</f>
        <v>23.6</v>
      </c>
      <c r="H13" s="122" t="n">
        <f aca="false">SUM($C12:H12)</f>
        <v>23.3</v>
      </c>
      <c r="I13" s="122" t="n">
        <f aca="false">SUM($C12:I12)</f>
        <v>31.7</v>
      </c>
      <c r="J13" s="122" t="n">
        <f aca="false">SUM($C12:J12)</f>
        <v>32.8</v>
      </c>
      <c r="K13" s="122" t="n">
        <f aca="false">SUM($C12:K12)</f>
        <v>33.8</v>
      </c>
      <c r="L13" s="122" t="n">
        <f aca="false">SUM($C12:L12)</f>
        <v>51.1</v>
      </c>
      <c r="M13" s="122" t="n">
        <f aca="false">SUM($C12:M12)</f>
        <v>67.4</v>
      </c>
      <c r="N13" s="122" t="n">
        <f aca="false">SUM($C12:N12)</f>
        <v>71.8</v>
      </c>
      <c r="O13" s="123" t="n">
        <f aca="false">SUM($C12:O12)</f>
        <v>150</v>
      </c>
    </row>
    <row r="14" customFormat="false" ht="3" hidden="false" customHeight="true" outlineLevel="0" collapsed="false">
      <c r="B14" s="124"/>
      <c r="C14" s="125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7"/>
    </row>
    <row r="15" customFormat="false" ht="3" hidden="false" customHeight="true" outlineLevel="0" collapsed="false"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</row>
    <row r="16" customFormat="false" ht="12.75" hidden="false" customHeight="false" outlineLevel="0" collapsed="false">
      <c r="B16" s="111" t="s">
        <v>79</v>
      </c>
      <c r="C16" s="112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9"/>
    </row>
    <row r="17" customFormat="false" ht="23.25" hidden="false" customHeight="true" outlineLevel="0" collapsed="false">
      <c r="B17" s="115"/>
      <c r="C17" s="130" t="n">
        <v>1</v>
      </c>
      <c r="D17" s="131" t="n">
        <v>2</v>
      </c>
      <c r="E17" s="131" t="n">
        <v>3</v>
      </c>
      <c r="F17" s="131" t="n">
        <v>4</v>
      </c>
      <c r="G17" s="131" t="n">
        <v>5</v>
      </c>
      <c r="H17" s="131" t="n">
        <v>6</v>
      </c>
      <c r="I17" s="132" t="n">
        <v>7</v>
      </c>
      <c r="J17" s="131" t="n">
        <v>8</v>
      </c>
      <c r="K17" s="131" t="n">
        <v>9</v>
      </c>
      <c r="L17" s="132" t="n">
        <v>10</v>
      </c>
      <c r="M17" s="131" t="n">
        <v>11</v>
      </c>
      <c r="N17" s="131" t="n">
        <v>12</v>
      </c>
      <c r="O17" s="133" t="n">
        <v>13</v>
      </c>
    </row>
    <row r="18" customFormat="false" ht="12.75" hidden="false" customHeight="false" outlineLevel="0" collapsed="false">
      <c r="B18" s="115"/>
      <c r="C18" s="134" t="n">
        <v>36861</v>
      </c>
      <c r="D18" s="118" t="s">
        <v>14</v>
      </c>
      <c r="E18" s="118" t="s">
        <v>15</v>
      </c>
      <c r="F18" s="118" t="s">
        <v>16</v>
      </c>
      <c r="G18" s="118" t="s">
        <v>17</v>
      </c>
      <c r="H18" s="118" t="s">
        <v>18</v>
      </c>
      <c r="I18" s="118" t="s">
        <v>19</v>
      </c>
      <c r="J18" s="118" t="s">
        <v>20</v>
      </c>
      <c r="K18" s="118" t="s">
        <v>21</v>
      </c>
      <c r="L18" s="118" t="s">
        <v>68</v>
      </c>
      <c r="M18" s="118" t="s">
        <v>23</v>
      </c>
      <c r="N18" s="118" t="s">
        <v>24</v>
      </c>
      <c r="O18" s="119" t="s">
        <v>25</v>
      </c>
    </row>
    <row r="19" customFormat="false" ht="12.75" hidden="false" customHeight="false" outlineLevel="0" collapsed="false">
      <c r="B19" s="115" t="s">
        <v>80</v>
      </c>
      <c r="C19" s="135"/>
      <c r="D19" s="120" t="n">
        <v>-27.810244</v>
      </c>
      <c r="E19" s="120" t="n">
        <v>-22.939139</v>
      </c>
      <c r="F19" s="120" t="n">
        <v>26.415493</v>
      </c>
      <c r="G19" s="120" t="n">
        <v>0</v>
      </c>
      <c r="H19" s="120" t="n">
        <v>0</v>
      </c>
      <c r="I19" s="120" t="n">
        <v>34</v>
      </c>
      <c r="J19" s="120" t="n">
        <v>0</v>
      </c>
      <c r="K19" s="120" t="n">
        <v>0</v>
      </c>
      <c r="L19" s="120" t="n">
        <v>0</v>
      </c>
      <c r="M19" s="120" t="n">
        <v>0</v>
      </c>
      <c r="N19" s="120" t="n">
        <v>0</v>
      </c>
      <c r="O19" s="121" t="n">
        <v>0</v>
      </c>
    </row>
    <row r="20" customFormat="false" ht="12.75" hidden="false" customHeight="false" outlineLevel="0" collapsed="false">
      <c r="B20" s="115" t="s">
        <v>81</v>
      </c>
      <c r="C20" s="135"/>
      <c r="D20" s="136" t="n">
        <f aca="false">D19*12</f>
        <v>-333.722928</v>
      </c>
      <c r="E20" s="136" t="n">
        <f aca="false">E19*6</f>
        <v>-137.634834</v>
      </c>
      <c r="F20" s="136" t="n">
        <f aca="false">F19*4</f>
        <v>105.661972</v>
      </c>
      <c r="G20" s="136" t="n">
        <f aca="false">G19*3</f>
        <v>0</v>
      </c>
      <c r="H20" s="136" t="n">
        <f aca="false">H19/5*12</f>
        <v>0</v>
      </c>
      <c r="I20" s="136" t="n">
        <f aca="false">I19*2</f>
        <v>68</v>
      </c>
      <c r="J20" s="136" t="n">
        <f aca="false">J19/7*12</f>
        <v>0</v>
      </c>
      <c r="K20" s="136" t="n">
        <f aca="false">K19/8*12</f>
        <v>0</v>
      </c>
      <c r="L20" s="136" t="n">
        <f aca="false">L19/9*12</f>
        <v>0</v>
      </c>
      <c r="M20" s="136" t="n">
        <f aca="false">M19/10*12</f>
        <v>0</v>
      </c>
      <c r="N20" s="136" t="n">
        <f aca="false">N19/11*21</f>
        <v>0</v>
      </c>
      <c r="O20" s="137" t="n">
        <f aca="false">O19</f>
        <v>0</v>
      </c>
    </row>
    <row r="21" customFormat="false" ht="12.75" hidden="false" customHeight="false" outlineLevel="0" collapsed="false">
      <c r="B21" s="115" t="s">
        <v>82</v>
      </c>
      <c r="C21" s="135"/>
      <c r="D21" s="120" t="n">
        <v>-27.810244</v>
      </c>
      <c r="E21" s="120" t="n">
        <v>-22.939139</v>
      </c>
      <c r="F21" s="120" t="n">
        <v>26.415493</v>
      </c>
      <c r="G21" s="120"/>
      <c r="H21" s="120"/>
      <c r="I21" s="120" t="n">
        <v>27.2</v>
      </c>
      <c r="J21" s="120"/>
      <c r="K21" s="120"/>
      <c r="L21" s="120" t="n">
        <f aca="false">34.4-(51.1*0.65)</f>
        <v>1.185</v>
      </c>
      <c r="M21" s="120"/>
      <c r="N21" s="120"/>
      <c r="O21" s="121"/>
    </row>
    <row r="22" customFormat="false" ht="12.75" hidden="false" customHeight="false" outlineLevel="0" collapsed="false">
      <c r="B22" s="115" t="s">
        <v>83</v>
      </c>
      <c r="C22" s="135"/>
      <c r="D22" s="136" t="n">
        <f aca="false">D21*12</f>
        <v>-333.722928</v>
      </c>
      <c r="E22" s="136" t="n">
        <f aca="false">E21*6</f>
        <v>-137.634834</v>
      </c>
      <c r="F22" s="136" t="n">
        <f aca="false">F21*4</f>
        <v>105.661972</v>
      </c>
      <c r="G22" s="136" t="n">
        <v>0</v>
      </c>
      <c r="H22" s="136" t="n">
        <v>0</v>
      </c>
      <c r="I22" s="136" t="n">
        <v>54.5</v>
      </c>
      <c r="J22" s="136" t="n">
        <v>0</v>
      </c>
      <c r="K22" s="136" t="n">
        <v>0</v>
      </c>
      <c r="L22" s="136" t="n">
        <v>0</v>
      </c>
      <c r="M22" s="136" t="n">
        <v>0</v>
      </c>
      <c r="N22" s="136" t="n">
        <v>0</v>
      </c>
      <c r="O22" s="137" t="n">
        <v>0</v>
      </c>
    </row>
    <row r="23" customFormat="false" ht="12.75" hidden="false" customHeight="false" outlineLevel="0" collapsed="false">
      <c r="B23" s="115" t="s">
        <v>84</v>
      </c>
      <c r="C23" s="138"/>
      <c r="D23" s="120" t="n">
        <v>-28.158721</v>
      </c>
      <c r="E23" s="120" t="n">
        <v>-23.701181</v>
      </c>
      <c r="F23" s="120" t="n">
        <f aca="false">F21+(0.65*2.498754)</f>
        <v>28.0396831</v>
      </c>
      <c r="G23" s="120" t="n">
        <v>0</v>
      </c>
      <c r="H23" s="120" t="n">
        <v>0</v>
      </c>
      <c r="I23" s="120" t="n">
        <v>35.6</v>
      </c>
      <c r="J23" s="120" t="n">
        <v>0</v>
      </c>
      <c r="K23" s="120" t="n">
        <v>0</v>
      </c>
      <c r="L23" s="120" t="n">
        <f aca="false">L21+(23*0.65)</f>
        <v>16.135</v>
      </c>
      <c r="M23" s="120" t="n">
        <v>0</v>
      </c>
      <c r="N23" s="120" t="n">
        <v>0</v>
      </c>
      <c r="O23" s="121" t="n">
        <v>0</v>
      </c>
    </row>
    <row r="24" customFormat="false" ht="12.75" hidden="false" customHeight="false" outlineLevel="0" collapsed="false">
      <c r="B24" s="115" t="s">
        <v>85</v>
      </c>
      <c r="C24" s="138"/>
      <c r="D24" s="136" t="n">
        <f aca="false">D23*12</f>
        <v>-337.904652</v>
      </c>
      <c r="E24" s="136" t="n">
        <f aca="false">E23*6</f>
        <v>-142.207086</v>
      </c>
      <c r="F24" s="136" t="n">
        <f aca="false">F23*4</f>
        <v>112.1587324</v>
      </c>
      <c r="G24" s="136" t="n">
        <f aca="false">G23*3</f>
        <v>0</v>
      </c>
      <c r="H24" s="136" t="n">
        <f aca="false">H23/5*12</f>
        <v>0</v>
      </c>
      <c r="I24" s="136" t="n">
        <f aca="false">I23*2</f>
        <v>71.2</v>
      </c>
      <c r="J24" s="136" t="n">
        <f aca="false">J23/7*12</f>
        <v>0</v>
      </c>
      <c r="K24" s="136" t="n">
        <f aca="false">K23/8*12</f>
        <v>0</v>
      </c>
      <c r="L24" s="136" t="n">
        <f aca="false">L23/9*12</f>
        <v>21.5133333333333</v>
      </c>
      <c r="M24" s="136" t="n">
        <f aca="false">M23/10*12</f>
        <v>0</v>
      </c>
      <c r="N24" s="136" t="n">
        <f aca="false">N23/11*21</f>
        <v>0</v>
      </c>
      <c r="O24" s="137" t="n">
        <f aca="false">O23</f>
        <v>0</v>
      </c>
    </row>
    <row r="25" customFormat="false" ht="12.75" hidden="false" customHeight="false" outlineLevel="0" collapsed="false">
      <c r="B25" s="115" t="s">
        <v>86</v>
      </c>
      <c r="C25" s="0"/>
      <c r="D25" s="120" t="n">
        <f aca="false">(1133565/1000)</f>
        <v>1133.565</v>
      </c>
      <c r="E25" s="120" t="n">
        <f aca="false">(687761/1000)</f>
        <v>687.761</v>
      </c>
      <c r="F25" s="120" t="n">
        <f aca="false">(985129)/1000</f>
        <v>985.129</v>
      </c>
      <c r="G25" s="120" t="n">
        <v>1094.5</v>
      </c>
      <c r="H25" s="120" t="n">
        <v>1180.695738</v>
      </c>
      <c r="I25" s="120" t="n">
        <v>1251</v>
      </c>
      <c r="J25" s="120" t="n">
        <v>1094.253</v>
      </c>
      <c r="K25" s="120" t="n">
        <v>1116.799</v>
      </c>
      <c r="L25" s="120" t="n">
        <f aca="false">1164.947-51.5</f>
        <v>1113.447</v>
      </c>
      <c r="M25" s="120"/>
      <c r="N25" s="120"/>
      <c r="O25" s="121"/>
    </row>
    <row r="26" customFormat="false" ht="12.75" hidden="false" customHeight="false" outlineLevel="0" collapsed="false">
      <c r="B26" s="115" t="s">
        <v>87</v>
      </c>
      <c r="C26" s="0"/>
      <c r="D26" s="122" t="n">
        <f aca="false">0.5*D$25</f>
        <v>566.7825</v>
      </c>
      <c r="E26" s="122" t="n">
        <f aca="false">0.5*E$25</f>
        <v>343.8805</v>
      </c>
      <c r="F26" s="122" t="n">
        <f aca="false">0.5*F$25</f>
        <v>492.5645</v>
      </c>
      <c r="G26" s="122" t="n">
        <f aca="false">0.5*G$25</f>
        <v>547.25</v>
      </c>
      <c r="H26" s="122" t="n">
        <f aca="false">0.5*H$25</f>
        <v>590.347869</v>
      </c>
      <c r="I26" s="122" t="n">
        <f aca="false">0.5*I$25</f>
        <v>625.5</v>
      </c>
      <c r="J26" s="136" t="n">
        <f aca="false">0.5*J$25</f>
        <v>547.1265</v>
      </c>
      <c r="K26" s="136" t="n">
        <f aca="false">0.5*K$25</f>
        <v>558.3995</v>
      </c>
      <c r="L26" s="136" t="n">
        <f aca="false">0.5*L$25</f>
        <v>556.7235</v>
      </c>
      <c r="M26" s="136" t="n">
        <f aca="false">0.5*M$25</f>
        <v>0</v>
      </c>
      <c r="N26" s="136" t="n">
        <f aca="false">0.5*N$25</f>
        <v>0</v>
      </c>
      <c r="O26" s="137" t="n">
        <f aca="false">0.5*O$25</f>
        <v>0</v>
      </c>
    </row>
    <row r="27" customFormat="false" ht="12.75" hidden="false" customHeight="false" outlineLevel="0" collapsed="false">
      <c r="B27" s="115" t="s">
        <v>88</v>
      </c>
      <c r="C27" s="0"/>
      <c r="D27" s="122" t="n">
        <f aca="false">0.5*D$25</f>
        <v>566.7825</v>
      </c>
      <c r="E27" s="122" t="n">
        <f aca="false">0.5*E$25</f>
        <v>343.8805</v>
      </c>
      <c r="F27" s="122" t="n">
        <f aca="false">0.5*F$25</f>
        <v>492.5645</v>
      </c>
      <c r="G27" s="122" t="n">
        <f aca="false">0.5*G$25</f>
        <v>547.25</v>
      </c>
      <c r="H27" s="122" t="n">
        <f aca="false">0.5*H$25</f>
        <v>590.347869</v>
      </c>
      <c r="I27" s="122" t="n">
        <f aca="false">0.5*I$25</f>
        <v>625.5</v>
      </c>
      <c r="J27" s="136" t="n">
        <f aca="false">0.5*J$25</f>
        <v>547.1265</v>
      </c>
      <c r="K27" s="136" t="n">
        <f aca="false">0.5*K$25</f>
        <v>558.3995</v>
      </c>
      <c r="L27" s="136" t="n">
        <f aca="false">0.5*L$25</f>
        <v>556.7235</v>
      </c>
      <c r="M27" s="136" t="n">
        <f aca="false">0.5*M$25</f>
        <v>0</v>
      </c>
      <c r="N27" s="136" t="n">
        <f aca="false">0.5*N$25</f>
        <v>0</v>
      </c>
      <c r="O27" s="137" t="n">
        <f aca="false">0.5*O$25</f>
        <v>0</v>
      </c>
    </row>
    <row r="28" customFormat="false" ht="12.75" hidden="false" customHeight="false" outlineLevel="0" collapsed="false">
      <c r="B28" s="115" t="s">
        <v>89</v>
      </c>
      <c r="C28" s="139" t="n">
        <v>958</v>
      </c>
      <c r="D28" s="122" t="n">
        <f aca="false">SUM($C$28,$D25:D25)/D17</f>
        <v>1045.7825</v>
      </c>
      <c r="E28" s="122" t="n">
        <f aca="false">SUM($C$28,$D25:E25)/E17</f>
        <v>926.442</v>
      </c>
      <c r="F28" s="122" t="n">
        <f aca="false">SUM($C$28,$D25:F25)/F17</f>
        <v>941.11375</v>
      </c>
      <c r="G28" s="122" t="n">
        <f aca="false">SUM($C$28,$D25:G25)/G17</f>
        <v>971.791</v>
      </c>
      <c r="H28" s="122" t="n">
        <f aca="false">SUM($C$28,$D25:H25)/H17</f>
        <v>1006.60845633333</v>
      </c>
      <c r="I28" s="122" t="n">
        <f aca="false">SUM($C$28,$D25:I25)/I17</f>
        <v>1041.521534</v>
      </c>
      <c r="J28" s="136" t="n">
        <f aca="false">0.5*J$25</f>
        <v>547.1265</v>
      </c>
      <c r="K28" s="136" t="n">
        <f aca="false">0.5*K$25</f>
        <v>558.3995</v>
      </c>
      <c r="L28" s="122" t="n">
        <f aca="false">SUM($C$28,$D25:L25)/L17</f>
        <v>1061.5149738</v>
      </c>
      <c r="M28" s="136" t="n">
        <f aca="false">0.5*M$25</f>
        <v>0</v>
      </c>
      <c r="N28" s="136" t="n">
        <f aca="false">0.5*N$25</f>
        <v>0</v>
      </c>
      <c r="O28" s="137" t="n">
        <f aca="false">0.5*O$25</f>
        <v>0</v>
      </c>
    </row>
    <row r="29" customFormat="false" ht="12.75" hidden="false" customHeight="false" outlineLevel="0" collapsed="false">
      <c r="B29" s="115" t="s">
        <v>90</v>
      </c>
      <c r="C29" s="138" t="n">
        <f aca="false">C28*0.5</f>
        <v>479</v>
      </c>
      <c r="D29" s="138" t="n">
        <f aca="false">D28*0.5</f>
        <v>522.89125</v>
      </c>
      <c r="E29" s="138" t="n">
        <f aca="false">E28*0.5</f>
        <v>463.221</v>
      </c>
      <c r="F29" s="138" t="n">
        <f aca="false">F28*0.5</f>
        <v>470.556875</v>
      </c>
      <c r="G29" s="136" t="n">
        <f aca="false">G28*0.5</f>
        <v>485.8955</v>
      </c>
      <c r="H29" s="136" t="n">
        <f aca="false">H28*0.5</f>
        <v>503.304228166667</v>
      </c>
      <c r="I29" s="140" t="n">
        <f aca="false">I28*0.5</f>
        <v>520.760767</v>
      </c>
      <c r="J29" s="136" t="n">
        <f aca="false">J28*0.5</f>
        <v>273.56325</v>
      </c>
      <c r="K29" s="136" t="n">
        <f aca="false">K28*0.5</f>
        <v>279.19975</v>
      </c>
      <c r="L29" s="136" t="n">
        <f aca="false">L28*0.5</f>
        <v>530.7574869</v>
      </c>
      <c r="M29" s="136" t="n">
        <f aca="false">M28*0.5</f>
        <v>0</v>
      </c>
      <c r="N29" s="136" t="n">
        <f aca="false">N28*0.5</f>
        <v>0</v>
      </c>
      <c r="O29" s="137" t="n">
        <f aca="false">O28*0.5</f>
        <v>0</v>
      </c>
    </row>
    <row r="30" customFormat="false" ht="12.75" hidden="false" customHeight="false" outlineLevel="0" collapsed="false">
      <c r="B30" s="115" t="s">
        <v>91</v>
      </c>
      <c r="C30" s="138"/>
      <c r="D30" s="120" t="n">
        <f aca="false">D25-281+37</f>
        <v>889.565</v>
      </c>
      <c r="E30" s="120" t="n">
        <f aca="false">E25-281+37</f>
        <v>443.761</v>
      </c>
      <c r="F30" s="120" t="n">
        <f aca="false">F25-281+37</f>
        <v>741.129</v>
      </c>
      <c r="G30" s="120" t="n">
        <v>850.5</v>
      </c>
      <c r="H30" s="120" t="n">
        <f aca="false">G30</f>
        <v>850.5</v>
      </c>
      <c r="I30" s="120" t="n">
        <f aca="false">H30</f>
        <v>850.5</v>
      </c>
      <c r="J30" s="120" t="n">
        <f aca="false">I30</f>
        <v>850.5</v>
      </c>
      <c r="K30" s="120" t="n">
        <f aca="false">J30</f>
        <v>850.5</v>
      </c>
      <c r="L30" s="120" t="n">
        <f aca="false">K30</f>
        <v>850.5</v>
      </c>
      <c r="M30" s="120" t="n">
        <f aca="false">L30</f>
        <v>850.5</v>
      </c>
      <c r="N30" s="120" t="n">
        <f aca="false">M30</f>
        <v>850.5</v>
      </c>
      <c r="O30" s="121" t="n">
        <f aca="false">N30</f>
        <v>850.5</v>
      </c>
    </row>
    <row r="31" customFormat="false" ht="12.75" hidden="false" customHeight="false" outlineLevel="0" collapsed="false">
      <c r="B31" s="115" t="s">
        <v>92</v>
      </c>
      <c r="C31" s="122" t="n">
        <v>714</v>
      </c>
      <c r="D31" s="122" t="n">
        <f aca="false">SUM($C$31,$D30:D30)/D17</f>
        <v>801.7825</v>
      </c>
      <c r="E31" s="122" t="n">
        <f aca="false">SUM($C$31,$D30:E30)/E17</f>
        <v>682.442</v>
      </c>
      <c r="F31" s="122" t="n">
        <f aca="false">SUM($C$31,$D30:F30)/F17</f>
        <v>697.11375</v>
      </c>
      <c r="G31" s="122" t="n">
        <f aca="false">SUM($C$31,$D30:G30)/G17</f>
        <v>727.791</v>
      </c>
      <c r="H31" s="122" t="n">
        <f aca="false">SUM($C$31,$D30:H30)/H17</f>
        <v>748.2425</v>
      </c>
      <c r="I31" s="122" t="n">
        <f aca="false">SUM($C$31,$D30:I30)/I17</f>
        <v>762.850714285714</v>
      </c>
      <c r="J31" s="120" t="n">
        <f aca="false">I31</f>
        <v>762.850714285714</v>
      </c>
      <c r="K31" s="120" t="n">
        <f aca="false">J31</f>
        <v>762.850714285714</v>
      </c>
      <c r="L31" s="122" t="n">
        <f aca="false">SUM($C$31,$D30:L30)/L17</f>
        <v>789.1455</v>
      </c>
      <c r="M31" s="120" t="n">
        <f aca="false">L31</f>
        <v>789.1455</v>
      </c>
      <c r="N31" s="120" t="n">
        <f aca="false">M31</f>
        <v>789.1455</v>
      </c>
      <c r="O31" s="121" t="n">
        <f aca="false">N31</f>
        <v>789.1455</v>
      </c>
    </row>
    <row r="32" customFormat="false" ht="12.75" hidden="false" customHeight="false" outlineLevel="0" collapsed="false">
      <c r="B32" s="115"/>
      <c r="C32" s="138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3"/>
    </row>
    <row r="33" customFormat="false" ht="12.75" hidden="false" customHeight="false" outlineLevel="0" collapsed="false">
      <c r="B33" s="115" t="s">
        <v>93</v>
      </c>
      <c r="C33" s="138"/>
      <c r="D33" s="141" t="n">
        <f aca="false">IF(D24=0,"-",D24/D28)</f>
        <v>-0.323111786628673</v>
      </c>
      <c r="E33" s="141" t="n">
        <f aca="false">IF(E24=0,"-",E24/E28)</f>
        <v>-0.153498099179441</v>
      </c>
      <c r="F33" s="141" t="n">
        <f aca="false">IF(F24=0,"-",F24/F28)</f>
        <v>0.119176595177788</v>
      </c>
      <c r="G33" s="141" t="str">
        <f aca="false">IF(G23=0,"-",G23/G31)</f>
        <v>-</v>
      </c>
      <c r="H33" s="141" t="str">
        <f aca="false">IF(H23=0,"-",H23/H31)</f>
        <v>-</v>
      </c>
      <c r="I33" s="141" t="n">
        <f aca="false">IF(I24=0,"-",I24/I28)</f>
        <v>0.0683615246307524</v>
      </c>
      <c r="J33" s="141" t="str">
        <f aca="false">IF(J23=0,"-",J23/J31)</f>
        <v>-</v>
      </c>
      <c r="K33" s="141" t="str">
        <f aca="false">IF(K23=0,"-",K23/K31)</f>
        <v>-</v>
      </c>
      <c r="L33" s="141" t="n">
        <f aca="false">IF(L24=0,"-",L24/L28)</f>
        <v>0.0202666319970223</v>
      </c>
      <c r="M33" s="141" t="str">
        <f aca="false">IF(M23=0,"-",M23/M31)</f>
        <v>-</v>
      </c>
      <c r="N33" s="141" t="str">
        <f aca="false">IF(N23=0,"-",N23/N31)</f>
        <v>-</v>
      </c>
      <c r="O33" s="142" t="str">
        <f aca="false">IF(O24=0,"-",O24/O31)</f>
        <v>-</v>
      </c>
    </row>
    <row r="34" customFormat="false" ht="12.75" hidden="false" customHeight="false" outlineLevel="0" collapsed="false">
      <c r="B34" s="115" t="s">
        <v>94</v>
      </c>
      <c r="C34" s="138"/>
      <c r="D34" s="143" t="n">
        <f aca="false">$L$33</f>
        <v>0.0202666319970223</v>
      </c>
      <c r="E34" s="143" t="n">
        <f aca="false">$L$33</f>
        <v>0.0202666319970223</v>
      </c>
      <c r="F34" s="143" t="n">
        <f aca="false">$L$33</f>
        <v>0.0202666319970223</v>
      </c>
      <c r="G34" s="143" t="n">
        <f aca="false">$L$33</f>
        <v>0.0202666319970223</v>
      </c>
      <c r="H34" s="143" t="n">
        <f aca="false">$L$33</f>
        <v>0.0202666319970223</v>
      </c>
      <c r="I34" s="143" t="n">
        <f aca="false">$L$33</f>
        <v>0.0202666319970223</v>
      </c>
      <c r="J34" s="143" t="n">
        <f aca="false">$L$33</f>
        <v>0.0202666319970223</v>
      </c>
      <c r="K34" s="143" t="n">
        <f aca="false">$L$33</f>
        <v>0.0202666319970223</v>
      </c>
      <c r="L34" s="143" t="n">
        <f aca="false">$L$33</f>
        <v>0.0202666319970223</v>
      </c>
      <c r="M34" s="143" t="n">
        <f aca="false">$L$33</f>
        <v>0.0202666319970223</v>
      </c>
      <c r="N34" s="143" t="n">
        <f aca="false">$L$33</f>
        <v>0.0202666319970223</v>
      </c>
      <c r="O34" s="144" t="n">
        <f aca="false">$L$33</f>
        <v>0.0202666319970223</v>
      </c>
    </row>
    <row r="35" customFormat="false" ht="12.75" hidden="false" customHeight="false" outlineLevel="0" collapsed="false">
      <c r="B35" s="115"/>
      <c r="C35" s="138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5"/>
    </row>
    <row r="36" customFormat="false" ht="12.75" hidden="false" customHeight="false" outlineLevel="0" collapsed="false">
      <c r="B36" s="115" t="s">
        <v>95</v>
      </c>
      <c r="C36" s="138"/>
      <c r="D36" s="141" t="n">
        <f aca="false">IF(D29=0,"-",D22/D29)</f>
        <v>-0.638226262152981</v>
      </c>
      <c r="E36" s="141" t="n">
        <f aca="false">IF(E29=0,"-",E22/E29)</f>
        <v>-0.2971256354958</v>
      </c>
      <c r="F36" s="141" t="n">
        <f aca="false">IF(F29=0,"-",F22/F29)</f>
        <v>0.224546654429393</v>
      </c>
      <c r="G36" s="141" t="n">
        <f aca="false">IF(G29=0,"-",G20/G29)</f>
        <v>0</v>
      </c>
      <c r="H36" s="141" t="n">
        <f aca="false">IF(H29=0,"-",H20/H29)</f>
        <v>0</v>
      </c>
      <c r="I36" s="141" t="n">
        <f aca="false">IF(I22=0,"-",I22/I29)</f>
        <v>0.104654581246517</v>
      </c>
      <c r="J36" s="141" t="n">
        <f aca="false">IF(J29=0,"-",J20/J29)</f>
        <v>0</v>
      </c>
      <c r="K36" s="141" t="n">
        <f aca="false">IF(K29=0,"-",K20/K29)</f>
        <v>0</v>
      </c>
      <c r="L36" s="141" t="n">
        <f aca="false">IF(L29=0,"-",L20/L29)</f>
        <v>0</v>
      </c>
      <c r="M36" s="141" t="str">
        <f aca="false">IF(M29=0,"-",M20/M29)</f>
        <v>-</v>
      </c>
      <c r="N36" s="141" t="str">
        <f aca="false">IF(N29=0,"-",N20/N29)</f>
        <v>-</v>
      </c>
      <c r="O36" s="142" t="str">
        <f aca="false">IF(O29=0,"-",O20/O29)</f>
        <v>-</v>
      </c>
    </row>
    <row r="37" customFormat="false" ht="13.5" hidden="false" customHeight="false" outlineLevel="0" collapsed="false">
      <c r="B37" s="124" t="s">
        <v>96</v>
      </c>
      <c r="C37" s="126"/>
      <c r="D37" s="146" t="n">
        <f aca="false">$I$36</f>
        <v>0.104654581246517</v>
      </c>
      <c r="E37" s="146" t="n">
        <f aca="false">$I$36</f>
        <v>0.104654581246517</v>
      </c>
      <c r="F37" s="146" t="n">
        <f aca="false">$I$36</f>
        <v>0.104654581246517</v>
      </c>
      <c r="G37" s="146" t="n">
        <f aca="false">$I$36</f>
        <v>0.104654581246517</v>
      </c>
      <c r="H37" s="146" t="n">
        <f aca="false">$I$36</f>
        <v>0.104654581246517</v>
      </c>
      <c r="I37" s="146" t="n">
        <f aca="false">$I$36</f>
        <v>0.104654581246517</v>
      </c>
      <c r="J37" s="146" t="n">
        <f aca="false">$I$36</f>
        <v>0.104654581246517</v>
      </c>
      <c r="K37" s="146" t="n">
        <f aca="false">$I$36</f>
        <v>0.104654581246517</v>
      </c>
      <c r="L37" s="146" t="n">
        <f aca="false">$I$36</f>
        <v>0.104654581246517</v>
      </c>
      <c r="M37" s="146" t="n">
        <f aca="false">$I$36</f>
        <v>0.104654581246517</v>
      </c>
      <c r="N37" s="146" t="n">
        <f aca="false">$I$36</f>
        <v>0.104654581246517</v>
      </c>
      <c r="O37" s="147" t="n">
        <f aca="false">$I$36</f>
        <v>0.104654581246517</v>
      </c>
    </row>
    <row r="38" customFormat="false" ht="13.5" hidden="false" customHeight="false" outlineLevel="0" collapsed="false"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</row>
    <row r="39" customFormat="false" ht="12.75" hidden="false" customHeight="false" outlineLevel="0" collapsed="false">
      <c r="B39" s="111" t="s">
        <v>97</v>
      </c>
      <c r="C39" s="113"/>
      <c r="D39" s="148" t="s">
        <v>14</v>
      </c>
      <c r="E39" s="148" t="s">
        <v>15</v>
      </c>
      <c r="F39" s="148" t="s">
        <v>16</v>
      </c>
      <c r="G39" s="148" t="s">
        <v>17</v>
      </c>
      <c r="H39" s="148" t="s">
        <v>18</v>
      </c>
      <c r="I39" s="148" t="s">
        <v>19</v>
      </c>
      <c r="J39" s="148" t="s">
        <v>20</v>
      </c>
      <c r="K39" s="148" t="s">
        <v>21</v>
      </c>
      <c r="L39" s="148" t="s">
        <v>68</v>
      </c>
      <c r="M39" s="148" t="s">
        <v>23</v>
      </c>
      <c r="N39" s="148" t="s">
        <v>24</v>
      </c>
      <c r="O39" s="149" t="s">
        <v>25</v>
      </c>
    </row>
    <row r="40" customFormat="false" ht="12.75" hidden="false" customHeight="false" outlineLevel="0" collapsed="false">
      <c r="B40" s="115" t="s">
        <v>75</v>
      </c>
      <c r="C40" s="116"/>
      <c r="D40" s="116" t="n">
        <f aca="false">304.6-300</f>
        <v>4.60000000000002</v>
      </c>
      <c r="E40" s="116" t="n">
        <f aca="false">-111.7</f>
        <v>-111.7</v>
      </c>
      <c r="F40" s="116" t="n">
        <f aca="false">-351.2+300</f>
        <v>-51.2</v>
      </c>
      <c r="G40" s="116" t="n">
        <v>-48.2</v>
      </c>
      <c r="H40" s="116" t="n">
        <v>-113.3</v>
      </c>
      <c r="I40" s="116" t="n">
        <v>11.5</v>
      </c>
      <c r="J40" s="116" t="n">
        <v>104.3</v>
      </c>
      <c r="K40" s="116" t="n">
        <v>-49.5</v>
      </c>
      <c r="L40" s="116" t="n">
        <v>12.5</v>
      </c>
      <c r="M40" s="116"/>
      <c r="N40" s="116"/>
      <c r="O40" s="117"/>
    </row>
    <row r="41" customFormat="false" ht="12.75" hidden="false" customHeight="false" outlineLevel="0" collapsed="false">
      <c r="B41" s="115" t="s">
        <v>76</v>
      </c>
      <c r="C41" s="116"/>
      <c r="D41" s="116" t="n">
        <f aca="false">+D40</f>
        <v>4.60000000000002</v>
      </c>
      <c r="E41" s="116" t="n">
        <f aca="false">+D41+E40</f>
        <v>-107.1</v>
      </c>
      <c r="F41" s="116" t="n">
        <f aca="false">+E41+F40</f>
        <v>-158.3</v>
      </c>
      <c r="G41" s="116" t="n">
        <f aca="false">+F41+G40</f>
        <v>-206.5</v>
      </c>
      <c r="H41" s="116" t="n">
        <f aca="false">+G41+H40</f>
        <v>-319.8</v>
      </c>
      <c r="I41" s="116" t="n">
        <f aca="false">+H41+I40</f>
        <v>-308.3</v>
      </c>
      <c r="J41" s="116" t="n">
        <f aca="false">+I41+J40</f>
        <v>-204</v>
      </c>
      <c r="K41" s="116" t="n">
        <f aca="false">+J41+K40</f>
        <v>-253.5</v>
      </c>
      <c r="L41" s="116" t="n">
        <f aca="false">+K41+L40</f>
        <v>-241</v>
      </c>
      <c r="M41" s="116" t="n">
        <f aca="false">+L41+M40</f>
        <v>-241</v>
      </c>
      <c r="N41" s="116" t="n">
        <f aca="false">+M41+N40</f>
        <v>-241</v>
      </c>
      <c r="O41" s="117" t="n">
        <f aca="false">+N41+O40</f>
        <v>-241</v>
      </c>
    </row>
    <row r="42" customFormat="false" ht="12.75" hidden="false" customHeight="false" outlineLevel="0" collapsed="false">
      <c r="B42" s="115" t="s">
        <v>77</v>
      </c>
      <c r="C42" s="116"/>
      <c r="D42" s="116" t="n">
        <v>0.5</v>
      </c>
      <c r="E42" s="116" t="n">
        <v>-12.7</v>
      </c>
      <c r="F42" s="116" t="n">
        <v>-20.1</v>
      </c>
      <c r="G42" s="116" t="n">
        <v>10.7</v>
      </c>
      <c r="H42" s="116" t="n">
        <v>-0.6</v>
      </c>
      <c r="I42" s="116" t="n">
        <v>10.8</v>
      </c>
      <c r="J42" s="116" t="n">
        <v>0.7</v>
      </c>
      <c r="K42" s="116" t="n">
        <v>0.7</v>
      </c>
      <c r="L42" s="116" t="n">
        <v>11.1</v>
      </c>
      <c r="M42" s="116" t="n">
        <v>15.9</v>
      </c>
      <c r="N42" s="116" t="n">
        <v>4</v>
      </c>
      <c r="O42" s="117" t="n">
        <v>37.6</v>
      </c>
    </row>
    <row r="43" customFormat="false" ht="13.5" hidden="false" customHeight="false" outlineLevel="0" collapsed="false">
      <c r="B43" s="124" t="s">
        <v>78</v>
      </c>
      <c r="C43" s="125"/>
      <c r="D43" s="125" t="n">
        <f aca="false">+D42</f>
        <v>0.5</v>
      </c>
      <c r="E43" s="125" t="n">
        <f aca="false">+D43+E42</f>
        <v>-12.2</v>
      </c>
      <c r="F43" s="125" t="n">
        <f aca="false">+E43+F42</f>
        <v>-32.3</v>
      </c>
      <c r="G43" s="125" t="n">
        <f aca="false">+F43+G42</f>
        <v>-21.6</v>
      </c>
      <c r="H43" s="125" t="n">
        <f aca="false">+G43+H42</f>
        <v>-22.2</v>
      </c>
      <c r="I43" s="125" t="n">
        <f aca="false">+H43+I42</f>
        <v>-11.4</v>
      </c>
      <c r="J43" s="125" t="n">
        <f aca="false">+I43+J42</f>
        <v>-10.7</v>
      </c>
      <c r="K43" s="125" t="n">
        <f aca="false">+J43+K42</f>
        <v>-10</v>
      </c>
      <c r="L43" s="125" t="n">
        <f aca="false">+K43+L42</f>
        <v>1.1</v>
      </c>
      <c r="M43" s="125" t="n">
        <f aca="false">+L43+M42</f>
        <v>17</v>
      </c>
      <c r="N43" s="125" t="n">
        <f aca="false">+M43+N42</f>
        <v>21</v>
      </c>
      <c r="O43" s="150" t="n">
        <f aca="false">+N43+O42</f>
        <v>58.6</v>
      </c>
    </row>
  </sheetData>
  <printOptions headings="false" gridLines="false" gridLinesSet="true" horizontalCentered="false" verticalCentered="false"/>
  <pageMargins left="0.279861111111111" right="0.290277777777778" top="0.340277777777778" bottom="0.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85" workbookViewId="0">
      <pane xSplit="1" ySplit="6" topLeftCell="C7" activePane="bottomRight" state="frozen"/>
      <selection pane="topLeft" activeCell="B1" activeCellId="0" sqref="B1"/>
      <selection pane="topRight" activeCell="C1" activeCellId="0" sqref="C1"/>
      <selection pane="bottomLeft" activeCell="B7" activeCellId="0" sqref="B7"/>
      <selection pane="bottomRight" activeCell="H33" activeCellId="0" sqref="H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5" width="2.7"/>
    <col collapsed="false" customWidth="true" hidden="false" outlineLevel="0" max="2" min="2" style="105" width="40.7"/>
    <col collapsed="false" customWidth="true" hidden="false" outlineLevel="0" max="3" min="3" style="105" width="1.41"/>
    <col collapsed="false" customWidth="true" hidden="false" outlineLevel="0" max="4" min="4" style="105" width="13.85"/>
    <col collapsed="false" customWidth="true" hidden="false" outlineLevel="0" max="5" min="5" style="105" width="8.99"/>
    <col collapsed="false" customWidth="true" hidden="false" outlineLevel="0" max="6" min="6" style="105" width="8.85"/>
    <col collapsed="false" customWidth="true" hidden="false" outlineLevel="0" max="15" min="7" style="105" width="8.99"/>
    <col collapsed="false" customWidth="true" hidden="false" outlineLevel="0" max="16" min="16" style="105" width="3.14"/>
    <col collapsed="false" customWidth="false" hidden="false" outlineLevel="0" max="257" min="17" style="105" width="9.14"/>
  </cols>
  <sheetData>
    <row r="1" customFormat="false" ht="12.75" hidden="false" customHeight="false" outlineLevel="0" collapsed="false">
      <c r="B1" s="106" t="s">
        <v>69</v>
      </c>
      <c r="C1" s="106"/>
      <c r="J1" s="107" t="str">
        <f aca="true">CELL("FILENAME",A1)</f>
        <v>'file:///mnt/12tb/@roms/datasets/enron/EDRM Enron Email Data Set v2 XML/filtered-attachments/xls/RADAR_Screens_4Q_1123.xls'#$Cash Flow by Team</v>
      </c>
    </row>
    <row r="2" customFormat="false" ht="12.75" hidden="false" customHeight="false" outlineLevel="0" collapsed="false">
      <c r="B2" s="106" t="s">
        <v>70</v>
      </c>
      <c r="C2" s="106"/>
      <c r="J2" s="108" t="n">
        <f aca="true">NOW()</f>
        <v>45926.9237498864</v>
      </c>
    </row>
    <row r="3" customFormat="false" ht="12.75" hidden="false" customHeight="false" outlineLevel="0" collapsed="false">
      <c r="B3" s="106" t="s">
        <v>71</v>
      </c>
      <c r="C3" s="106"/>
      <c r="J3" s="109" t="n">
        <f aca="true">NOW()</f>
        <v>45926.9237498864</v>
      </c>
    </row>
    <row r="4" customFormat="false" ht="12.75" hidden="false" customHeight="false" outlineLevel="0" collapsed="false">
      <c r="B4" s="110" t="s">
        <v>72</v>
      </c>
      <c r="C4" s="106"/>
    </row>
    <row r="5" customFormat="false" ht="12.75" hidden="false" customHeight="false" outlineLevel="0" collapsed="false">
      <c r="B5" s="106" t="s">
        <v>73</v>
      </c>
      <c r="C5" s="106"/>
    </row>
    <row r="6" customFormat="false" ht="3.75" hidden="false" customHeight="true" outlineLevel="0" collapsed="false"/>
    <row r="7" customFormat="false" ht="12.75" hidden="false" customHeight="false" outlineLevel="0" collapsed="false">
      <c r="B7" s="151" t="s">
        <v>13</v>
      </c>
      <c r="C7" s="112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customFormat="false" ht="12.75" hidden="false" customHeight="false" outlineLevel="0" collapsed="false">
      <c r="B8" s="152" t="s">
        <v>74</v>
      </c>
      <c r="C8" s="116"/>
      <c r="D8" s="118" t="s">
        <v>14</v>
      </c>
      <c r="E8" s="118" t="s">
        <v>15</v>
      </c>
      <c r="F8" s="118" t="s">
        <v>16</v>
      </c>
      <c r="G8" s="118" t="s">
        <v>17</v>
      </c>
      <c r="H8" s="118" t="s">
        <v>18</v>
      </c>
      <c r="I8" s="118" t="s">
        <v>19</v>
      </c>
      <c r="J8" s="118" t="s">
        <v>20</v>
      </c>
      <c r="K8" s="118" t="s">
        <v>21</v>
      </c>
      <c r="L8" s="118" t="s">
        <v>68</v>
      </c>
      <c r="M8" s="118" t="s">
        <v>23</v>
      </c>
      <c r="N8" s="118" t="s">
        <v>24</v>
      </c>
      <c r="O8" s="119" t="s">
        <v>25</v>
      </c>
    </row>
    <row r="9" customFormat="false" ht="12.75" hidden="false" customHeight="false" outlineLevel="0" collapsed="false">
      <c r="B9" s="115" t="s">
        <v>75</v>
      </c>
      <c r="C9" s="116"/>
      <c r="D9" s="120" t="n">
        <v>-52.096</v>
      </c>
      <c r="E9" s="120" t="n">
        <v>-22.103</v>
      </c>
      <c r="F9" s="120" t="n">
        <v>-77.444</v>
      </c>
      <c r="G9" s="120" t="n">
        <v>-0.445</v>
      </c>
      <c r="H9" s="120" t="n">
        <v>35.424</v>
      </c>
      <c r="I9" s="120" t="n">
        <v>-66.617</v>
      </c>
      <c r="J9" s="120" t="n">
        <v>-21.799</v>
      </c>
      <c r="K9" s="120" t="n">
        <v>15.708</v>
      </c>
      <c r="L9" s="120" t="n">
        <v>-3.906</v>
      </c>
      <c r="M9" s="120"/>
      <c r="N9" s="120"/>
      <c r="O9" s="121"/>
    </row>
    <row r="10" customFormat="false" ht="12.75" hidden="false" customHeight="false" outlineLevel="0" collapsed="false">
      <c r="B10" s="115" t="s">
        <v>76</v>
      </c>
      <c r="C10" s="116"/>
      <c r="D10" s="122" t="n">
        <f aca="false">SUM($C9:D9)</f>
        <v>-52.096</v>
      </c>
      <c r="E10" s="122" t="n">
        <f aca="false">SUM($C9:E9)</f>
        <v>-74.199</v>
      </c>
      <c r="F10" s="122" t="n">
        <f aca="false">SUM($C9:F9)</f>
        <v>-151.643</v>
      </c>
      <c r="G10" s="122" t="n">
        <f aca="false">SUM($C9:G9)</f>
        <v>-152.088</v>
      </c>
      <c r="H10" s="122" t="n">
        <f aca="false">SUM($C9:H9)</f>
        <v>-116.664</v>
      </c>
      <c r="I10" s="122" t="n">
        <f aca="false">SUM($C9:I9)</f>
        <v>-183.281</v>
      </c>
      <c r="J10" s="122" t="n">
        <f aca="false">SUM($C9:J9)</f>
        <v>-205.08</v>
      </c>
      <c r="K10" s="122" t="n">
        <f aca="false">SUM($C9:K9)</f>
        <v>-189.372</v>
      </c>
      <c r="L10" s="122" t="n">
        <f aca="false">SUM($C9:L9)</f>
        <v>-193.278</v>
      </c>
      <c r="M10" s="122"/>
      <c r="N10" s="122"/>
      <c r="O10" s="123"/>
    </row>
    <row r="11" customFormat="false" ht="12.75" hidden="false" customHeight="false" outlineLevel="0" collapsed="false">
      <c r="B11" s="115"/>
      <c r="C11" s="116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3"/>
    </row>
    <row r="12" customFormat="false" ht="12.75" hidden="false" customHeight="false" outlineLevel="0" collapsed="false">
      <c r="B12" s="152" t="s">
        <v>97</v>
      </c>
      <c r="C12" s="11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3"/>
    </row>
    <row r="13" customFormat="false" ht="12.75" hidden="false" customHeight="false" outlineLevel="0" collapsed="false">
      <c r="B13" s="115" t="s">
        <v>75</v>
      </c>
      <c r="C13" s="116"/>
      <c r="D13" s="120" t="n">
        <v>-95.409</v>
      </c>
      <c r="E13" s="120" t="n">
        <v>40.748</v>
      </c>
      <c r="F13" s="120" t="n">
        <v>-136.438</v>
      </c>
      <c r="G13" s="120" t="n">
        <v>23.299</v>
      </c>
      <c r="H13" s="120" t="n">
        <v>-37.631</v>
      </c>
      <c r="I13" s="120" t="n">
        <v>10.903</v>
      </c>
      <c r="J13" s="120" t="n">
        <v>-25.443</v>
      </c>
      <c r="K13" s="120" t="n">
        <v>-39.478</v>
      </c>
      <c r="L13" s="120" t="n">
        <v>19.797</v>
      </c>
      <c r="M13" s="120"/>
      <c r="N13" s="120"/>
      <c r="O13" s="121"/>
    </row>
    <row r="14" customFormat="false" ht="16.5" hidden="false" customHeight="true" outlineLevel="0" collapsed="false">
      <c r="B14" s="115" t="s">
        <v>76</v>
      </c>
      <c r="C14" s="116"/>
      <c r="D14" s="122" t="n">
        <f aca="false">SUM($C13:D13)</f>
        <v>-95.409</v>
      </c>
      <c r="E14" s="122" t="n">
        <f aca="false">SUM($D13:E13)</f>
        <v>-54.661</v>
      </c>
      <c r="F14" s="122" t="n">
        <f aca="false">SUM($D13:F13)</f>
        <v>-191.099</v>
      </c>
      <c r="G14" s="122" t="n">
        <f aca="false">SUM($D13:G13)</f>
        <v>-167.8</v>
      </c>
      <c r="H14" s="122" t="n">
        <f aca="false">SUM($D13:H13)</f>
        <v>-205.431</v>
      </c>
      <c r="I14" s="122" t="n">
        <f aca="false">SUM($D13:I13)</f>
        <v>-194.528</v>
      </c>
      <c r="J14" s="122" t="n">
        <f aca="false">SUM($D13:J13)</f>
        <v>-219.971</v>
      </c>
      <c r="K14" s="122" t="n">
        <f aca="false">SUM($D13:K13)</f>
        <v>-259.449</v>
      </c>
      <c r="L14" s="122" t="n">
        <f aca="false">SUM($D13:L13)</f>
        <v>-239.652</v>
      </c>
      <c r="M14" s="122"/>
      <c r="N14" s="122"/>
      <c r="O14" s="123"/>
    </row>
    <row r="15" customFormat="false" ht="13.5" hidden="false" customHeight="false" outlineLevel="0" collapsed="false">
      <c r="A15" s="153"/>
      <c r="B15" s="154"/>
      <c r="C15" s="155"/>
      <c r="D15" s="156"/>
      <c r="E15" s="156"/>
      <c r="F15" s="156"/>
      <c r="G15" s="156"/>
      <c r="H15" s="156"/>
      <c r="I15" s="157"/>
      <c r="J15" s="156"/>
      <c r="K15" s="156"/>
      <c r="L15" s="157"/>
      <c r="M15" s="156"/>
      <c r="N15" s="156"/>
      <c r="O15" s="158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153"/>
      <c r="CJ15" s="153"/>
      <c r="CK15" s="153"/>
      <c r="CL15" s="153"/>
      <c r="CM15" s="153"/>
      <c r="CN15" s="153"/>
      <c r="CO15" s="153"/>
      <c r="CP15" s="153"/>
      <c r="CQ15" s="153"/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  <c r="DH15" s="153"/>
      <c r="DI15" s="153"/>
      <c r="DJ15" s="153"/>
      <c r="DK15" s="153"/>
      <c r="DL15" s="153"/>
      <c r="DM15" s="153"/>
      <c r="DN15" s="153"/>
      <c r="DO15" s="153"/>
      <c r="DP15" s="153"/>
      <c r="DQ15" s="153"/>
      <c r="DR15" s="153"/>
      <c r="DS15" s="153"/>
      <c r="DT15" s="153"/>
      <c r="DU15" s="153"/>
      <c r="DV15" s="153"/>
      <c r="DW15" s="153"/>
      <c r="DX15" s="153"/>
      <c r="DY15" s="153"/>
      <c r="DZ15" s="153"/>
      <c r="EA15" s="153"/>
      <c r="EB15" s="153"/>
      <c r="EC15" s="153"/>
      <c r="ED15" s="153"/>
      <c r="EE15" s="153"/>
      <c r="EF15" s="153"/>
      <c r="EG15" s="153"/>
      <c r="EH15" s="153"/>
      <c r="EI15" s="153"/>
      <c r="EJ15" s="153"/>
      <c r="EK15" s="153"/>
      <c r="EL15" s="153"/>
      <c r="EM15" s="153"/>
      <c r="EN15" s="153"/>
      <c r="EO15" s="153"/>
      <c r="EP15" s="153"/>
      <c r="EQ15" s="153"/>
      <c r="ER15" s="153"/>
      <c r="ES15" s="153"/>
      <c r="ET15" s="153"/>
      <c r="EU15" s="153"/>
      <c r="EV15" s="153"/>
      <c r="EW15" s="153"/>
      <c r="EX15" s="153"/>
      <c r="EY15" s="153"/>
      <c r="EZ15" s="153"/>
      <c r="FA15" s="153"/>
      <c r="FB15" s="153"/>
      <c r="FC15" s="153"/>
      <c r="FD15" s="153"/>
      <c r="FE15" s="153"/>
      <c r="FF15" s="153"/>
      <c r="FG15" s="153"/>
      <c r="FH15" s="153"/>
      <c r="FI15" s="153"/>
      <c r="FJ15" s="153"/>
      <c r="FK15" s="153"/>
      <c r="FL15" s="153"/>
      <c r="FM15" s="153"/>
      <c r="FN15" s="153"/>
      <c r="FO15" s="153"/>
      <c r="FP15" s="153"/>
      <c r="FQ15" s="153"/>
      <c r="FR15" s="153"/>
      <c r="FS15" s="153"/>
      <c r="FT15" s="153"/>
      <c r="FU15" s="153"/>
      <c r="FV15" s="153"/>
      <c r="FW15" s="153"/>
      <c r="FX15" s="153"/>
      <c r="FY15" s="153"/>
      <c r="FZ15" s="153"/>
      <c r="GA15" s="153"/>
      <c r="GB15" s="153"/>
      <c r="GC15" s="153"/>
      <c r="GD15" s="153"/>
      <c r="GE15" s="153"/>
      <c r="GF15" s="153"/>
      <c r="GG15" s="153"/>
      <c r="GH15" s="153"/>
      <c r="GI15" s="153"/>
      <c r="GJ15" s="153"/>
      <c r="GK15" s="153"/>
      <c r="GL15" s="153"/>
      <c r="GM15" s="153"/>
      <c r="GN15" s="153"/>
      <c r="GO15" s="153"/>
      <c r="GP15" s="153"/>
      <c r="GQ15" s="153"/>
      <c r="GR15" s="153"/>
      <c r="GS15" s="153"/>
      <c r="GT15" s="153"/>
      <c r="GU15" s="153"/>
      <c r="GV15" s="153"/>
      <c r="GW15" s="153"/>
      <c r="GX15" s="153"/>
      <c r="GY15" s="153"/>
      <c r="GZ15" s="153"/>
      <c r="HA15" s="153"/>
      <c r="HB15" s="153"/>
      <c r="HC15" s="153"/>
      <c r="HD15" s="153"/>
      <c r="HE15" s="153"/>
      <c r="HF15" s="153"/>
      <c r="HG15" s="153"/>
      <c r="HH15" s="153"/>
      <c r="HI15" s="153"/>
      <c r="HJ15" s="153"/>
      <c r="HK15" s="153"/>
      <c r="HL15" s="153"/>
      <c r="HM15" s="153"/>
      <c r="HN15" s="153"/>
      <c r="HO15" s="153"/>
      <c r="HP15" s="153"/>
      <c r="HQ15" s="153"/>
      <c r="HR15" s="153"/>
      <c r="HS15" s="153"/>
      <c r="HT15" s="153"/>
      <c r="HU15" s="153"/>
      <c r="HV15" s="153"/>
      <c r="HW15" s="153"/>
      <c r="HX15" s="153"/>
      <c r="HY15" s="153"/>
      <c r="HZ15" s="153"/>
      <c r="IA15" s="153"/>
      <c r="IB15" s="153"/>
      <c r="IC15" s="153"/>
      <c r="ID15" s="153"/>
      <c r="IE15" s="153"/>
      <c r="IF15" s="153"/>
      <c r="IG15" s="153"/>
      <c r="IH15" s="153"/>
      <c r="II15" s="153"/>
      <c r="IJ15" s="153"/>
      <c r="IK15" s="153"/>
      <c r="IL15" s="153"/>
      <c r="IM15" s="153"/>
      <c r="IN15" s="153"/>
      <c r="IO15" s="153"/>
      <c r="IP15" s="153"/>
      <c r="IQ15" s="153"/>
      <c r="IR15" s="153"/>
      <c r="IS15" s="153"/>
      <c r="IT15" s="153"/>
      <c r="IU15" s="153"/>
      <c r="IV15" s="153"/>
      <c r="IW15" s="153"/>
    </row>
    <row r="16" customFormat="false" ht="12.75" hidden="false" customHeight="false" outlineLevel="0" collapsed="false">
      <c r="A16" s="153"/>
      <c r="B16" s="159" t="s">
        <v>98</v>
      </c>
      <c r="C16" s="160"/>
      <c r="D16" s="161"/>
      <c r="E16" s="161"/>
      <c r="F16" s="161"/>
      <c r="G16" s="161"/>
      <c r="H16" s="161"/>
      <c r="I16" s="87"/>
      <c r="J16" s="161"/>
      <c r="K16" s="161"/>
      <c r="L16" s="87"/>
      <c r="M16" s="161"/>
      <c r="N16" s="161"/>
      <c r="O16" s="162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3"/>
      <c r="CA16" s="153"/>
      <c r="CB16" s="153"/>
      <c r="CC16" s="153"/>
      <c r="CD16" s="153"/>
      <c r="CE16" s="153"/>
      <c r="CF16" s="153"/>
      <c r="CG16" s="153"/>
      <c r="CH16" s="153"/>
      <c r="CI16" s="153"/>
      <c r="CJ16" s="153"/>
      <c r="CK16" s="153"/>
      <c r="CL16" s="153"/>
      <c r="CM16" s="153"/>
      <c r="CN16" s="153"/>
      <c r="CO16" s="153"/>
      <c r="CP16" s="153"/>
      <c r="CQ16" s="153"/>
      <c r="CR16" s="153"/>
      <c r="CS16" s="153"/>
      <c r="CT16" s="153"/>
      <c r="CU16" s="153"/>
      <c r="CV16" s="153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  <c r="DH16" s="153"/>
      <c r="DI16" s="153"/>
      <c r="DJ16" s="153"/>
      <c r="DK16" s="153"/>
      <c r="DL16" s="153"/>
      <c r="DM16" s="153"/>
      <c r="DN16" s="153"/>
      <c r="DO16" s="153"/>
      <c r="DP16" s="153"/>
      <c r="DQ16" s="153"/>
      <c r="DR16" s="153"/>
      <c r="DS16" s="153"/>
      <c r="DT16" s="153"/>
      <c r="DU16" s="153"/>
      <c r="DV16" s="153"/>
      <c r="DW16" s="153"/>
      <c r="DX16" s="153"/>
      <c r="DY16" s="153"/>
      <c r="DZ16" s="153"/>
      <c r="EA16" s="153"/>
      <c r="EB16" s="153"/>
      <c r="EC16" s="153"/>
      <c r="ED16" s="153"/>
      <c r="EE16" s="153"/>
      <c r="EF16" s="153"/>
      <c r="EG16" s="153"/>
      <c r="EH16" s="153"/>
      <c r="EI16" s="153"/>
      <c r="EJ16" s="153"/>
      <c r="EK16" s="153"/>
      <c r="EL16" s="153"/>
      <c r="EM16" s="153"/>
      <c r="EN16" s="153"/>
      <c r="EO16" s="153"/>
      <c r="EP16" s="153"/>
      <c r="EQ16" s="153"/>
      <c r="ER16" s="153"/>
      <c r="ES16" s="153"/>
      <c r="ET16" s="153"/>
      <c r="EU16" s="153"/>
      <c r="EV16" s="153"/>
      <c r="EW16" s="153"/>
      <c r="EX16" s="153"/>
      <c r="EY16" s="153"/>
      <c r="EZ16" s="153"/>
      <c r="FA16" s="153"/>
      <c r="FB16" s="153"/>
      <c r="FC16" s="153"/>
      <c r="FD16" s="153"/>
      <c r="FE16" s="153"/>
      <c r="FF16" s="153"/>
      <c r="FG16" s="153"/>
      <c r="FH16" s="153"/>
      <c r="FI16" s="153"/>
      <c r="FJ16" s="153"/>
      <c r="FK16" s="153"/>
      <c r="FL16" s="153"/>
      <c r="FM16" s="153"/>
      <c r="FN16" s="153"/>
      <c r="FO16" s="153"/>
      <c r="FP16" s="153"/>
      <c r="FQ16" s="153"/>
      <c r="FR16" s="153"/>
      <c r="FS16" s="153"/>
      <c r="FT16" s="153"/>
      <c r="FU16" s="153"/>
      <c r="FV16" s="153"/>
      <c r="FW16" s="153"/>
      <c r="FX16" s="153"/>
      <c r="FY16" s="153"/>
      <c r="FZ16" s="153"/>
      <c r="GA16" s="153"/>
      <c r="GB16" s="153"/>
      <c r="GC16" s="153"/>
      <c r="GD16" s="153"/>
      <c r="GE16" s="153"/>
      <c r="GF16" s="153"/>
      <c r="GG16" s="153"/>
      <c r="GH16" s="153"/>
      <c r="GI16" s="153"/>
      <c r="GJ16" s="153"/>
      <c r="GK16" s="153"/>
      <c r="GL16" s="153"/>
      <c r="GM16" s="153"/>
      <c r="GN16" s="153"/>
      <c r="GO16" s="153"/>
      <c r="GP16" s="153"/>
      <c r="GQ16" s="153"/>
      <c r="GR16" s="153"/>
      <c r="GS16" s="153"/>
      <c r="GT16" s="153"/>
      <c r="GU16" s="153"/>
      <c r="GV16" s="153"/>
      <c r="GW16" s="153"/>
      <c r="GX16" s="153"/>
      <c r="GY16" s="153"/>
      <c r="GZ16" s="153"/>
      <c r="HA16" s="153"/>
      <c r="HB16" s="153"/>
      <c r="HC16" s="153"/>
      <c r="HD16" s="153"/>
      <c r="HE16" s="153"/>
      <c r="HF16" s="153"/>
      <c r="HG16" s="153"/>
      <c r="HH16" s="153"/>
      <c r="HI16" s="153"/>
      <c r="HJ16" s="153"/>
      <c r="HK16" s="153"/>
      <c r="HL16" s="153"/>
      <c r="HM16" s="153"/>
      <c r="HN16" s="153"/>
      <c r="HO16" s="153"/>
      <c r="HP16" s="153"/>
      <c r="HQ16" s="153"/>
      <c r="HR16" s="153"/>
      <c r="HS16" s="153"/>
      <c r="HT16" s="153"/>
      <c r="HU16" s="153"/>
      <c r="HV16" s="153"/>
      <c r="HW16" s="153"/>
      <c r="HX16" s="153"/>
      <c r="HY16" s="153"/>
      <c r="HZ16" s="153"/>
      <c r="IA16" s="153"/>
      <c r="IB16" s="153"/>
      <c r="IC16" s="153"/>
      <c r="ID16" s="153"/>
      <c r="IE16" s="153"/>
      <c r="IF16" s="153"/>
      <c r="IG16" s="153"/>
      <c r="IH16" s="153"/>
      <c r="II16" s="153"/>
      <c r="IJ16" s="153"/>
      <c r="IK16" s="153"/>
      <c r="IL16" s="153"/>
      <c r="IM16" s="153"/>
      <c r="IN16" s="153"/>
      <c r="IO16" s="153"/>
      <c r="IP16" s="153"/>
      <c r="IQ16" s="153"/>
      <c r="IR16" s="153"/>
      <c r="IS16" s="153"/>
      <c r="IT16" s="153"/>
      <c r="IU16" s="153"/>
      <c r="IV16" s="153"/>
      <c r="IW16" s="153"/>
    </row>
    <row r="17" customFormat="false" ht="12.75" hidden="false" customHeight="false" outlineLevel="0" collapsed="false">
      <c r="A17" s="153"/>
      <c r="B17" s="152" t="s">
        <v>74</v>
      </c>
      <c r="C17" s="160"/>
      <c r="D17" s="118" t="s">
        <v>14</v>
      </c>
      <c r="E17" s="118" t="s">
        <v>15</v>
      </c>
      <c r="F17" s="118" t="s">
        <v>16</v>
      </c>
      <c r="G17" s="118" t="s">
        <v>17</v>
      </c>
      <c r="H17" s="118" t="s">
        <v>18</v>
      </c>
      <c r="I17" s="118" t="s">
        <v>19</v>
      </c>
      <c r="J17" s="118" t="s">
        <v>20</v>
      </c>
      <c r="K17" s="118" t="s">
        <v>21</v>
      </c>
      <c r="L17" s="118" t="s">
        <v>68</v>
      </c>
      <c r="M17" s="118" t="s">
        <v>23</v>
      </c>
      <c r="N17" s="118" t="s">
        <v>24</v>
      </c>
      <c r="O17" s="119" t="s">
        <v>25</v>
      </c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  <c r="EA17" s="153"/>
      <c r="EB17" s="153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3"/>
      <c r="EQ17" s="153"/>
      <c r="ER17" s="153"/>
      <c r="ES17" s="153"/>
      <c r="ET17" s="153"/>
      <c r="EU17" s="153"/>
      <c r="EV17" s="153"/>
      <c r="EW17" s="153"/>
      <c r="EX17" s="153"/>
      <c r="EY17" s="153"/>
      <c r="EZ17" s="153"/>
      <c r="FA17" s="153"/>
      <c r="FB17" s="153"/>
      <c r="FC17" s="153"/>
      <c r="FD17" s="153"/>
      <c r="FE17" s="153"/>
      <c r="FF17" s="153"/>
      <c r="FG17" s="153"/>
      <c r="FH17" s="153"/>
      <c r="FI17" s="153"/>
      <c r="FJ17" s="153"/>
      <c r="FK17" s="153"/>
      <c r="FL17" s="153"/>
      <c r="FM17" s="153"/>
      <c r="FN17" s="153"/>
      <c r="FO17" s="153"/>
      <c r="FP17" s="153"/>
      <c r="FQ17" s="153"/>
      <c r="FR17" s="153"/>
      <c r="FS17" s="153"/>
      <c r="FT17" s="153"/>
      <c r="FU17" s="153"/>
      <c r="FV17" s="153"/>
      <c r="FW17" s="153"/>
      <c r="FX17" s="153"/>
      <c r="FY17" s="153"/>
      <c r="FZ17" s="153"/>
      <c r="GA17" s="153"/>
      <c r="GB17" s="153"/>
      <c r="GC17" s="153"/>
      <c r="GD17" s="153"/>
      <c r="GE17" s="153"/>
      <c r="GF17" s="153"/>
      <c r="GG17" s="153"/>
      <c r="GH17" s="153"/>
      <c r="GI17" s="153"/>
      <c r="GJ17" s="153"/>
      <c r="GK17" s="153"/>
      <c r="GL17" s="153"/>
      <c r="GM17" s="153"/>
      <c r="GN17" s="153"/>
      <c r="GO17" s="153"/>
      <c r="GP17" s="153"/>
      <c r="GQ17" s="153"/>
      <c r="GR17" s="153"/>
      <c r="GS17" s="153"/>
      <c r="GT17" s="153"/>
      <c r="GU17" s="153"/>
      <c r="GV17" s="153"/>
      <c r="GW17" s="153"/>
      <c r="GX17" s="153"/>
      <c r="GY17" s="153"/>
      <c r="GZ17" s="153"/>
      <c r="HA17" s="153"/>
      <c r="HB17" s="153"/>
      <c r="HC17" s="153"/>
      <c r="HD17" s="153"/>
      <c r="HE17" s="153"/>
      <c r="HF17" s="153"/>
      <c r="HG17" s="153"/>
      <c r="HH17" s="153"/>
      <c r="HI17" s="153"/>
      <c r="HJ17" s="153"/>
      <c r="HK17" s="153"/>
      <c r="HL17" s="153"/>
      <c r="HM17" s="153"/>
      <c r="HN17" s="153"/>
      <c r="HO17" s="153"/>
      <c r="HP17" s="153"/>
      <c r="HQ17" s="153"/>
      <c r="HR17" s="153"/>
      <c r="HS17" s="153"/>
      <c r="HT17" s="153"/>
      <c r="HU17" s="153"/>
      <c r="HV17" s="153"/>
      <c r="HW17" s="153"/>
      <c r="HX17" s="153"/>
      <c r="HY17" s="153"/>
      <c r="HZ17" s="153"/>
      <c r="IA17" s="153"/>
      <c r="IB17" s="153"/>
      <c r="IC17" s="153"/>
      <c r="ID17" s="153"/>
      <c r="IE17" s="153"/>
      <c r="IF17" s="153"/>
      <c r="IG17" s="153"/>
      <c r="IH17" s="153"/>
      <c r="II17" s="153"/>
      <c r="IJ17" s="153"/>
      <c r="IK17" s="153"/>
      <c r="IL17" s="153"/>
      <c r="IM17" s="153"/>
      <c r="IN17" s="153"/>
      <c r="IO17" s="153"/>
      <c r="IP17" s="153"/>
      <c r="IQ17" s="153"/>
      <c r="IR17" s="153"/>
      <c r="IS17" s="153"/>
      <c r="IT17" s="153"/>
      <c r="IU17" s="153"/>
      <c r="IV17" s="153"/>
      <c r="IW17" s="153"/>
    </row>
    <row r="18" customFormat="false" ht="12.75" hidden="false" customHeight="false" outlineLevel="0" collapsed="false">
      <c r="A18" s="153"/>
      <c r="B18" s="115" t="s">
        <v>75</v>
      </c>
      <c r="C18" s="160"/>
      <c r="D18" s="163" t="n">
        <f aca="false">+D27+D36+D45</f>
        <v>8.566</v>
      </c>
      <c r="E18" s="163" t="n">
        <f aca="false">+E27+E36+E45</f>
        <v>6.263</v>
      </c>
      <c r="F18" s="163" t="n">
        <f aca="false">+F27+F36+F45</f>
        <v>38.099</v>
      </c>
      <c r="G18" s="163" t="n">
        <f aca="false">+G27+G36+G45</f>
        <v>-0.311</v>
      </c>
      <c r="H18" s="163" t="n">
        <f aca="false">+H27+H36+H45</f>
        <v>-20.79</v>
      </c>
      <c r="I18" s="163" t="n">
        <f aca="false">+I27+I36+I45</f>
        <v>8.322</v>
      </c>
      <c r="J18" s="163" t="n">
        <f aca="false">+J27+J36+J45</f>
        <v>-2.545</v>
      </c>
      <c r="K18" s="163" t="n">
        <f aca="false">+K27+K36+K45</f>
        <v>12.832</v>
      </c>
      <c r="L18" s="163" t="n">
        <f aca="false">+L27+L36+L45</f>
        <v>-30.945</v>
      </c>
      <c r="M18" s="163" t="n">
        <f aca="false">+M27+M36+M45</f>
        <v>0</v>
      </c>
      <c r="N18" s="163" t="n">
        <f aca="false">+N27+N36+N45</f>
        <v>0</v>
      </c>
      <c r="O18" s="164" t="n">
        <f aca="false">+O27+O36+O45</f>
        <v>0</v>
      </c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3"/>
      <c r="DX18" s="153"/>
      <c r="DY18" s="153"/>
      <c r="DZ18" s="153"/>
      <c r="EA18" s="153"/>
      <c r="EB18" s="153"/>
      <c r="EC18" s="153"/>
      <c r="ED18" s="153"/>
      <c r="EE18" s="153"/>
      <c r="EF18" s="153"/>
      <c r="EG18" s="153"/>
      <c r="EH18" s="153"/>
      <c r="EI18" s="153"/>
      <c r="EJ18" s="153"/>
      <c r="EK18" s="153"/>
      <c r="EL18" s="153"/>
      <c r="EM18" s="153"/>
      <c r="EN18" s="153"/>
      <c r="EO18" s="153"/>
      <c r="EP18" s="153"/>
      <c r="EQ18" s="153"/>
      <c r="ER18" s="153"/>
      <c r="ES18" s="153"/>
      <c r="ET18" s="153"/>
      <c r="EU18" s="153"/>
      <c r="EV18" s="153"/>
      <c r="EW18" s="153"/>
      <c r="EX18" s="153"/>
      <c r="EY18" s="153"/>
      <c r="EZ18" s="153"/>
      <c r="FA18" s="153"/>
      <c r="FB18" s="153"/>
      <c r="FC18" s="153"/>
      <c r="FD18" s="153"/>
      <c r="FE18" s="153"/>
      <c r="FF18" s="153"/>
      <c r="FG18" s="153"/>
      <c r="FH18" s="153"/>
      <c r="FI18" s="153"/>
      <c r="FJ18" s="153"/>
      <c r="FK18" s="153"/>
      <c r="FL18" s="153"/>
      <c r="FM18" s="153"/>
      <c r="FN18" s="153"/>
      <c r="FO18" s="153"/>
      <c r="FP18" s="153"/>
      <c r="FQ18" s="153"/>
      <c r="FR18" s="153"/>
      <c r="FS18" s="153"/>
      <c r="FT18" s="153"/>
      <c r="FU18" s="153"/>
      <c r="FV18" s="153"/>
      <c r="FW18" s="153"/>
      <c r="FX18" s="153"/>
      <c r="FY18" s="153"/>
      <c r="FZ18" s="153"/>
      <c r="GA18" s="153"/>
      <c r="GB18" s="153"/>
      <c r="GC18" s="153"/>
      <c r="GD18" s="153"/>
      <c r="GE18" s="153"/>
      <c r="GF18" s="153"/>
      <c r="GG18" s="153"/>
      <c r="GH18" s="153"/>
      <c r="GI18" s="153"/>
      <c r="GJ18" s="153"/>
      <c r="GK18" s="153"/>
      <c r="GL18" s="153"/>
      <c r="GM18" s="153"/>
      <c r="GN18" s="153"/>
      <c r="GO18" s="153"/>
      <c r="GP18" s="153"/>
      <c r="GQ18" s="153"/>
      <c r="GR18" s="153"/>
      <c r="GS18" s="153"/>
      <c r="GT18" s="153"/>
      <c r="GU18" s="153"/>
      <c r="GV18" s="153"/>
      <c r="GW18" s="153"/>
      <c r="GX18" s="153"/>
      <c r="GY18" s="153"/>
      <c r="GZ18" s="153"/>
      <c r="HA18" s="153"/>
      <c r="HB18" s="153"/>
      <c r="HC18" s="153"/>
      <c r="HD18" s="153"/>
      <c r="HE18" s="153"/>
      <c r="HF18" s="153"/>
      <c r="HG18" s="153"/>
      <c r="HH18" s="153"/>
      <c r="HI18" s="153"/>
      <c r="HJ18" s="153"/>
      <c r="HK18" s="153"/>
      <c r="HL18" s="153"/>
      <c r="HM18" s="153"/>
      <c r="HN18" s="153"/>
      <c r="HO18" s="153"/>
      <c r="HP18" s="153"/>
      <c r="HQ18" s="153"/>
      <c r="HR18" s="153"/>
      <c r="HS18" s="153"/>
      <c r="HT18" s="153"/>
      <c r="HU18" s="153"/>
      <c r="HV18" s="153"/>
      <c r="HW18" s="153"/>
      <c r="HX18" s="153"/>
      <c r="HY18" s="153"/>
      <c r="HZ18" s="153"/>
      <c r="IA18" s="153"/>
      <c r="IB18" s="153"/>
      <c r="IC18" s="153"/>
      <c r="ID18" s="153"/>
      <c r="IE18" s="153"/>
      <c r="IF18" s="153"/>
      <c r="IG18" s="153"/>
      <c r="IH18" s="153"/>
      <c r="II18" s="153"/>
      <c r="IJ18" s="153"/>
      <c r="IK18" s="153"/>
      <c r="IL18" s="153"/>
      <c r="IM18" s="153"/>
      <c r="IN18" s="153"/>
      <c r="IO18" s="153"/>
      <c r="IP18" s="153"/>
      <c r="IQ18" s="153"/>
      <c r="IR18" s="153"/>
      <c r="IS18" s="153"/>
      <c r="IT18" s="153"/>
      <c r="IU18" s="153"/>
      <c r="IV18" s="153"/>
      <c r="IW18" s="153"/>
    </row>
    <row r="19" customFormat="false" ht="12.75" hidden="false" customHeight="false" outlineLevel="0" collapsed="false">
      <c r="A19" s="153"/>
      <c r="B19" s="115" t="s">
        <v>76</v>
      </c>
      <c r="C19" s="160"/>
      <c r="D19" s="163" t="n">
        <f aca="false">+D28+D37+D46</f>
        <v>8.566</v>
      </c>
      <c r="E19" s="163" t="n">
        <f aca="false">+E28+E37+E46</f>
        <v>14.829</v>
      </c>
      <c r="F19" s="163" t="n">
        <f aca="false">+F28+F37+F46</f>
        <v>52.928</v>
      </c>
      <c r="G19" s="163" t="n">
        <f aca="false">+G28+G37+G46</f>
        <v>52.617</v>
      </c>
      <c r="H19" s="163" t="n">
        <f aca="false">+H28+H37+H46</f>
        <v>31.827</v>
      </c>
      <c r="I19" s="163" t="n">
        <f aca="false">+I28+I37+I46</f>
        <v>40.149</v>
      </c>
      <c r="J19" s="163" t="n">
        <f aca="false">+J28+J37+J46</f>
        <v>37.604</v>
      </c>
      <c r="K19" s="163" t="n">
        <f aca="false">+K28+K37+K46</f>
        <v>50.436</v>
      </c>
      <c r="L19" s="163" t="n">
        <f aca="false">+L28+L37+L46</f>
        <v>19.491</v>
      </c>
      <c r="M19" s="163" t="n">
        <f aca="false">+M28+M37+M46</f>
        <v>0</v>
      </c>
      <c r="N19" s="163" t="n">
        <f aca="false">+N28+N37+N46</f>
        <v>0</v>
      </c>
      <c r="O19" s="164" t="n">
        <f aca="false">+O28+O37+O46</f>
        <v>0</v>
      </c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  <c r="DS19" s="153"/>
      <c r="DT19" s="153"/>
      <c r="DU19" s="153"/>
      <c r="DV19" s="153"/>
      <c r="DW19" s="153"/>
      <c r="DX19" s="153"/>
      <c r="DY19" s="153"/>
      <c r="DZ19" s="153"/>
      <c r="EA19" s="153"/>
      <c r="EB19" s="153"/>
      <c r="EC19" s="153"/>
      <c r="ED19" s="153"/>
      <c r="EE19" s="153"/>
      <c r="EF19" s="153"/>
      <c r="EG19" s="153"/>
      <c r="EH19" s="153"/>
      <c r="EI19" s="153"/>
      <c r="EJ19" s="153"/>
      <c r="EK19" s="153"/>
      <c r="EL19" s="153"/>
      <c r="EM19" s="153"/>
      <c r="EN19" s="153"/>
      <c r="EO19" s="153"/>
      <c r="EP19" s="153"/>
      <c r="EQ19" s="153"/>
      <c r="ER19" s="153"/>
      <c r="ES19" s="153"/>
      <c r="ET19" s="153"/>
      <c r="EU19" s="153"/>
      <c r="EV19" s="153"/>
      <c r="EW19" s="153"/>
      <c r="EX19" s="153"/>
      <c r="EY19" s="153"/>
      <c r="EZ19" s="153"/>
      <c r="FA19" s="153"/>
      <c r="FB19" s="153"/>
      <c r="FC19" s="153"/>
      <c r="FD19" s="153"/>
      <c r="FE19" s="153"/>
      <c r="FF19" s="153"/>
      <c r="FG19" s="153"/>
      <c r="FH19" s="153"/>
      <c r="FI19" s="153"/>
      <c r="FJ19" s="153"/>
      <c r="FK19" s="153"/>
      <c r="FL19" s="153"/>
      <c r="FM19" s="153"/>
      <c r="FN19" s="153"/>
      <c r="FO19" s="153"/>
      <c r="FP19" s="153"/>
      <c r="FQ19" s="153"/>
      <c r="FR19" s="153"/>
      <c r="FS19" s="153"/>
      <c r="FT19" s="153"/>
      <c r="FU19" s="153"/>
      <c r="FV19" s="153"/>
      <c r="FW19" s="153"/>
      <c r="FX19" s="153"/>
      <c r="FY19" s="153"/>
      <c r="FZ19" s="153"/>
      <c r="GA19" s="153"/>
      <c r="GB19" s="153"/>
      <c r="GC19" s="153"/>
      <c r="GD19" s="153"/>
      <c r="GE19" s="153"/>
      <c r="GF19" s="153"/>
      <c r="GG19" s="153"/>
      <c r="GH19" s="153"/>
      <c r="GI19" s="153"/>
      <c r="GJ19" s="153"/>
      <c r="GK19" s="153"/>
      <c r="GL19" s="153"/>
      <c r="GM19" s="153"/>
      <c r="GN19" s="153"/>
      <c r="GO19" s="153"/>
      <c r="GP19" s="153"/>
      <c r="GQ19" s="153"/>
      <c r="GR19" s="153"/>
      <c r="GS19" s="153"/>
      <c r="GT19" s="153"/>
      <c r="GU19" s="153"/>
      <c r="GV19" s="153"/>
      <c r="GW19" s="153"/>
      <c r="GX19" s="153"/>
      <c r="GY19" s="153"/>
      <c r="GZ19" s="153"/>
      <c r="HA19" s="153"/>
      <c r="HB19" s="153"/>
      <c r="HC19" s="153"/>
      <c r="HD19" s="153"/>
      <c r="HE19" s="153"/>
      <c r="HF19" s="153"/>
      <c r="HG19" s="153"/>
      <c r="HH19" s="153"/>
      <c r="HI19" s="153"/>
      <c r="HJ19" s="153"/>
      <c r="HK19" s="153"/>
      <c r="HL19" s="153"/>
      <c r="HM19" s="153"/>
      <c r="HN19" s="153"/>
      <c r="HO19" s="153"/>
      <c r="HP19" s="153"/>
      <c r="HQ19" s="153"/>
      <c r="HR19" s="153"/>
      <c r="HS19" s="153"/>
      <c r="HT19" s="153"/>
      <c r="HU19" s="153"/>
      <c r="HV19" s="153"/>
      <c r="HW19" s="153"/>
      <c r="HX19" s="153"/>
      <c r="HY19" s="153"/>
      <c r="HZ19" s="153"/>
      <c r="IA19" s="153"/>
      <c r="IB19" s="153"/>
      <c r="IC19" s="153"/>
      <c r="ID19" s="153"/>
      <c r="IE19" s="153"/>
      <c r="IF19" s="153"/>
      <c r="IG19" s="153"/>
      <c r="IH19" s="153"/>
      <c r="II19" s="153"/>
      <c r="IJ19" s="153"/>
      <c r="IK19" s="153"/>
      <c r="IL19" s="153"/>
      <c r="IM19" s="153"/>
      <c r="IN19" s="153"/>
      <c r="IO19" s="153"/>
      <c r="IP19" s="153"/>
      <c r="IQ19" s="153"/>
      <c r="IR19" s="153"/>
      <c r="IS19" s="153"/>
      <c r="IT19" s="153"/>
      <c r="IU19" s="153"/>
      <c r="IV19" s="153"/>
      <c r="IW19" s="153"/>
    </row>
    <row r="20" customFormat="false" ht="12.75" hidden="false" customHeight="false" outlineLevel="0" collapsed="false">
      <c r="A20" s="153"/>
      <c r="B20" s="115"/>
      <c r="C20" s="160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2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3"/>
      <c r="CU20" s="153"/>
      <c r="CV20" s="153"/>
      <c r="CW20" s="153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  <c r="DS20" s="153"/>
      <c r="DT20" s="153"/>
      <c r="DU20" s="153"/>
      <c r="DV20" s="153"/>
      <c r="DW20" s="153"/>
      <c r="DX20" s="153"/>
      <c r="DY20" s="153"/>
      <c r="DZ20" s="153"/>
      <c r="EA20" s="153"/>
      <c r="EB20" s="153"/>
      <c r="EC20" s="153"/>
      <c r="ED20" s="153"/>
      <c r="EE20" s="153"/>
      <c r="EF20" s="153"/>
      <c r="EG20" s="153"/>
      <c r="EH20" s="153"/>
      <c r="EI20" s="153"/>
      <c r="EJ20" s="153"/>
      <c r="EK20" s="153"/>
      <c r="EL20" s="153"/>
      <c r="EM20" s="153"/>
      <c r="EN20" s="153"/>
      <c r="EO20" s="153"/>
      <c r="EP20" s="153"/>
      <c r="EQ20" s="153"/>
      <c r="ER20" s="153"/>
      <c r="ES20" s="153"/>
      <c r="ET20" s="153"/>
      <c r="EU20" s="153"/>
      <c r="EV20" s="153"/>
      <c r="EW20" s="153"/>
      <c r="EX20" s="153"/>
      <c r="EY20" s="153"/>
      <c r="EZ20" s="153"/>
      <c r="FA20" s="153"/>
      <c r="FB20" s="153"/>
      <c r="FC20" s="153"/>
      <c r="FD20" s="153"/>
      <c r="FE20" s="153"/>
      <c r="FF20" s="153"/>
      <c r="FG20" s="153"/>
      <c r="FH20" s="153"/>
      <c r="FI20" s="153"/>
      <c r="FJ20" s="153"/>
      <c r="FK20" s="153"/>
      <c r="FL20" s="153"/>
      <c r="FM20" s="153"/>
      <c r="FN20" s="153"/>
      <c r="FO20" s="153"/>
      <c r="FP20" s="153"/>
      <c r="FQ20" s="153"/>
      <c r="FR20" s="153"/>
      <c r="FS20" s="153"/>
      <c r="FT20" s="153"/>
      <c r="FU20" s="153"/>
      <c r="FV20" s="153"/>
      <c r="FW20" s="153"/>
      <c r="FX20" s="153"/>
      <c r="FY20" s="153"/>
      <c r="FZ20" s="153"/>
      <c r="GA20" s="153"/>
      <c r="GB20" s="153"/>
      <c r="GC20" s="153"/>
      <c r="GD20" s="153"/>
      <c r="GE20" s="153"/>
      <c r="GF20" s="153"/>
      <c r="GG20" s="153"/>
      <c r="GH20" s="153"/>
      <c r="GI20" s="153"/>
      <c r="GJ20" s="153"/>
      <c r="GK20" s="153"/>
      <c r="GL20" s="153"/>
      <c r="GM20" s="153"/>
      <c r="GN20" s="153"/>
      <c r="GO20" s="153"/>
      <c r="GP20" s="153"/>
      <c r="GQ20" s="153"/>
      <c r="GR20" s="153"/>
      <c r="GS20" s="153"/>
      <c r="GT20" s="153"/>
      <c r="GU20" s="153"/>
      <c r="GV20" s="153"/>
      <c r="GW20" s="153"/>
      <c r="GX20" s="153"/>
      <c r="GY20" s="153"/>
      <c r="GZ20" s="153"/>
      <c r="HA20" s="153"/>
      <c r="HB20" s="153"/>
      <c r="HC20" s="153"/>
      <c r="HD20" s="153"/>
      <c r="HE20" s="153"/>
      <c r="HF20" s="153"/>
      <c r="HG20" s="153"/>
      <c r="HH20" s="153"/>
      <c r="HI20" s="153"/>
      <c r="HJ20" s="153"/>
      <c r="HK20" s="153"/>
      <c r="HL20" s="153"/>
      <c r="HM20" s="153"/>
      <c r="HN20" s="153"/>
      <c r="HO20" s="153"/>
      <c r="HP20" s="153"/>
      <c r="HQ20" s="153"/>
      <c r="HR20" s="153"/>
      <c r="HS20" s="153"/>
      <c r="HT20" s="153"/>
      <c r="HU20" s="153"/>
      <c r="HV20" s="153"/>
      <c r="HW20" s="153"/>
      <c r="HX20" s="153"/>
      <c r="HY20" s="153"/>
      <c r="HZ20" s="153"/>
      <c r="IA20" s="153"/>
      <c r="IB20" s="153"/>
      <c r="IC20" s="153"/>
      <c r="ID20" s="153"/>
      <c r="IE20" s="153"/>
      <c r="IF20" s="153"/>
      <c r="IG20" s="153"/>
      <c r="IH20" s="153"/>
      <c r="II20" s="153"/>
      <c r="IJ20" s="153"/>
      <c r="IK20" s="153"/>
      <c r="IL20" s="153"/>
      <c r="IM20" s="153"/>
      <c r="IN20" s="153"/>
      <c r="IO20" s="153"/>
      <c r="IP20" s="153"/>
      <c r="IQ20" s="153"/>
      <c r="IR20" s="153"/>
      <c r="IS20" s="153"/>
      <c r="IT20" s="153"/>
      <c r="IU20" s="153"/>
      <c r="IV20" s="153"/>
      <c r="IW20" s="153"/>
    </row>
    <row r="21" customFormat="false" ht="12.75" hidden="false" customHeight="false" outlineLevel="0" collapsed="false">
      <c r="A21" s="153"/>
      <c r="B21" s="152" t="s">
        <v>97</v>
      </c>
      <c r="C21" s="160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2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3"/>
      <c r="EI21" s="153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153"/>
      <c r="FE21" s="153"/>
      <c r="FF21" s="153"/>
      <c r="FG21" s="153"/>
      <c r="FH21" s="153"/>
      <c r="FI21" s="153"/>
      <c r="FJ21" s="153"/>
      <c r="FK21" s="153"/>
      <c r="FL21" s="153"/>
      <c r="FM21" s="153"/>
      <c r="FN21" s="153"/>
      <c r="FO21" s="153"/>
      <c r="FP21" s="153"/>
      <c r="FQ21" s="153"/>
      <c r="FR21" s="153"/>
      <c r="FS21" s="153"/>
      <c r="FT21" s="153"/>
      <c r="FU21" s="153"/>
      <c r="FV21" s="153"/>
      <c r="FW21" s="153"/>
      <c r="FX21" s="153"/>
      <c r="FY21" s="153"/>
      <c r="FZ21" s="153"/>
      <c r="GA21" s="153"/>
      <c r="GB21" s="153"/>
      <c r="GC21" s="153"/>
      <c r="GD21" s="153"/>
      <c r="GE21" s="153"/>
      <c r="GF21" s="153"/>
      <c r="GG21" s="153"/>
      <c r="GH21" s="153"/>
      <c r="GI21" s="153"/>
      <c r="GJ21" s="153"/>
      <c r="GK21" s="153"/>
      <c r="GL21" s="153"/>
      <c r="GM21" s="153"/>
      <c r="GN21" s="153"/>
      <c r="GO21" s="153"/>
      <c r="GP21" s="153"/>
      <c r="GQ21" s="153"/>
      <c r="GR21" s="153"/>
      <c r="GS21" s="153"/>
      <c r="GT21" s="153"/>
      <c r="GU21" s="153"/>
      <c r="GV21" s="153"/>
      <c r="GW21" s="153"/>
      <c r="GX21" s="153"/>
      <c r="GY21" s="153"/>
      <c r="GZ21" s="153"/>
      <c r="HA21" s="153"/>
      <c r="HB21" s="153"/>
      <c r="HC21" s="153"/>
      <c r="HD21" s="153"/>
      <c r="HE21" s="153"/>
      <c r="HF21" s="153"/>
      <c r="HG21" s="153"/>
      <c r="HH21" s="153"/>
      <c r="HI21" s="153"/>
      <c r="HJ21" s="153"/>
      <c r="HK21" s="153"/>
      <c r="HL21" s="153"/>
      <c r="HM21" s="153"/>
      <c r="HN21" s="153"/>
      <c r="HO21" s="153"/>
      <c r="HP21" s="153"/>
      <c r="HQ21" s="153"/>
      <c r="HR21" s="153"/>
      <c r="HS21" s="153"/>
      <c r="HT21" s="153"/>
      <c r="HU21" s="153"/>
      <c r="HV21" s="153"/>
      <c r="HW21" s="153"/>
      <c r="HX21" s="153"/>
      <c r="HY21" s="153"/>
      <c r="HZ21" s="153"/>
      <c r="IA21" s="153"/>
      <c r="IB21" s="153"/>
      <c r="IC21" s="153"/>
      <c r="ID21" s="153"/>
      <c r="IE21" s="153"/>
      <c r="IF21" s="153"/>
      <c r="IG21" s="153"/>
      <c r="IH21" s="153"/>
      <c r="II21" s="153"/>
      <c r="IJ21" s="153"/>
      <c r="IK21" s="153"/>
      <c r="IL21" s="153"/>
      <c r="IM21" s="153"/>
      <c r="IN21" s="153"/>
      <c r="IO21" s="153"/>
      <c r="IP21" s="153"/>
      <c r="IQ21" s="153"/>
      <c r="IR21" s="153"/>
      <c r="IS21" s="153"/>
      <c r="IT21" s="153"/>
      <c r="IU21" s="153"/>
      <c r="IV21" s="153"/>
      <c r="IW21" s="153"/>
    </row>
    <row r="22" customFormat="false" ht="12.75" hidden="false" customHeight="false" outlineLevel="0" collapsed="false">
      <c r="A22" s="153"/>
      <c r="B22" s="115" t="s">
        <v>75</v>
      </c>
      <c r="C22" s="160"/>
      <c r="D22" s="163" t="n">
        <f aca="false">+D31+D40+D49</f>
        <v>12.599</v>
      </c>
      <c r="E22" s="163" t="n">
        <f aca="false">+E31+E40+E49</f>
        <v>-6.73</v>
      </c>
      <c r="F22" s="163" t="n">
        <f aca="false">+F31+F40+F49</f>
        <v>-16.241</v>
      </c>
      <c r="G22" s="163" t="n">
        <f aca="false">+G31+G40+G49</f>
        <v>-31.31</v>
      </c>
      <c r="H22" s="163" t="n">
        <f aca="false">+H31+H40+H49</f>
        <v>-73.048</v>
      </c>
      <c r="I22" s="163" t="n">
        <f aca="false">+I31+I40+I49</f>
        <v>7.537</v>
      </c>
      <c r="J22" s="163" t="n">
        <f aca="false">+J31+J40+J49</f>
        <v>2.375</v>
      </c>
      <c r="K22" s="163" t="n">
        <f aca="false">+K31+K40+K49</f>
        <v>7.356</v>
      </c>
      <c r="L22" s="163" t="n">
        <f aca="false">+L31+L40+L49</f>
        <v>-14.707</v>
      </c>
      <c r="M22" s="163" t="n">
        <f aca="false">+M31+M40+M49</f>
        <v>0</v>
      </c>
      <c r="N22" s="163" t="n">
        <f aca="false">+N31+N40+N49</f>
        <v>0</v>
      </c>
      <c r="O22" s="164" t="n">
        <f aca="false">+O31+O40+O49</f>
        <v>0</v>
      </c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3"/>
      <c r="CA22" s="153"/>
      <c r="CB22" s="153"/>
      <c r="CC22" s="153"/>
      <c r="CD22" s="153"/>
      <c r="CE22" s="153"/>
      <c r="CF22" s="153"/>
      <c r="CG22" s="153"/>
      <c r="CH22" s="153"/>
      <c r="CI22" s="153"/>
      <c r="CJ22" s="153"/>
      <c r="CK22" s="153"/>
      <c r="CL22" s="153"/>
      <c r="CM22" s="153"/>
      <c r="CN22" s="153"/>
      <c r="CO22" s="153"/>
      <c r="CP22" s="153"/>
      <c r="CQ22" s="153"/>
      <c r="CR22" s="153"/>
      <c r="CS22" s="153"/>
      <c r="CT22" s="153"/>
      <c r="CU22" s="153"/>
      <c r="CV22" s="153"/>
      <c r="CW22" s="153"/>
      <c r="CX22" s="153"/>
      <c r="CY22" s="153"/>
      <c r="CZ22" s="153"/>
      <c r="DA22" s="153"/>
      <c r="DB22" s="153"/>
      <c r="DC22" s="153"/>
      <c r="DD22" s="153"/>
      <c r="DE22" s="153"/>
      <c r="DF22" s="153"/>
      <c r="DG22" s="153"/>
      <c r="DH22" s="153"/>
      <c r="DI22" s="153"/>
      <c r="DJ22" s="153"/>
      <c r="DK22" s="153"/>
      <c r="DL22" s="153"/>
      <c r="DM22" s="153"/>
      <c r="DN22" s="153"/>
      <c r="DO22" s="153"/>
      <c r="DP22" s="153"/>
      <c r="DQ22" s="153"/>
      <c r="DR22" s="153"/>
      <c r="DS22" s="153"/>
      <c r="DT22" s="153"/>
      <c r="DU22" s="153"/>
      <c r="DV22" s="153"/>
      <c r="DW22" s="153"/>
      <c r="DX22" s="153"/>
      <c r="DY22" s="153"/>
      <c r="DZ22" s="153"/>
      <c r="EA22" s="153"/>
      <c r="EB22" s="153"/>
      <c r="EC22" s="153"/>
      <c r="ED22" s="153"/>
      <c r="EE22" s="153"/>
      <c r="EF22" s="153"/>
      <c r="EG22" s="153"/>
      <c r="EH22" s="153"/>
      <c r="EI22" s="153"/>
      <c r="EJ22" s="153"/>
      <c r="EK22" s="153"/>
      <c r="EL22" s="153"/>
      <c r="EM22" s="153"/>
      <c r="EN22" s="153"/>
      <c r="EO22" s="153"/>
      <c r="EP22" s="153"/>
      <c r="EQ22" s="153"/>
      <c r="ER22" s="153"/>
      <c r="ES22" s="153"/>
      <c r="ET22" s="153"/>
      <c r="EU22" s="153"/>
      <c r="EV22" s="153"/>
      <c r="EW22" s="153"/>
      <c r="EX22" s="153"/>
      <c r="EY22" s="153"/>
      <c r="EZ22" s="153"/>
      <c r="FA22" s="153"/>
      <c r="FB22" s="153"/>
      <c r="FC22" s="153"/>
      <c r="FD22" s="153"/>
      <c r="FE22" s="153"/>
      <c r="FF22" s="153"/>
      <c r="FG22" s="153"/>
      <c r="FH22" s="153"/>
      <c r="FI22" s="153"/>
      <c r="FJ22" s="153"/>
      <c r="FK22" s="153"/>
      <c r="FL22" s="153"/>
      <c r="FM22" s="153"/>
      <c r="FN22" s="153"/>
      <c r="FO22" s="153"/>
      <c r="FP22" s="153"/>
      <c r="FQ22" s="153"/>
      <c r="FR22" s="153"/>
      <c r="FS22" s="153"/>
      <c r="FT22" s="153"/>
      <c r="FU22" s="153"/>
      <c r="FV22" s="153"/>
      <c r="FW22" s="153"/>
      <c r="FX22" s="153"/>
      <c r="FY22" s="153"/>
      <c r="FZ22" s="153"/>
      <c r="GA22" s="153"/>
      <c r="GB22" s="153"/>
      <c r="GC22" s="153"/>
      <c r="GD22" s="153"/>
      <c r="GE22" s="153"/>
      <c r="GF22" s="153"/>
      <c r="GG22" s="153"/>
      <c r="GH22" s="153"/>
      <c r="GI22" s="153"/>
      <c r="GJ22" s="153"/>
      <c r="GK22" s="153"/>
      <c r="GL22" s="153"/>
      <c r="GM22" s="153"/>
      <c r="GN22" s="153"/>
      <c r="GO22" s="153"/>
      <c r="GP22" s="153"/>
      <c r="GQ22" s="153"/>
      <c r="GR22" s="153"/>
      <c r="GS22" s="153"/>
      <c r="GT22" s="153"/>
      <c r="GU22" s="153"/>
      <c r="GV22" s="153"/>
      <c r="GW22" s="153"/>
      <c r="GX22" s="153"/>
      <c r="GY22" s="153"/>
      <c r="GZ22" s="153"/>
      <c r="HA22" s="153"/>
      <c r="HB22" s="153"/>
      <c r="HC22" s="153"/>
      <c r="HD22" s="153"/>
      <c r="HE22" s="153"/>
      <c r="HF22" s="153"/>
      <c r="HG22" s="153"/>
      <c r="HH22" s="153"/>
      <c r="HI22" s="153"/>
      <c r="HJ22" s="153"/>
      <c r="HK22" s="153"/>
      <c r="HL22" s="153"/>
      <c r="HM22" s="153"/>
      <c r="HN22" s="153"/>
      <c r="HO22" s="153"/>
      <c r="HP22" s="153"/>
      <c r="HQ22" s="153"/>
      <c r="HR22" s="153"/>
      <c r="HS22" s="153"/>
      <c r="HT22" s="153"/>
      <c r="HU22" s="153"/>
      <c r="HV22" s="153"/>
      <c r="HW22" s="153"/>
      <c r="HX22" s="153"/>
      <c r="HY22" s="153"/>
      <c r="HZ22" s="153"/>
      <c r="IA22" s="153"/>
      <c r="IB22" s="153"/>
      <c r="IC22" s="153"/>
      <c r="ID22" s="153"/>
      <c r="IE22" s="153"/>
      <c r="IF22" s="153"/>
      <c r="IG22" s="153"/>
      <c r="IH22" s="153"/>
      <c r="II22" s="153"/>
      <c r="IJ22" s="153"/>
      <c r="IK22" s="153"/>
      <c r="IL22" s="153"/>
      <c r="IM22" s="153"/>
      <c r="IN22" s="153"/>
      <c r="IO22" s="153"/>
      <c r="IP22" s="153"/>
      <c r="IQ22" s="153"/>
      <c r="IR22" s="153"/>
      <c r="IS22" s="153"/>
      <c r="IT22" s="153"/>
      <c r="IU22" s="153"/>
      <c r="IV22" s="153"/>
      <c r="IW22" s="153"/>
    </row>
    <row r="23" customFormat="false" ht="12.75" hidden="false" customHeight="false" outlineLevel="0" collapsed="false">
      <c r="A23" s="153"/>
      <c r="B23" s="115" t="s">
        <v>76</v>
      </c>
      <c r="C23" s="160"/>
      <c r="D23" s="163" t="n">
        <f aca="false">+D32+D41+D50</f>
        <v>12.599</v>
      </c>
      <c r="E23" s="163" t="n">
        <f aca="false">+E32+E41+E50</f>
        <v>5.869</v>
      </c>
      <c r="F23" s="163" t="n">
        <f aca="false">+F32+F41+F50</f>
        <v>-10.372</v>
      </c>
      <c r="G23" s="163" t="n">
        <f aca="false">+G32+G41+G50</f>
        <v>-41.682</v>
      </c>
      <c r="H23" s="163" t="n">
        <f aca="false">+H32+H41+H50</f>
        <v>-114.73</v>
      </c>
      <c r="I23" s="163" t="n">
        <f aca="false">+I32+I41+I50</f>
        <v>-107.193</v>
      </c>
      <c r="J23" s="163" t="n">
        <f aca="false">+J32+J41+J50</f>
        <v>-104.818</v>
      </c>
      <c r="K23" s="163" t="n">
        <f aca="false">+K32+K41+K50</f>
        <v>-97.462</v>
      </c>
      <c r="L23" s="163" t="n">
        <f aca="false">+L32+L41+L50</f>
        <v>-112.169</v>
      </c>
      <c r="M23" s="163" t="n">
        <f aca="false">+M32+M41+M50</f>
        <v>0</v>
      </c>
      <c r="N23" s="163" t="n">
        <f aca="false">+N32+N41+N50</f>
        <v>0</v>
      </c>
      <c r="O23" s="164" t="n">
        <f aca="false">+O32+O41+O50</f>
        <v>0</v>
      </c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53"/>
      <c r="BS23" s="153"/>
      <c r="BT23" s="153"/>
      <c r="BU23" s="153"/>
      <c r="BV23" s="153"/>
      <c r="BW23" s="153"/>
      <c r="BX23" s="153"/>
      <c r="BY23" s="153"/>
      <c r="BZ23" s="153"/>
      <c r="CA23" s="153"/>
      <c r="CB23" s="153"/>
      <c r="CC23" s="153"/>
      <c r="CD23" s="153"/>
      <c r="CE23" s="153"/>
      <c r="CF23" s="153"/>
      <c r="CG23" s="153"/>
      <c r="CH23" s="153"/>
      <c r="CI23" s="153"/>
      <c r="CJ23" s="153"/>
      <c r="CK23" s="153"/>
      <c r="CL23" s="153"/>
      <c r="CM23" s="153"/>
      <c r="CN23" s="153"/>
      <c r="CO23" s="153"/>
      <c r="CP23" s="153"/>
      <c r="CQ23" s="153"/>
      <c r="CR23" s="153"/>
      <c r="CS23" s="153"/>
      <c r="CT23" s="153"/>
      <c r="CU23" s="153"/>
      <c r="CV23" s="153"/>
      <c r="CW23" s="153"/>
      <c r="CX23" s="153"/>
      <c r="CY23" s="153"/>
      <c r="CZ23" s="153"/>
      <c r="DA23" s="153"/>
      <c r="DB23" s="153"/>
      <c r="DC23" s="153"/>
      <c r="DD23" s="153"/>
      <c r="DE23" s="153"/>
      <c r="DF23" s="153"/>
      <c r="DG23" s="153"/>
      <c r="DH23" s="153"/>
      <c r="DI23" s="153"/>
      <c r="DJ23" s="153"/>
      <c r="DK23" s="153"/>
      <c r="DL23" s="153"/>
      <c r="DM23" s="153"/>
      <c r="DN23" s="153"/>
      <c r="DO23" s="153"/>
      <c r="DP23" s="153"/>
      <c r="DQ23" s="153"/>
      <c r="DR23" s="153"/>
      <c r="DS23" s="153"/>
      <c r="DT23" s="153"/>
      <c r="DU23" s="153"/>
      <c r="DV23" s="153"/>
      <c r="DW23" s="153"/>
      <c r="DX23" s="153"/>
      <c r="DY23" s="153"/>
      <c r="DZ23" s="153"/>
      <c r="EA23" s="153"/>
      <c r="EB23" s="153"/>
      <c r="EC23" s="153"/>
      <c r="ED23" s="153"/>
      <c r="EE23" s="153"/>
      <c r="EF23" s="153"/>
      <c r="EG23" s="153"/>
      <c r="EH23" s="153"/>
      <c r="EI23" s="153"/>
      <c r="EJ23" s="153"/>
      <c r="EK23" s="153"/>
      <c r="EL23" s="153"/>
      <c r="EM23" s="153"/>
      <c r="EN23" s="153"/>
      <c r="EO23" s="153"/>
      <c r="EP23" s="153"/>
      <c r="EQ23" s="153"/>
      <c r="ER23" s="153"/>
      <c r="ES23" s="153"/>
      <c r="ET23" s="153"/>
      <c r="EU23" s="153"/>
      <c r="EV23" s="153"/>
      <c r="EW23" s="153"/>
      <c r="EX23" s="153"/>
      <c r="EY23" s="153"/>
      <c r="EZ23" s="153"/>
      <c r="FA23" s="153"/>
      <c r="FB23" s="153"/>
      <c r="FC23" s="153"/>
      <c r="FD23" s="153"/>
      <c r="FE23" s="153"/>
      <c r="FF23" s="153"/>
      <c r="FG23" s="153"/>
      <c r="FH23" s="153"/>
      <c r="FI23" s="153"/>
      <c r="FJ23" s="153"/>
      <c r="FK23" s="153"/>
      <c r="FL23" s="153"/>
      <c r="FM23" s="153"/>
      <c r="FN23" s="153"/>
      <c r="FO23" s="153"/>
      <c r="FP23" s="153"/>
      <c r="FQ23" s="153"/>
      <c r="FR23" s="153"/>
      <c r="FS23" s="153"/>
      <c r="FT23" s="153"/>
      <c r="FU23" s="153"/>
      <c r="FV23" s="153"/>
      <c r="FW23" s="153"/>
      <c r="FX23" s="153"/>
      <c r="FY23" s="153"/>
      <c r="FZ23" s="153"/>
      <c r="GA23" s="153"/>
      <c r="GB23" s="153"/>
      <c r="GC23" s="153"/>
      <c r="GD23" s="153"/>
      <c r="GE23" s="153"/>
      <c r="GF23" s="153"/>
      <c r="GG23" s="153"/>
      <c r="GH23" s="153"/>
      <c r="GI23" s="153"/>
      <c r="GJ23" s="153"/>
      <c r="GK23" s="153"/>
      <c r="GL23" s="153"/>
      <c r="GM23" s="153"/>
      <c r="GN23" s="153"/>
      <c r="GO23" s="153"/>
      <c r="GP23" s="153"/>
      <c r="GQ23" s="153"/>
      <c r="GR23" s="153"/>
      <c r="GS23" s="153"/>
      <c r="GT23" s="153"/>
      <c r="GU23" s="153"/>
      <c r="GV23" s="153"/>
      <c r="GW23" s="153"/>
      <c r="GX23" s="153"/>
      <c r="GY23" s="153"/>
      <c r="GZ23" s="153"/>
      <c r="HA23" s="153"/>
      <c r="HB23" s="153"/>
      <c r="HC23" s="153"/>
      <c r="HD23" s="153"/>
      <c r="HE23" s="153"/>
      <c r="HF23" s="153"/>
      <c r="HG23" s="153"/>
      <c r="HH23" s="153"/>
      <c r="HI23" s="153"/>
      <c r="HJ23" s="153"/>
      <c r="HK23" s="153"/>
      <c r="HL23" s="153"/>
      <c r="HM23" s="153"/>
      <c r="HN23" s="153"/>
      <c r="HO23" s="153"/>
      <c r="HP23" s="153"/>
      <c r="HQ23" s="153"/>
      <c r="HR23" s="153"/>
      <c r="HS23" s="153"/>
      <c r="HT23" s="153"/>
      <c r="HU23" s="153"/>
      <c r="HV23" s="153"/>
      <c r="HW23" s="153"/>
      <c r="HX23" s="153"/>
      <c r="HY23" s="153"/>
      <c r="HZ23" s="153"/>
      <c r="IA23" s="153"/>
      <c r="IB23" s="153"/>
      <c r="IC23" s="153"/>
      <c r="ID23" s="153"/>
      <c r="IE23" s="153"/>
      <c r="IF23" s="153"/>
      <c r="IG23" s="153"/>
      <c r="IH23" s="153"/>
      <c r="II23" s="153"/>
      <c r="IJ23" s="153"/>
      <c r="IK23" s="153"/>
      <c r="IL23" s="153"/>
      <c r="IM23" s="153"/>
      <c r="IN23" s="153"/>
      <c r="IO23" s="153"/>
      <c r="IP23" s="153"/>
      <c r="IQ23" s="153"/>
      <c r="IR23" s="153"/>
      <c r="IS23" s="153"/>
      <c r="IT23" s="153"/>
      <c r="IU23" s="153"/>
      <c r="IV23" s="153"/>
      <c r="IW23" s="153"/>
    </row>
    <row r="24" customFormat="false" ht="13.5" hidden="false" customHeight="false" outlineLevel="0" collapsed="false">
      <c r="A24" s="153"/>
      <c r="B24" s="165"/>
      <c r="C24" s="160"/>
      <c r="D24" s="161"/>
      <c r="E24" s="161"/>
      <c r="F24" s="161"/>
      <c r="G24" s="161"/>
      <c r="H24" s="161"/>
      <c r="I24" s="87"/>
      <c r="J24" s="161"/>
      <c r="K24" s="161"/>
      <c r="L24" s="87"/>
      <c r="M24" s="161"/>
      <c r="N24" s="161"/>
      <c r="O24" s="158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  <c r="BO24" s="153"/>
      <c r="BP24" s="153"/>
      <c r="BQ24" s="153"/>
      <c r="BR24" s="153"/>
      <c r="BS24" s="153"/>
      <c r="BT24" s="153"/>
      <c r="BU24" s="153"/>
      <c r="BV24" s="153"/>
      <c r="BW24" s="153"/>
      <c r="BX24" s="153"/>
      <c r="BY24" s="153"/>
      <c r="BZ24" s="153"/>
      <c r="CA24" s="153"/>
      <c r="CB24" s="153"/>
      <c r="CC24" s="153"/>
      <c r="CD24" s="153"/>
      <c r="CE24" s="153"/>
      <c r="CF24" s="153"/>
      <c r="CG24" s="153"/>
      <c r="CH24" s="153"/>
      <c r="CI24" s="153"/>
      <c r="CJ24" s="153"/>
      <c r="CK24" s="153"/>
      <c r="CL24" s="153"/>
      <c r="CM24" s="153"/>
      <c r="CN24" s="153"/>
      <c r="CO24" s="153"/>
      <c r="CP24" s="153"/>
      <c r="CQ24" s="153"/>
      <c r="CR24" s="153"/>
      <c r="CS24" s="153"/>
      <c r="CT24" s="153"/>
      <c r="CU24" s="153"/>
      <c r="CV24" s="153"/>
      <c r="CW24" s="153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  <c r="DH24" s="153"/>
      <c r="DI24" s="153"/>
      <c r="DJ24" s="153"/>
      <c r="DK24" s="153"/>
      <c r="DL24" s="153"/>
      <c r="DM24" s="153"/>
      <c r="DN24" s="153"/>
      <c r="DO24" s="153"/>
      <c r="DP24" s="153"/>
      <c r="DQ24" s="153"/>
      <c r="DR24" s="153"/>
      <c r="DS24" s="153"/>
      <c r="DT24" s="153"/>
      <c r="DU24" s="153"/>
      <c r="DV24" s="153"/>
      <c r="DW24" s="153"/>
      <c r="DX24" s="153"/>
      <c r="DY24" s="153"/>
      <c r="DZ24" s="153"/>
      <c r="EA24" s="153"/>
      <c r="EB24" s="153"/>
      <c r="EC24" s="153"/>
      <c r="ED24" s="153"/>
      <c r="EE24" s="153"/>
      <c r="EF24" s="153"/>
      <c r="EG24" s="153"/>
      <c r="EH24" s="153"/>
      <c r="EI24" s="153"/>
      <c r="EJ24" s="153"/>
      <c r="EK24" s="153"/>
      <c r="EL24" s="153"/>
      <c r="EM24" s="153"/>
      <c r="EN24" s="153"/>
      <c r="EO24" s="153"/>
      <c r="EP24" s="153"/>
      <c r="EQ24" s="153"/>
      <c r="ER24" s="153"/>
      <c r="ES24" s="153"/>
      <c r="ET24" s="153"/>
      <c r="EU24" s="153"/>
      <c r="EV24" s="153"/>
      <c r="EW24" s="153"/>
      <c r="EX24" s="153"/>
      <c r="EY24" s="153"/>
      <c r="EZ24" s="153"/>
      <c r="FA24" s="153"/>
      <c r="FB24" s="153"/>
      <c r="FC24" s="153"/>
      <c r="FD24" s="153"/>
      <c r="FE24" s="153"/>
      <c r="FF24" s="153"/>
      <c r="FG24" s="153"/>
      <c r="FH24" s="153"/>
      <c r="FI24" s="153"/>
      <c r="FJ24" s="153"/>
      <c r="FK24" s="153"/>
      <c r="FL24" s="153"/>
      <c r="FM24" s="153"/>
      <c r="FN24" s="153"/>
      <c r="FO24" s="153"/>
      <c r="FP24" s="153"/>
      <c r="FQ24" s="153"/>
      <c r="FR24" s="153"/>
      <c r="FS24" s="153"/>
      <c r="FT24" s="153"/>
      <c r="FU24" s="153"/>
      <c r="FV24" s="153"/>
      <c r="FW24" s="153"/>
      <c r="FX24" s="153"/>
      <c r="FY24" s="153"/>
      <c r="FZ24" s="153"/>
      <c r="GA24" s="153"/>
      <c r="GB24" s="153"/>
      <c r="GC24" s="153"/>
      <c r="GD24" s="153"/>
      <c r="GE24" s="153"/>
      <c r="GF24" s="153"/>
      <c r="GG24" s="153"/>
      <c r="GH24" s="153"/>
      <c r="GI24" s="153"/>
      <c r="GJ24" s="153"/>
      <c r="GK24" s="153"/>
      <c r="GL24" s="153"/>
      <c r="GM24" s="153"/>
      <c r="GN24" s="153"/>
      <c r="GO24" s="153"/>
      <c r="GP24" s="153"/>
      <c r="GQ24" s="153"/>
      <c r="GR24" s="153"/>
      <c r="GS24" s="153"/>
      <c r="GT24" s="153"/>
      <c r="GU24" s="153"/>
      <c r="GV24" s="153"/>
      <c r="GW24" s="153"/>
      <c r="GX24" s="153"/>
      <c r="GY24" s="153"/>
      <c r="GZ24" s="153"/>
      <c r="HA24" s="153"/>
      <c r="HB24" s="153"/>
      <c r="HC24" s="153"/>
      <c r="HD24" s="153"/>
      <c r="HE24" s="153"/>
      <c r="HF24" s="153"/>
      <c r="HG24" s="153"/>
      <c r="HH24" s="153"/>
      <c r="HI24" s="153"/>
      <c r="HJ24" s="153"/>
      <c r="HK24" s="153"/>
      <c r="HL24" s="153"/>
      <c r="HM24" s="153"/>
      <c r="HN24" s="153"/>
      <c r="HO24" s="153"/>
      <c r="HP24" s="153"/>
      <c r="HQ24" s="153"/>
      <c r="HR24" s="153"/>
      <c r="HS24" s="153"/>
      <c r="HT24" s="153"/>
      <c r="HU24" s="153"/>
      <c r="HV24" s="153"/>
      <c r="HW24" s="153"/>
      <c r="HX24" s="153"/>
      <c r="HY24" s="153"/>
      <c r="HZ24" s="153"/>
      <c r="IA24" s="153"/>
      <c r="IB24" s="153"/>
      <c r="IC24" s="153"/>
      <c r="ID24" s="153"/>
      <c r="IE24" s="153"/>
      <c r="IF24" s="153"/>
      <c r="IG24" s="153"/>
      <c r="IH24" s="153"/>
      <c r="II24" s="153"/>
      <c r="IJ24" s="153"/>
      <c r="IK24" s="153"/>
      <c r="IL24" s="153"/>
      <c r="IM24" s="153"/>
      <c r="IN24" s="153"/>
      <c r="IO24" s="153"/>
      <c r="IP24" s="153"/>
      <c r="IQ24" s="153"/>
      <c r="IR24" s="153"/>
      <c r="IS24" s="153"/>
      <c r="IT24" s="153"/>
      <c r="IU24" s="153"/>
      <c r="IV24" s="153"/>
      <c r="IW24" s="153"/>
    </row>
    <row r="25" customFormat="false" ht="12.75" hidden="false" customHeight="false" outlineLevel="0" collapsed="false">
      <c r="A25" s="153"/>
      <c r="B25" s="151" t="s">
        <v>99</v>
      </c>
      <c r="C25" s="112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4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  <c r="BO25" s="153"/>
      <c r="BP25" s="153"/>
      <c r="BQ25" s="153"/>
      <c r="BR25" s="153"/>
      <c r="BS25" s="153"/>
      <c r="BT25" s="153"/>
      <c r="BU25" s="153"/>
      <c r="BV25" s="153"/>
      <c r="BW25" s="153"/>
      <c r="BX25" s="153"/>
      <c r="BY25" s="153"/>
      <c r="BZ25" s="153"/>
      <c r="CA25" s="153"/>
      <c r="CB25" s="153"/>
      <c r="CC25" s="153"/>
      <c r="CD25" s="153"/>
      <c r="CE25" s="153"/>
      <c r="CF25" s="153"/>
      <c r="CG25" s="153"/>
      <c r="CH25" s="153"/>
      <c r="CI25" s="153"/>
      <c r="CJ25" s="153"/>
      <c r="CK25" s="153"/>
      <c r="CL25" s="153"/>
      <c r="CM25" s="153"/>
      <c r="CN25" s="153"/>
      <c r="CO25" s="153"/>
      <c r="CP25" s="153"/>
      <c r="CQ25" s="153"/>
      <c r="CR25" s="153"/>
      <c r="CS25" s="153"/>
      <c r="CT25" s="153"/>
      <c r="CU25" s="153"/>
      <c r="CV25" s="153"/>
      <c r="CW25" s="153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  <c r="DH25" s="153"/>
      <c r="DI25" s="153"/>
      <c r="DJ25" s="153"/>
      <c r="DK25" s="153"/>
      <c r="DL25" s="153"/>
      <c r="DM25" s="153"/>
      <c r="DN25" s="153"/>
      <c r="DO25" s="153"/>
      <c r="DP25" s="153"/>
      <c r="DQ25" s="153"/>
      <c r="DR25" s="153"/>
      <c r="DS25" s="153"/>
      <c r="DT25" s="153"/>
      <c r="DU25" s="153"/>
      <c r="DV25" s="153"/>
      <c r="DW25" s="153"/>
      <c r="DX25" s="153"/>
      <c r="DY25" s="153"/>
      <c r="DZ25" s="153"/>
      <c r="EA25" s="153"/>
      <c r="EB25" s="153"/>
      <c r="EC25" s="153"/>
      <c r="ED25" s="153"/>
      <c r="EE25" s="153"/>
      <c r="EF25" s="153"/>
      <c r="EG25" s="153"/>
      <c r="EH25" s="153"/>
      <c r="EI25" s="153"/>
      <c r="EJ25" s="153"/>
      <c r="EK25" s="153"/>
      <c r="EL25" s="153"/>
      <c r="EM25" s="153"/>
      <c r="EN25" s="153"/>
      <c r="EO25" s="153"/>
      <c r="EP25" s="153"/>
      <c r="EQ25" s="153"/>
      <c r="ER25" s="153"/>
      <c r="ES25" s="153"/>
      <c r="ET25" s="153"/>
      <c r="EU25" s="153"/>
      <c r="EV25" s="153"/>
      <c r="EW25" s="153"/>
      <c r="EX25" s="153"/>
      <c r="EY25" s="153"/>
      <c r="EZ25" s="153"/>
      <c r="FA25" s="153"/>
      <c r="FB25" s="153"/>
      <c r="FC25" s="153"/>
      <c r="FD25" s="153"/>
      <c r="FE25" s="153"/>
      <c r="FF25" s="153"/>
      <c r="FG25" s="153"/>
      <c r="FH25" s="153"/>
      <c r="FI25" s="153"/>
      <c r="FJ25" s="153"/>
      <c r="FK25" s="153"/>
      <c r="FL25" s="153"/>
      <c r="FM25" s="153"/>
      <c r="FN25" s="153"/>
      <c r="FO25" s="153"/>
      <c r="FP25" s="153"/>
      <c r="FQ25" s="153"/>
      <c r="FR25" s="153"/>
      <c r="FS25" s="153"/>
      <c r="FT25" s="153"/>
      <c r="FU25" s="153"/>
      <c r="FV25" s="153"/>
      <c r="FW25" s="153"/>
      <c r="FX25" s="153"/>
      <c r="FY25" s="153"/>
      <c r="FZ25" s="153"/>
      <c r="GA25" s="153"/>
      <c r="GB25" s="153"/>
      <c r="GC25" s="153"/>
      <c r="GD25" s="153"/>
      <c r="GE25" s="153"/>
      <c r="GF25" s="153"/>
      <c r="GG25" s="153"/>
      <c r="GH25" s="153"/>
      <c r="GI25" s="153"/>
      <c r="GJ25" s="153"/>
      <c r="GK25" s="153"/>
      <c r="GL25" s="153"/>
      <c r="GM25" s="153"/>
      <c r="GN25" s="153"/>
      <c r="GO25" s="153"/>
      <c r="GP25" s="153"/>
      <c r="GQ25" s="153"/>
      <c r="GR25" s="153"/>
      <c r="GS25" s="153"/>
      <c r="GT25" s="153"/>
      <c r="GU25" s="153"/>
      <c r="GV25" s="153"/>
      <c r="GW25" s="153"/>
      <c r="GX25" s="153"/>
      <c r="GY25" s="153"/>
      <c r="GZ25" s="153"/>
      <c r="HA25" s="153"/>
      <c r="HB25" s="153"/>
      <c r="HC25" s="153"/>
      <c r="HD25" s="153"/>
      <c r="HE25" s="153"/>
      <c r="HF25" s="153"/>
      <c r="HG25" s="153"/>
      <c r="HH25" s="153"/>
      <c r="HI25" s="153"/>
      <c r="HJ25" s="153"/>
      <c r="HK25" s="153"/>
      <c r="HL25" s="153"/>
      <c r="HM25" s="153"/>
      <c r="HN25" s="153"/>
      <c r="HO25" s="153"/>
      <c r="HP25" s="153"/>
      <c r="HQ25" s="153"/>
      <c r="HR25" s="153"/>
      <c r="HS25" s="153"/>
      <c r="HT25" s="153"/>
      <c r="HU25" s="153"/>
      <c r="HV25" s="153"/>
      <c r="HW25" s="153"/>
      <c r="HX25" s="153"/>
      <c r="HY25" s="153"/>
      <c r="HZ25" s="153"/>
      <c r="IA25" s="153"/>
      <c r="IB25" s="153"/>
      <c r="IC25" s="153"/>
      <c r="ID25" s="153"/>
      <c r="IE25" s="153"/>
      <c r="IF25" s="153"/>
      <c r="IG25" s="153"/>
      <c r="IH25" s="153"/>
      <c r="II25" s="153"/>
      <c r="IJ25" s="153"/>
      <c r="IK25" s="153"/>
      <c r="IL25" s="153"/>
      <c r="IM25" s="153"/>
      <c r="IN25" s="153"/>
      <c r="IO25" s="153"/>
      <c r="IP25" s="153"/>
      <c r="IQ25" s="153"/>
      <c r="IR25" s="153"/>
      <c r="IS25" s="153"/>
      <c r="IT25" s="153"/>
      <c r="IU25" s="153"/>
      <c r="IV25" s="153"/>
      <c r="IW25" s="153"/>
    </row>
    <row r="26" customFormat="false" ht="12.75" hidden="false" customHeight="false" outlineLevel="0" collapsed="false">
      <c r="A26" s="153"/>
      <c r="B26" s="152" t="s">
        <v>74</v>
      </c>
      <c r="C26" s="116"/>
      <c r="D26" s="118" t="s">
        <v>14</v>
      </c>
      <c r="E26" s="118" t="s">
        <v>15</v>
      </c>
      <c r="F26" s="118" t="s">
        <v>16</v>
      </c>
      <c r="G26" s="118" t="s">
        <v>17</v>
      </c>
      <c r="H26" s="118" t="s">
        <v>18</v>
      </c>
      <c r="I26" s="118" t="s">
        <v>19</v>
      </c>
      <c r="J26" s="118" t="s">
        <v>20</v>
      </c>
      <c r="K26" s="118" t="s">
        <v>21</v>
      </c>
      <c r="L26" s="118" t="s">
        <v>68</v>
      </c>
      <c r="M26" s="118" t="s">
        <v>23</v>
      </c>
      <c r="N26" s="118" t="s">
        <v>24</v>
      </c>
      <c r="O26" s="119" t="s">
        <v>25</v>
      </c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  <c r="BQ26" s="153"/>
      <c r="BR26" s="153"/>
      <c r="BS26" s="153"/>
      <c r="BT26" s="153"/>
      <c r="BU26" s="153"/>
      <c r="BV26" s="153"/>
      <c r="BW26" s="153"/>
      <c r="BX26" s="153"/>
      <c r="BY26" s="153"/>
      <c r="BZ26" s="153"/>
      <c r="CA26" s="153"/>
      <c r="CB26" s="153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3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3"/>
      <c r="DX26" s="153"/>
      <c r="DY26" s="153"/>
      <c r="DZ26" s="153"/>
      <c r="EA26" s="153"/>
      <c r="EB26" s="153"/>
      <c r="EC26" s="153"/>
      <c r="ED26" s="153"/>
      <c r="EE26" s="153"/>
      <c r="EF26" s="153"/>
      <c r="EG26" s="153"/>
      <c r="EH26" s="153"/>
      <c r="EI26" s="153"/>
      <c r="EJ26" s="153"/>
      <c r="EK26" s="153"/>
      <c r="EL26" s="153"/>
      <c r="EM26" s="153"/>
      <c r="EN26" s="153"/>
      <c r="EO26" s="153"/>
      <c r="EP26" s="153"/>
      <c r="EQ26" s="153"/>
      <c r="ER26" s="153"/>
      <c r="ES26" s="153"/>
      <c r="ET26" s="153"/>
      <c r="EU26" s="153"/>
      <c r="EV26" s="153"/>
      <c r="EW26" s="153"/>
      <c r="EX26" s="153"/>
      <c r="EY26" s="153"/>
      <c r="EZ26" s="153"/>
      <c r="FA26" s="153"/>
      <c r="FB26" s="153"/>
      <c r="FC26" s="153"/>
      <c r="FD26" s="153"/>
      <c r="FE26" s="153"/>
      <c r="FF26" s="153"/>
      <c r="FG26" s="153"/>
      <c r="FH26" s="153"/>
      <c r="FI26" s="153"/>
      <c r="FJ26" s="153"/>
      <c r="FK26" s="153"/>
      <c r="FL26" s="153"/>
      <c r="FM26" s="153"/>
      <c r="FN26" s="153"/>
      <c r="FO26" s="153"/>
      <c r="FP26" s="153"/>
      <c r="FQ26" s="153"/>
      <c r="FR26" s="153"/>
      <c r="FS26" s="153"/>
      <c r="FT26" s="153"/>
      <c r="FU26" s="153"/>
      <c r="FV26" s="153"/>
      <c r="FW26" s="153"/>
      <c r="FX26" s="153"/>
      <c r="FY26" s="153"/>
      <c r="FZ26" s="153"/>
      <c r="GA26" s="153"/>
      <c r="GB26" s="153"/>
      <c r="GC26" s="153"/>
      <c r="GD26" s="153"/>
      <c r="GE26" s="153"/>
      <c r="GF26" s="153"/>
      <c r="GG26" s="153"/>
      <c r="GH26" s="153"/>
      <c r="GI26" s="153"/>
      <c r="GJ26" s="153"/>
      <c r="GK26" s="153"/>
      <c r="GL26" s="153"/>
      <c r="GM26" s="153"/>
      <c r="GN26" s="153"/>
      <c r="GO26" s="153"/>
      <c r="GP26" s="153"/>
      <c r="GQ26" s="153"/>
      <c r="GR26" s="153"/>
      <c r="GS26" s="153"/>
      <c r="GT26" s="153"/>
      <c r="GU26" s="153"/>
      <c r="GV26" s="153"/>
      <c r="GW26" s="153"/>
      <c r="GX26" s="153"/>
      <c r="GY26" s="153"/>
      <c r="GZ26" s="153"/>
      <c r="HA26" s="153"/>
      <c r="HB26" s="153"/>
      <c r="HC26" s="153"/>
      <c r="HD26" s="153"/>
      <c r="HE26" s="153"/>
      <c r="HF26" s="153"/>
      <c r="HG26" s="153"/>
      <c r="HH26" s="153"/>
      <c r="HI26" s="153"/>
      <c r="HJ26" s="153"/>
      <c r="HK26" s="153"/>
      <c r="HL26" s="153"/>
      <c r="HM26" s="153"/>
      <c r="HN26" s="153"/>
      <c r="HO26" s="153"/>
      <c r="HP26" s="153"/>
      <c r="HQ26" s="153"/>
      <c r="HR26" s="153"/>
      <c r="HS26" s="153"/>
      <c r="HT26" s="153"/>
      <c r="HU26" s="153"/>
      <c r="HV26" s="153"/>
      <c r="HW26" s="153"/>
      <c r="HX26" s="153"/>
      <c r="HY26" s="153"/>
      <c r="HZ26" s="153"/>
      <c r="IA26" s="153"/>
      <c r="IB26" s="153"/>
      <c r="IC26" s="153"/>
      <c r="ID26" s="153"/>
      <c r="IE26" s="153"/>
      <c r="IF26" s="153"/>
      <c r="IG26" s="153"/>
      <c r="IH26" s="153"/>
      <c r="II26" s="153"/>
      <c r="IJ26" s="153"/>
      <c r="IK26" s="153"/>
      <c r="IL26" s="153"/>
      <c r="IM26" s="153"/>
      <c r="IN26" s="153"/>
      <c r="IO26" s="153"/>
      <c r="IP26" s="153"/>
      <c r="IQ26" s="153"/>
      <c r="IR26" s="153"/>
      <c r="IS26" s="153"/>
      <c r="IT26" s="153"/>
      <c r="IU26" s="153"/>
      <c r="IV26" s="153"/>
      <c r="IW26" s="153"/>
    </row>
    <row r="27" customFormat="false" ht="12.75" hidden="false" customHeight="false" outlineLevel="0" collapsed="false">
      <c r="A27" s="153"/>
      <c r="B27" s="115" t="s">
        <v>75</v>
      </c>
      <c r="C27" s="116"/>
      <c r="D27" s="120" t="n">
        <v>-0.042</v>
      </c>
      <c r="E27" s="120" t="n">
        <v>1.376</v>
      </c>
      <c r="F27" s="120" t="n">
        <v>17.145</v>
      </c>
      <c r="G27" s="120" t="n">
        <v>-3.687</v>
      </c>
      <c r="H27" s="120" t="n">
        <v>-0.854</v>
      </c>
      <c r="I27" s="120" t="n">
        <v>-1.464</v>
      </c>
      <c r="J27" s="120" t="n">
        <v>-2.783</v>
      </c>
      <c r="K27" s="120" t="n">
        <v>-8.838</v>
      </c>
      <c r="L27" s="120" t="n">
        <v>-27.064</v>
      </c>
      <c r="M27" s="120"/>
      <c r="N27" s="120"/>
      <c r="O27" s="121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153"/>
      <c r="BP27" s="153"/>
      <c r="BQ27" s="153"/>
      <c r="BR27" s="153"/>
      <c r="BS27" s="153"/>
      <c r="BT27" s="153"/>
      <c r="BU27" s="153"/>
      <c r="BV27" s="153"/>
      <c r="BW27" s="153"/>
      <c r="BX27" s="153"/>
      <c r="BY27" s="153"/>
      <c r="BZ27" s="153"/>
      <c r="CA27" s="153"/>
      <c r="CB27" s="153"/>
      <c r="CC27" s="153"/>
      <c r="CD27" s="153"/>
      <c r="CE27" s="153"/>
      <c r="CF27" s="153"/>
      <c r="CG27" s="153"/>
      <c r="CH27" s="153"/>
      <c r="CI27" s="153"/>
      <c r="CJ27" s="153"/>
      <c r="CK27" s="153"/>
      <c r="CL27" s="153"/>
      <c r="CM27" s="153"/>
      <c r="CN27" s="153"/>
      <c r="CO27" s="153"/>
      <c r="CP27" s="153"/>
      <c r="CQ27" s="153"/>
      <c r="CR27" s="153"/>
      <c r="CS27" s="153"/>
      <c r="CT27" s="153"/>
      <c r="CU27" s="153"/>
      <c r="CV27" s="153"/>
      <c r="CW27" s="153"/>
      <c r="CX27" s="153"/>
      <c r="CY27" s="153"/>
      <c r="CZ27" s="153"/>
      <c r="DA27" s="153"/>
      <c r="DB27" s="153"/>
      <c r="DC27" s="153"/>
      <c r="DD27" s="153"/>
      <c r="DE27" s="153"/>
      <c r="DF27" s="153"/>
      <c r="DG27" s="153"/>
      <c r="DH27" s="153"/>
      <c r="DI27" s="153"/>
      <c r="DJ27" s="153"/>
      <c r="DK27" s="153"/>
      <c r="DL27" s="153"/>
      <c r="DM27" s="153"/>
      <c r="DN27" s="153"/>
      <c r="DO27" s="153"/>
      <c r="DP27" s="153"/>
      <c r="DQ27" s="153"/>
      <c r="DR27" s="153"/>
      <c r="DS27" s="153"/>
      <c r="DT27" s="153"/>
      <c r="DU27" s="153"/>
      <c r="DV27" s="153"/>
      <c r="DW27" s="153"/>
      <c r="DX27" s="153"/>
      <c r="DY27" s="153"/>
      <c r="DZ27" s="153"/>
      <c r="EA27" s="153"/>
      <c r="EB27" s="153"/>
      <c r="EC27" s="153"/>
      <c r="ED27" s="153"/>
      <c r="EE27" s="153"/>
      <c r="EF27" s="153"/>
      <c r="EG27" s="153"/>
      <c r="EH27" s="153"/>
      <c r="EI27" s="153"/>
      <c r="EJ27" s="153"/>
      <c r="EK27" s="153"/>
      <c r="EL27" s="153"/>
      <c r="EM27" s="153"/>
      <c r="EN27" s="153"/>
      <c r="EO27" s="153"/>
      <c r="EP27" s="153"/>
      <c r="EQ27" s="153"/>
      <c r="ER27" s="153"/>
      <c r="ES27" s="153"/>
      <c r="ET27" s="153"/>
      <c r="EU27" s="153"/>
      <c r="EV27" s="153"/>
      <c r="EW27" s="153"/>
      <c r="EX27" s="153"/>
      <c r="EY27" s="153"/>
      <c r="EZ27" s="153"/>
      <c r="FA27" s="153"/>
      <c r="FB27" s="153"/>
      <c r="FC27" s="153"/>
      <c r="FD27" s="153"/>
      <c r="FE27" s="153"/>
      <c r="FF27" s="153"/>
      <c r="FG27" s="153"/>
      <c r="FH27" s="153"/>
      <c r="FI27" s="153"/>
      <c r="FJ27" s="153"/>
      <c r="FK27" s="153"/>
      <c r="FL27" s="153"/>
      <c r="FM27" s="153"/>
      <c r="FN27" s="153"/>
      <c r="FO27" s="153"/>
      <c r="FP27" s="153"/>
      <c r="FQ27" s="153"/>
      <c r="FR27" s="153"/>
      <c r="FS27" s="153"/>
      <c r="FT27" s="153"/>
      <c r="FU27" s="153"/>
      <c r="FV27" s="153"/>
      <c r="FW27" s="153"/>
      <c r="FX27" s="153"/>
      <c r="FY27" s="153"/>
      <c r="FZ27" s="153"/>
      <c r="GA27" s="153"/>
      <c r="GB27" s="153"/>
      <c r="GC27" s="153"/>
      <c r="GD27" s="153"/>
      <c r="GE27" s="153"/>
      <c r="GF27" s="153"/>
      <c r="GG27" s="153"/>
      <c r="GH27" s="153"/>
      <c r="GI27" s="153"/>
      <c r="GJ27" s="153"/>
      <c r="GK27" s="153"/>
      <c r="GL27" s="153"/>
      <c r="GM27" s="153"/>
      <c r="GN27" s="153"/>
      <c r="GO27" s="153"/>
      <c r="GP27" s="153"/>
      <c r="GQ27" s="153"/>
      <c r="GR27" s="153"/>
      <c r="GS27" s="153"/>
      <c r="GT27" s="153"/>
      <c r="GU27" s="153"/>
      <c r="GV27" s="153"/>
      <c r="GW27" s="153"/>
      <c r="GX27" s="153"/>
      <c r="GY27" s="153"/>
      <c r="GZ27" s="153"/>
      <c r="HA27" s="153"/>
      <c r="HB27" s="153"/>
      <c r="HC27" s="153"/>
      <c r="HD27" s="153"/>
      <c r="HE27" s="153"/>
      <c r="HF27" s="153"/>
      <c r="HG27" s="153"/>
      <c r="HH27" s="153"/>
      <c r="HI27" s="153"/>
      <c r="HJ27" s="153"/>
      <c r="HK27" s="153"/>
      <c r="HL27" s="153"/>
      <c r="HM27" s="153"/>
      <c r="HN27" s="153"/>
      <c r="HO27" s="153"/>
      <c r="HP27" s="153"/>
      <c r="HQ27" s="153"/>
      <c r="HR27" s="153"/>
      <c r="HS27" s="153"/>
      <c r="HT27" s="153"/>
      <c r="HU27" s="153"/>
      <c r="HV27" s="153"/>
      <c r="HW27" s="153"/>
      <c r="HX27" s="153"/>
      <c r="HY27" s="153"/>
      <c r="HZ27" s="153"/>
      <c r="IA27" s="153"/>
      <c r="IB27" s="153"/>
      <c r="IC27" s="153"/>
      <c r="ID27" s="153"/>
      <c r="IE27" s="153"/>
      <c r="IF27" s="153"/>
      <c r="IG27" s="153"/>
      <c r="IH27" s="153"/>
      <c r="II27" s="153"/>
      <c r="IJ27" s="153"/>
      <c r="IK27" s="153"/>
      <c r="IL27" s="153"/>
      <c r="IM27" s="153"/>
      <c r="IN27" s="153"/>
      <c r="IO27" s="153"/>
      <c r="IP27" s="153"/>
      <c r="IQ27" s="153"/>
      <c r="IR27" s="153"/>
      <c r="IS27" s="153"/>
      <c r="IT27" s="153"/>
      <c r="IU27" s="153"/>
      <c r="IV27" s="153"/>
      <c r="IW27" s="153"/>
    </row>
    <row r="28" customFormat="false" ht="12.75" hidden="false" customHeight="false" outlineLevel="0" collapsed="false">
      <c r="A28" s="153"/>
      <c r="B28" s="115" t="s">
        <v>76</v>
      </c>
      <c r="C28" s="116"/>
      <c r="D28" s="122" t="n">
        <f aca="false">SUM($C27:D27)</f>
        <v>-0.042</v>
      </c>
      <c r="E28" s="122" t="n">
        <f aca="false">SUM($D27:E27)</f>
        <v>1.334</v>
      </c>
      <c r="F28" s="122" t="n">
        <f aca="false">SUM($D27:F27)</f>
        <v>18.479</v>
      </c>
      <c r="G28" s="122" t="n">
        <f aca="false">SUM($D27:G27)</f>
        <v>14.792</v>
      </c>
      <c r="H28" s="122" t="n">
        <f aca="false">SUM($D27:H27)</f>
        <v>13.938</v>
      </c>
      <c r="I28" s="122" t="n">
        <f aca="false">SUM($D27:I27)</f>
        <v>12.474</v>
      </c>
      <c r="J28" s="122" t="n">
        <f aca="false">SUM($D27:J27)</f>
        <v>9.691</v>
      </c>
      <c r="K28" s="122" t="n">
        <f aca="false">SUM($D27:K27)</f>
        <v>0.853</v>
      </c>
      <c r="L28" s="122" t="n">
        <f aca="false">SUM($D27:L27)</f>
        <v>-26.211</v>
      </c>
      <c r="M28" s="122"/>
      <c r="N28" s="122"/>
      <c r="O28" s="12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153"/>
      <c r="DW28" s="153"/>
      <c r="DX28" s="153"/>
      <c r="DY28" s="153"/>
      <c r="DZ28" s="153"/>
      <c r="EA28" s="153"/>
      <c r="EB28" s="153"/>
      <c r="EC28" s="153"/>
      <c r="ED28" s="153"/>
      <c r="EE28" s="153"/>
      <c r="EF28" s="153"/>
      <c r="EG28" s="153"/>
      <c r="EH28" s="153"/>
      <c r="EI28" s="153"/>
      <c r="EJ28" s="153"/>
      <c r="EK28" s="153"/>
      <c r="EL28" s="153"/>
      <c r="EM28" s="153"/>
      <c r="EN28" s="153"/>
      <c r="EO28" s="153"/>
      <c r="EP28" s="153"/>
      <c r="EQ28" s="153"/>
      <c r="ER28" s="153"/>
      <c r="ES28" s="153"/>
      <c r="ET28" s="153"/>
      <c r="EU28" s="153"/>
      <c r="EV28" s="153"/>
      <c r="EW28" s="153"/>
      <c r="EX28" s="153"/>
      <c r="EY28" s="153"/>
      <c r="EZ28" s="153"/>
      <c r="FA28" s="153"/>
      <c r="FB28" s="153"/>
      <c r="FC28" s="153"/>
      <c r="FD28" s="153"/>
      <c r="FE28" s="153"/>
      <c r="FF28" s="153"/>
      <c r="FG28" s="153"/>
      <c r="FH28" s="153"/>
      <c r="FI28" s="153"/>
      <c r="FJ28" s="153"/>
      <c r="FK28" s="153"/>
      <c r="FL28" s="153"/>
      <c r="FM28" s="153"/>
      <c r="FN28" s="153"/>
      <c r="FO28" s="153"/>
      <c r="FP28" s="153"/>
      <c r="FQ28" s="153"/>
      <c r="FR28" s="153"/>
      <c r="FS28" s="153"/>
      <c r="FT28" s="153"/>
      <c r="FU28" s="153"/>
      <c r="FV28" s="153"/>
      <c r="FW28" s="153"/>
      <c r="FX28" s="153"/>
      <c r="FY28" s="153"/>
      <c r="FZ28" s="153"/>
      <c r="GA28" s="153"/>
      <c r="GB28" s="153"/>
      <c r="GC28" s="153"/>
      <c r="GD28" s="153"/>
      <c r="GE28" s="153"/>
      <c r="GF28" s="153"/>
      <c r="GG28" s="153"/>
      <c r="GH28" s="153"/>
      <c r="GI28" s="153"/>
      <c r="GJ28" s="153"/>
      <c r="GK28" s="153"/>
      <c r="GL28" s="153"/>
      <c r="GM28" s="153"/>
      <c r="GN28" s="153"/>
      <c r="GO28" s="153"/>
      <c r="GP28" s="153"/>
      <c r="GQ28" s="153"/>
      <c r="GR28" s="153"/>
      <c r="GS28" s="153"/>
      <c r="GT28" s="153"/>
      <c r="GU28" s="153"/>
      <c r="GV28" s="153"/>
      <c r="GW28" s="153"/>
      <c r="GX28" s="153"/>
      <c r="GY28" s="153"/>
      <c r="GZ28" s="153"/>
      <c r="HA28" s="153"/>
      <c r="HB28" s="153"/>
      <c r="HC28" s="153"/>
      <c r="HD28" s="153"/>
      <c r="HE28" s="153"/>
      <c r="HF28" s="153"/>
      <c r="HG28" s="153"/>
      <c r="HH28" s="153"/>
      <c r="HI28" s="153"/>
      <c r="HJ28" s="153"/>
      <c r="HK28" s="153"/>
      <c r="HL28" s="153"/>
      <c r="HM28" s="153"/>
      <c r="HN28" s="153"/>
      <c r="HO28" s="153"/>
      <c r="HP28" s="153"/>
      <c r="HQ28" s="153"/>
      <c r="HR28" s="153"/>
      <c r="HS28" s="153"/>
      <c r="HT28" s="153"/>
      <c r="HU28" s="153"/>
      <c r="HV28" s="153"/>
      <c r="HW28" s="153"/>
      <c r="HX28" s="153"/>
      <c r="HY28" s="153"/>
      <c r="HZ28" s="153"/>
      <c r="IA28" s="153"/>
      <c r="IB28" s="153"/>
      <c r="IC28" s="153"/>
      <c r="ID28" s="153"/>
      <c r="IE28" s="153"/>
      <c r="IF28" s="153"/>
      <c r="IG28" s="153"/>
      <c r="IH28" s="153"/>
      <c r="II28" s="153"/>
      <c r="IJ28" s="153"/>
      <c r="IK28" s="153"/>
      <c r="IL28" s="153"/>
      <c r="IM28" s="153"/>
      <c r="IN28" s="153"/>
      <c r="IO28" s="153"/>
      <c r="IP28" s="153"/>
      <c r="IQ28" s="153"/>
      <c r="IR28" s="153"/>
      <c r="IS28" s="153"/>
      <c r="IT28" s="153"/>
      <c r="IU28" s="153"/>
      <c r="IV28" s="153"/>
      <c r="IW28" s="153"/>
    </row>
    <row r="29" customFormat="false" ht="12.75" hidden="false" customHeight="false" outlineLevel="0" collapsed="false">
      <c r="A29" s="153"/>
      <c r="B29" s="115"/>
      <c r="C29" s="11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  <c r="DH29" s="153"/>
      <c r="DI29" s="153"/>
      <c r="DJ29" s="153"/>
      <c r="DK29" s="153"/>
      <c r="DL29" s="153"/>
      <c r="DM29" s="153"/>
      <c r="DN29" s="153"/>
      <c r="DO29" s="153"/>
      <c r="DP29" s="153"/>
      <c r="DQ29" s="153"/>
      <c r="DR29" s="153"/>
      <c r="DS29" s="153"/>
      <c r="DT29" s="153"/>
      <c r="DU29" s="153"/>
      <c r="DV29" s="153"/>
      <c r="DW29" s="153"/>
      <c r="DX29" s="153"/>
      <c r="DY29" s="153"/>
      <c r="DZ29" s="153"/>
      <c r="EA29" s="153"/>
      <c r="EB29" s="153"/>
      <c r="EC29" s="153"/>
      <c r="ED29" s="153"/>
      <c r="EE29" s="153"/>
      <c r="EF29" s="153"/>
      <c r="EG29" s="153"/>
      <c r="EH29" s="153"/>
      <c r="EI29" s="153"/>
      <c r="EJ29" s="153"/>
      <c r="EK29" s="153"/>
      <c r="EL29" s="153"/>
      <c r="EM29" s="153"/>
      <c r="EN29" s="153"/>
      <c r="EO29" s="153"/>
      <c r="EP29" s="153"/>
      <c r="EQ29" s="153"/>
      <c r="ER29" s="153"/>
      <c r="ES29" s="153"/>
      <c r="ET29" s="153"/>
      <c r="EU29" s="153"/>
      <c r="EV29" s="153"/>
      <c r="EW29" s="153"/>
      <c r="EX29" s="153"/>
      <c r="EY29" s="153"/>
      <c r="EZ29" s="153"/>
      <c r="FA29" s="153"/>
      <c r="FB29" s="153"/>
      <c r="FC29" s="153"/>
      <c r="FD29" s="153"/>
      <c r="FE29" s="153"/>
      <c r="FF29" s="153"/>
      <c r="FG29" s="153"/>
      <c r="FH29" s="153"/>
      <c r="FI29" s="153"/>
      <c r="FJ29" s="153"/>
      <c r="FK29" s="153"/>
      <c r="FL29" s="153"/>
      <c r="FM29" s="153"/>
      <c r="FN29" s="153"/>
      <c r="FO29" s="153"/>
      <c r="FP29" s="153"/>
      <c r="FQ29" s="153"/>
      <c r="FR29" s="153"/>
      <c r="FS29" s="153"/>
      <c r="FT29" s="153"/>
      <c r="FU29" s="153"/>
      <c r="FV29" s="153"/>
      <c r="FW29" s="153"/>
      <c r="FX29" s="153"/>
      <c r="FY29" s="153"/>
      <c r="FZ29" s="153"/>
      <c r="GA29" s="153"/>
      <c r="GB29" s="153"/>
      <c r="GC29" s="153"/>
      <c r="GD29" s="153"/>
      <c r="GE29" s="153"/>
      <c r="GF29" s="153"/>
      <c r="GG29" s="153"/>
      <c r="GH29" s="153"/>
      <c r="GI29" s="153"/>
      <c r="GJ29" s="153"/>
      <c r="GK29" s="153"/>
      <c r="GL29" s="153"/>
      <c r="GM29" s="153"/>
      <c r="GN29" s="153"/>
      <c r="GO29" s="153"/>
      <c r="GP29" s="153"/>
      <c r="GQ29" s="153"/>
      <c r="GR29" s="153"/>
      <c r="GS29" s="153"/>
      <c r="GT29" s="153"/>
      <c r="GU29" s="153"/>
      <c r="GV29" s="153"/>
      <c r="GW29" s="153"/>
      <c r="GX29" s="153"/>
      <c r="GY29" s="153"/>
      <c r="GZ29" s="153"/>
      <c r="HA29" s="153"/>
      <c r="HB29" s="153"/>
      <c r="HC29" s="153"/>
      <c r="HD29" s="153"/>
      <c r="HE29" s="153"/>
      <c r="HF29" s="153"/>
      <c r="HG29" s="153"/>
      <c r="HH29" s="153"/>
      <c r="HI29" s="153"/>
      <c r="HJ29" s="153"/>
      <c r="HK29" s="153"/>
      <c r="HL29" s="153"/>
      <c r="HM29" s="153"/>
      <c r="HN29" s="153"/>
      <c r="HO29" s="153"/>
      <c r="HP29" s="153"/>
      <c r="HQ29" s="153"/>
      <c r="HR29" s="153"/>
      <c r="HS29" s="153"/>
      <c r="HT29" s="153"/>
      <c r="HU29" s="153"/>
      <c r="HV29" s="153"/>
      <c r="HW29" s="153"/>
      <c r="HX29" s="153"/>
      <c r="HY29" s="153"/>
      <c r="HZ29" s="153"/>
      <c r="IA29" s="153"/>
      <c r="IB29" s="153"/>
      <c r="IC29" s="153"/>
      <c r="ID29" s="153"/>
      <c r="IE29" s="153"/>
      <c r="IF29" s="153"/>
      <c r="IG29" s="153"/>
      <c r="IH29" s="153"/>
      <c r="II29" s="153"/>
      <c r="IJ29" s="153"/>
      <c r="IK29" s="153"/>
      <c r="IL29" s="153"/>
      <c r="IM29" s="153"/>
      <c r="IN29" s="153"/>
      <c r="IO29" s="153"/>
      <c r="IP29" s="153"/>
      <c r="IQ29" s="153"/>
      <c r="IR29" s="153"/>
      <c r="IS29" s="153"/>
      <c r="IT29" s="153"/>
      <c r="IU29" s="153"/>
      <c r="IV29" s="153"/>
      <c r="IW29" s="153"/>
    </row>
    <row r="30" customFormat="false" ht="12.75" hidden="false" customHeight="false" outlineLevel="0" collapsed="false">
      <c r="A30" s="153"/>
      <c r="B30" s="152" t="s">
        <v>97</v>
      </c>
      <c r="C30" s="11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3"/>
      <c r="FC30" s="153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3"/>
      <c r="HJ30" s="153"/>
      <c r="HK30" s="153"/>
      <c r="HL30" s="153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53"/>
      <c r="HY30" s="153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53"/>
      <c r="IK30" s="153"/>
      <c r="IL30" s="153"/>
      <c r="IM30" s="153"/>
      <c r="IN30" s="153"/>
      <c r="IO30" s="153"/>
      <c r="IP30" s="153"/>
      <c r="IQ30" s="153"/>
      <c r="IR30" s="153"/>
      <c r="IS30" s="153"/>
      <c r="IT30" s="153"/>
      <c r="IU30" s="153"/>
      <c r="IV30" s="153"/>
      <c r="IW30" s="153"/>
    </row>
    <row r="31" customFormat="false" ht="12.75" hidden="false" customHeight="false" outlineLevel="0" collapsed="false">
      <c r="A31" s="153"/>
      <c r="B31" s="115" t="s">
        <v>75</v>
      </c>
      <c r="C31" s="116"/>
      <c r="D31" s="120" t="n">
        <v>0.271</v>
      </c>
      <c r="E31" s="120" t="n">
        <v>10.626</v>
      </c>
      <c r="F31" s="120" t="n">
        <v>11.707</v>
      </c>
      <c r="G31" s="120" t="n">
        <v>-3.216</v>
      </c>
      <c r="H31" s="120" t="n">
        <v>-52.593</v>
      </c>
      <c r="I31" s="120" t="n">
        <v>-1.459</v>
      </c>
      <c r="J31" s="120" t="n">
        <v>-6.182</v>
      </c>
      <c r="K31" s="120" t="n">
        <v>0.917</v>
      </c>
      <c r="L31" s="120" t="n">
        <v>-26.453</v>
      </c>
      <c r="M31" s="120"/>
      <c r="N31" s="120"/>
      <c r="O31" s="121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153"/>
      <c r="EY31" s="153"/>
      <c r="EZ31" s="153"/>
      <c r="FA31" s="153"/>
      <c r="FB31" s="153"/>
      <c r="FC31" s="153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3"/>
      <c r="GF31" s="153"/>
      <c r="GG31" s="153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53"/>
      <c r="HB31" s="153"/>
      <c r="HC31" s="153"/>
      <c r="HD31" s="153"/>
      <c r="HE31" s="153"/>
      <c r="HF31" s="153"/>
      <c r="HG31" s="153"/>
      <c r="HH31" s="153"/>
      <c r="HI31" s="153"/>
      <c r="HJ31" s="153"/>
      <c r="HK31" s="153"/>
      <c r="HL31" s="153"/>
      <c r="HM31" s="153"/>
      <c r="HN31" s="153"/>
      <c r="HO31" s="153"/>
      <c r="HP31" s="153"/>
      <c r="HQ31" s="153"/>
      <c r="HR31" s="153"/>
      <c r="HS31" s="153"/>
      <c r="HT31" s="153"/>
      <c r="HU31" s="153"/>
      <c r="HV31" s="153"/>
      <c r="HW31" s="153"/>
      <c r="HX31" s="153"/>
      <c r="HY31" s="153"/>
      <c r="HZ31" s="153"/>
      <c r="IA31" s="153"/>
      <c r="IB31" s="153"/>
      <c r="IC31" s="153"/>
      <c r="ID31" s="153"/>
      <c r="IE31" s="153"/>
      <c r="IF31" s="153"/>
      <c r="IG31" s="153"/>
      <c r="IH31" s="153"/>
      <c r="II31" s="153"/>
      <c r="IJ31" s="153"/>
      <c r="IK31" s="153"/>
      <c r="IL31" s="153"/>
      <c r="IM31" s="153"/>
      <c r="IN31" s="153"/>
      <c r="IO31" s="153"/>
      <c r="IP31" s="153"/>
      <c r="IQ31" s="153"/>
      <c r="IR31" s="153"/>
      <c r="IS31" s="153"/>
      <c r="IT31" s="153"/>
      <c r="IU31" s="153"/>
      <c r="IV31" s="153"/>
      <c r="IW31" s="153"/>
    </row>
    <row r="32" customFormat="false" ht="12.75" hidden="false" customHeight="false" outlineLevel="0" collapsed="false">
      <c r="A32" s="153"/>
      <c r="B32" s="115" t="s">
        <v>76</v>
      </c>
      <c r="C32" s="116"/>
      <c r="D32" s="122" t="n">
        <f aca="false">SUM($C31:D31)</f>
        <v>0.271</v>
      </c>
      <c r="E32" s="122" t="n">
        <f aca="false">SUM($D31:E31)</f>
        <v>10.897</v>
      </c>
      <c r="F32" s="122" t="n">
        <f aca="false">SUM($D31:F31)</f>
        <v>22.604</v>
      </c>
      <c r="G32" s="122" t="n">
        <f aca="false">SUM($D31:G31)</f>
        <v>19.388</v>
      </c>
      <c r="H32" s="122" t="n">
        <f aca="false">SUM($D31:H31)</f>
        <v>-33.205</v>
      </c>
      <c r="I32" s="122" t="n">
        <f aca="false">SUM($D31:I31)</f>
        <v>-34.664</v>
      </c>
      <c r="J32" s="122" t="n">
        <f aca="false">SUM($D31:J31)</f>
        <v>-40.846</v>
      </c>
      <c r="K32" s="122" t="n">
        <f aca="false">SUM($D31:K31)</f>
        <v>-39.929</v>
      </c>
      <c r="L32" s="122" t="n">
        <f aca="false">SUM($D31:L31)</f>
        <v>-66.382</v>
      </c>
      <c r="M32" s="122"/>
      <c r="N32" s="122"/>
      <c r="O32" s="12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3"/>
      <c r="GG32" s="153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153"/>
      <c r="HD32" s="153"/>
      <c r="HE32" s="153"/>
      <c r="HF32" s="153"/>
      <c r="HG32" s="153"/>
      <c r="HH32" s="153"/>
      <c r="HI32" s="153"/>
      <c r="HJ32" s="153"/>
      <c r="HK32" s="153"/>
      <c r="HL32" s="153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53"/>
      <c r="HY32" s="153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53"/>
      <c r="IM32" s="153"/>
      <c r="IN32" s="153"/>
      <c r="IO32" s="153"/>
      <c r="IP32" s="153"/>
      <c r="IQ32" s="153"/>
      <c r="IR32" s="153"/>
      <c r="IS32" s="153"/>
      <c r="IT32" s="153"/>
      <c r="IU32" s="153"/>
      <c r="IV32" s="153"/>
      <c r="IW32" s="153"/>
    </row>
    <row r="33" customFormat="false" ht="13.5" hidden="false" customHeight="false" outlineLevel="0" collapsed="false">
      <c r="A33" s="153"/>
      <c r="B33" s="165"/>
      <c r="C33" s="27"/>
      <c r="D33" s="122"/>
      <c r="E33" s="122"/>
      <c r="F33" s="122"/>
      <c r="G33" s="122"/>
      <c r="H33" s="122"/>
      <c r="I33" s="122"/>
      <c r="J33" s="136"/>
      <c r="K33" s="136"/>
      <c r="L33" s="136"/>
      <c r="M33" s="136"/>
      <c r="N33" s="136"/>
      <c r="O33" s="137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3"/>
      <c r="DX33" s="153"/>
      <c r="DY33" s="153"/>
      <c r="DZ33" s="153"/>
      <c r="EA33" s="153"/>
      <c r="EB33" s="153"/>
      <c r="EC33" s="153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153"/>
      <c r="EY33" s="153"/>
      <c r="EZ33" s="153"/>
      <c r="FA33" s="153"/>
      <c r="FB33" s="153"/>
      <c r="FC33" s="153"/>
      <c r="FD33" s="153"/>
      <c r="FE33" s="153"/>
      <c r="FF33" s="153"/>
      <c r="FG33" s="153"/>
      <c r="FH33" s="153"/>
      <c r="FI33" s="153"/>
      <c r="FJ33" s="153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3"/>
      <c r="GF33" s="153"/>
      <c r="GG33" s="153"/>
      <c r="GH33" s="153"/>
      <c r="GI33" s="153"/>
      <c r="GJ33" s="153"/>
      <c r="GK33" s="153"/>
      <c r="GL33" s="153"/>
      <c r="GM33" s="153"/>
      <c r="GN33" s="153"/>
      <c r="GO33" s="153"/>
      <c r="GP33" s="153"/>
      <c r="GQ33" s="153"/>
      <c r="GR33" s="153"/>
      <c r="GS33" s="153"/>
      <c r="GT33" s="153"/>
      <c r="GU33" s="153"/>
      <c r="GV33" s="153"/>
      <c r="GW33" s="153"/>
      <c r="GX33" s="153"/>
      <c r="GY33" s="153"/>
      <c r="GZ33" s="153"/>
      <c r="HA33" s="153"/>
      <c r="HB33" s="153"/>
      <c r="HC33" s="153"/>
      <c r="HD33" s="153"/>
      <c r="HE33" s="153"/>
      <c r="HF33" s="153"/>
      <c r="HG33" s="153"/>
      <c r="HH33" s="153"/>
      <c r="HI33" s="153"/>
      <c r="HJ33" s="153"/>
      <c r="HK33" s="153"/>
      <c r="HL33" s="153"/>
      <c r="HM33" s="153"/>
      <c r="HN33" s="153"/>
      <c r="HO33" s="153"/>
      <c r="HP33" s="153"/>
      <c r="HQ33" s="153"/>
      <c r="HR33" s="153"/>
      <c r="HS33" s="153"/>
      <c r="HT33" s="153"/>
      <c r="HU33" s="153"/>
      <c r="HV33" s="153"/>
      <c r="HW33" s="153"/>
      <c r="HX33" s="153"/>
      <c r="HY33" s="153"/>
      <c r="HZ33" s="153"/>
      <c r="IA33" s="153"/>
      <c r="IB33" s="153"/>
      <c r="IC33" s="153"/>
      <c r="ID33" s="153"/>
      <c r="IE33" s="153"/>
      <c r="IF33" s="153"/>
      <c r="IG33" s="153"/>
      <c r="IH33" s="153"/>
      <c r="II33" s="153"/>
      <c r="IJ33" s="153"/>
      <c r="IK33" s="153"/>
      <c r="IL33" s="153"/>
      <c r="IM33" s="153"/>
      <c r="IN33" s="153"/>
      <c r="IO33" s="153"/>
      <c r="IP33" s="153"/>
      <c r="IQ33" s="153"/>
      <c r="IR33" s="153"/>
      <c r="IS33" s="153"/>
      <c r="IT33" s="153"/>
      <c r="IU33" s="153"/>
      <c r="IV33" s="153"/>
      <c r="IW33" s="153"/>
    </row>
    <row r="34" customFormat="false" ht="12.75" hidden="false" customHeight="false" outlineLevel="0" collapsed="false">
      <c r="A34" s="153"/>
      <c r="B34" s="151" t="s">
        <v>100</v>
      </c>
      <c r="C34" s="112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4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3"/>
      <c r="HK34" s="153"/>
      <c r="HL34" s="153"/>
      <c r="HM34" s="153"/>
      <c r="HN34" s="153"/>
      <c r="HO34" s="153"/>
      <c r="HP34" s="153"/>
      <c r="HQ34" s="153"/>
      <c r="HR34" s="153"/>
      <c r="HS34" s="153"/>
      <c r="HT34" s="153"/>
      <c r="HU34" s="153"/>
      <c r="HV34" s="153"/>
      <c r="HW34" s="153"/>
      <c r="HX34" s="153"/>
      <c r="HY34" s="153"/>
      <c r="HZ34" s="153"/>
      <c r="IA34" s="153"/>
      <c r="IB34" s="153"/>
      <c r="IC34" s="153"/>
      <c r="ID34" s="153"/>
      <c r="IE34" s="153"/>
      <c r="IF34" s="153"/>
      <c r="IG34" s="153"/>
      <c r="IH34" s="153"/>
      <c r="II34" s="153"/>
      <c r="IJ34" s="153"/>
      <c r="IK34" s="153"/>
      <c r="IL34" s="153"/>
      <c r="IM34" s="153"/>
      <c r="IN34" s="153"/>
      <c r="IO34" s="153"/>
      <c r="IP34" s="153"/>
      <c r="IQ34" s="153"/>
      <c r="IR34" s="153"/>
      <c r="IS34" s="153"/>
      <c r="IT34" s="153"/>
      <c r="IU34" s="153"/>
      <c r="IV34" s="153"/>
      <c r="IW34" s="153"/>
    </row>
    <row r="35" customFormat="false" ht="12.75" hidden="false" customHeight="false" outlineLevel="0" collapsed="false">
      <c r="A35" s="153"/>
      <c r="B35" s="152" t="s">
        <v>74</v>
      </c>
      <c r="C35" s="116"/>
      <c r="D35" s="118" t="s">
        <v>14</v>
      </c>
      <c r="E35" s="118" t="s">
        <v>15</v>
      </c>
      <c r="F35" s="118" t="s">
        <v>16</v>
      </c>
      <c r="G35" s="118" t="s">
        <v>17</v>
      </c>
      <c r="H35" s="118" t="s">
        <v>18</v>
      </c>
      <c r="I35" s="118" t="s">
        <v>19</v>
      </c>
      <c r="J35" s="118" t="s">
        <v>20</v>
      </c>
      <c r="K35" s="118" t="s">
        <v>21</v>
      </c>
      <c r="L35" s="118" t="s">
        <v>68</v>
      </c>
      <c r="M35" s="118" t="s">
        <v>23</v>
      </c>
      <c r="N35" s="118" t="s">
        <v>24</v>
      </c>
      <c r="O35" s="119" t="s">
        <v>25</v>
      </c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  <c r="CK35" s="153"/>
      <c r="CL35" s="153"/>
      <c r="CM35" s="153"/>
      <c r="CN35" s="153"/>
      <c r="CO35" s="153"/>
      <c r="CP35" s="153"/>
      <c r="CQ35" s="153"/>
      <c r="CR35" s="153"/>
      <c r="CS35" s="153"/>
      <c r="CT35" s="153"/>
      <c r="CU35" s="153"/>
      <c r="CV35" s="153"/>
      <c r="CW35" s="153"/>
      <c r="CX35" s="153"/>
      <c r="CY35" s="153"/>
      <c r="CZ35" s="153"/>
      <c r="DA35" s="153"/>
      <c r="DB35" s="153"/>
      <c r="DC35" s="153"/>
      <c r="DD35" s="153"/>
      <c r="DE35" s="153"/>
      <c r="DF35" s="153"/>
      <c r="DG35" s="153"/>
      <c r="DH35" s="153"/>
      <c r="DI35" s="153"/>
      <c r="DJ35" s="153"/>
      <c r="DK35" s="153"/>
      <c r="DL35" s="153"/>
      <c r="DM35" s="153"/>
      <c r="DN35" s="153"/>
      <c r="DO35" s="153"/>
      <c r="DP35" s="153"/>
      <c r="DQ35" s="153"/>
      <c r="DR35" s="153"/>
      <c r="DS35" s="153"/>
      <c r="DT35" s="153"/>
      <c r="DU35" s="153"/>
      <c r="DV35" s="153"/>
      <c r="DW35" s="153"/>
      <c r="DX35" s="153"/>
      <c r="DY35" s="153"/>
      <c r="DZ35" s="153"/>
      <c r="EA35" s="153"/>
      <c r="EB35" s="153"/>
      <c r="EC35" s="153"/>
      <c r="ED35" s="153"/>
      <c r="EE35" s="153"/>
      <c r="EF35" s="153"/>
      <c r="EG35" s="153"/>
      <c r="EH35" s="153"/>
      <c r="EI35" s="153"/>
      <c r="EJ35" s="153"/>
      <c r="EK35" s="153"/>
      <c r="EL35" s="153"/>
      <c r="EM35" s="153"/>
      <c r="EN35" s="153"/>
      <c r="EO35" s="153"/>
      <c r="EP35" s="153"/>
      <c r="EQ35" s="153"/>
      <c r="ER35" s="153"/>
      <c r="ES35" s="153"/>
      <c r="ET35" s="153"/>
      <c r="EU35" s="153"/>
      <c r="EV35" s="153"/>
      <c r="EW35" s="153"/>
      <c r="EX35" s="153"/>
      <c r="EY35" s="153"/>
      <c r="EZ35" s="153"/>
      <c r="FA35" s="153"/>
      <c r="FB35" s="153"/>
      <c r="FC35" s="153"/>
      <c r="FD35" s="153"/>
      <c r="FE35" s="153"/>
      <c r="FF35" s="153"/>
      <c r="FG35" s="153"/>
      <c r="FH35" s="153"/>
      <c r="FI35" s="153"/>
      <c r="FJ35" s="153"/>
      <c r="FK35" s="153"/>
      <c r="FL35" s="153"/>
      <c r="FM35" s="153"/>
      <c r="FN35" s="153"/>
      <c r="FO35" s="153"/>
      <c r="FP35" s="153"/>
      <c r="FQ35" s="153"/>
      <c r="FR35" s="153"/>
      <c r="FS35" s="153"/>
      <c r="FT35" s="153"/>
      <c r="FU35" s="153"/>
      <c r="FV35" s="153"/>
      <c r="FW35" s="153"/>
      <c r="FX35" s="153"/>
      <c r="FY35" s="153"/>
      <c r="FZ35" s="153"/>
      <c r="GA35" s="153"/>
      <c r="GB35" s="153"/>
      <c r="GC35" s="153"/>
      <c r="GD35" s="153"/>
      <c r="GE35" s="153"/>
      <c r="GF35" s="153"/>
      <c r="GG35" s="153"/>
      <c r="GH35" s="153"/>
      <c r="GI35" s="153"/>
      <c r="GJ35" s="153"/>
      <c r="GK35" s="153"/>
      <c r="GL35" s="153"/>
      <c r="GM35" s="153"/>
      <c r="GN35" s="153"/>
      <c r="GO35" s="153"/>
      <c r="GP35" s="153"/>
      <c r="GQ35" s="153"/>
      <c r="GR35" s="153"/>
      <c r="GS35" s="153"/>
      <c r="GT35" s="153"/>
      <c r="GU35" s="153"/>
      <c r="GV35" s="153"/>
      <c r="GW35" s="153"/>
      <c r="GX35" s="153"/>
      <c r="GY35" s="153"/>
      <c r="GZ35" s="153"/>
      <c r="HA35" s="153"/>
      <c r="HB35" s="153"/>
      <c r="HC35" s="153"/>
      <c r="HD35" s="153"/>
      <c r="HE35" s="153"/>
      <c r="HF35" s="153"/>
      <c r="HG35" s="153"/>
      <c r="HH35" s="153"/>
      <c r="HI35" s="153"/>
      <c r="HJ35" s="153"/>
      <c r="HK35" s="153"/>
      <c r="HL35" s="153"/>
      <c r="HM35" s="153"/>
      <c r="HN35" s="153"/>
      <c r="HO35" s="153"/>
      <c r="HP35" s="153"/>
      <c r="HQ35" s="153"/>
      <c r="HR35" s="153"/>
      <c r="HS35" s="153"/>
      <c r="HT35" s="153"/>
      <c r="HU35" s="153"/>
      <c r="HV35" s="153"/>
      <c r="HW35" s="153"/>
      <c r="HX35" s="153"/>
      <c r="HY35" s="153"/>
      <c r="HZ35" s="153"/>
      <c r="IA35" s="153"/>
      <c r="IB35" s="153"/>
      <c r="IC35" s="153"/>
      <c r="ID35" s="153"/>
      <c r="IE35" s="153"/>
      <c r="IF35" s="153"/>
      <c r="IG35" s="153"/>
      <c r="IH35" s="153"/>
      <c r="II35" s="153"/>
      <c r="IJ35" s="153"/>
      <c r="IK35" s="153"/>
      <c r="IL35" s="153"/>
      <c r="IM35" s="153"/>
      <c r="IN35" s="153"/>
      <c r="IO35" s="153"/>
      <c r="IP35" s="153"/>
      <c r="IQ35" s="153"/>
      <c r="IR35" s="153"/>
      <c r="IS35" s="153"/>
      <c r="IT35" s="153"/>
      <c r="IU35" s="153"/>
      <c r="IV35" s="153"/>
      <c r="IW35" s="153"/>
    </row>
    <row r="36" customFormat="false" ht="12.75" hidden="false" customHeight="false" outlineLevel="0" collapsed="false">
      <c r="A36" s="153"/>
      <c r="B36" s="115" t="s">
        <v>75</v>
      </c>
      <c r="C36" s="116"/>
      <c r="D36" s="120" t="n">
        <v>-0.135</v>
      </c>
      <c r="E36" s="120" t="n">
        <v>1.757</v>
      </c>
      <c r="F36" s="120" t="n">
        <v>-1.278</v>
      </c>
      <c r="G36" s="120" t="n">
        <v>-2.268</v>
      </c>
      <c r="H36" s="120" t="n">
        <v>-7.136</v>
      </c>
      <c r="I36" s="120" t="n">
        <v>-0.894</v>
      </c>
      <c r="J36" s="120" t="n">
        <v>-3.541</v>
      </c>
      <c r="K36" s="120" t="n">
        <v>0.909</v>
      </c>
      <c r="L36" s="120" t="n">
        <v>7.746</v>
      </c>
      <c r="M36" s="120"/>
      <c r="N36" s="120"/>
      <c r="O36" s="121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  <c r="BI36" s="153"/>
      <c r="BJ36" s="153"/>
      <c r="BK36" s="153"/>
      <c r="BL36" s="153"/>
      <c r="BM36" s="153"/>
      <c r="BN36" s="153"/>
      <c r="BO36" s="153"/>
      <c r="BP36" s="153"/>
      <c r="BQ36" s="153"/>
      <c r="BR36" s="153"/>
      <c r="BS36" s="153"/>
      <c r="BT36" s="153"/>
      <c r="BU36" s="153"/>
      <c r="BV36" s="153"/>
      <c r="BW36" s="153"/>
      <c r="BX36" s="153"/>
      <c r="BY36" s="153"/>
      <c r="BZ36" s="153"/>
      <c r="CA36" s="153"/>
      <c r="CB36" s="153"/>
      <c r="CC36" s="153"/>
      <c r="CD36" s="153"/>
      <c r="CE36" s="153"/>
      <c r="CF36" s="153"/>
      <c r="CG36" s="153"/>
      <c r="CH36" s="153"/>
      <c r="CI36" s="153"/>
      <c r="CJ36" s="153"/>
      <c r="CK36" s="153"/>
      <c r="CL36" s="153"/>
      <c r="CM36" s="153"/>
      <c r="CN36" s="153"/>
      <c r="CO36" s="153"/>
      <c r="CP36" s="153"/>
      <c r="CQ36" s="153"/>
      <c r="CR36" s="153"/>
      <c r="CS36" s="153"/>
      <c r="CT36" s="153"/>
      <c r="CU36" s="153"/>
      <c r="CV36" s="153"/>
      <c r="CW36" s="153"/>
      <c r="CX36" s="153"/>
      <c r="CY36" s="153"/>
      <c r="CZ36" s="153"/>
      <c r="DA36" s="153"/>
      <c r="DB36" s="153"/>
      <c r="DC36" s="153"/>
      <c r="DD36" s="153"/>
      <c r="DE36" s="153"/>
      <c r="DF36" s="153"/>
      <c r="DG36" s="153"/>
      <c r="DH36" s="153"/>
      <c r="DI36" s="153"/>
      <c r="DJ36" s="153"/>
      <c r="DK36" s="153"/>
      <c r="DL36" s="153"/>
      <c r="DM36" s="153"/>
      <c r="DN36" s="153"/>
      <c r="DO36" s="153"/>
      <c r="DP36" s="153"/>
      <c r="DQ36" s="153"/>
      <c r="DR36" s="153"/>
      <c r="DS36" s="153"/>
      <c r="DT36" s="153"/>
      <c r="DU36" s="153"/>
      <c r="DV36" s="153"/>
      <c r="DW36" s="153"/>
      <c r="DX36" s="153"/>
      <c r="DY36" s="153"/>
      <c r="DZ36" s="153"/>
      <c r="EA36" s="153"/>
      <c r="EB36" s="153"/>
      <c r="EC36" s="153"/>
      <c r="ED36" s="153"/>
      <c r="EE36" s="153"/>
      <c r="EF36" s="153"/>
      <c r="EG36" s="153"/>
      <c r="EH36" s="153"/>
      <c r="EI36" s="153"/>
      <c r="EJ36" s="153"/>
      <c r="EK36" s="153"/>
      <c r="EL36" s="153"/>
      <c r="EM36" s="153"/>
      <c r="EN36" s="153"/>
      <c r="EO36" s="153"/>
      <c r="EP36" s="153"/>
      <c r="EQ36" s="153"/>
      <c r="ER36" s="153"/>
      <c r="ES36" s="153"/>
      <c r="ET36" s="153"/>
      <c r="EU36" s="153"/>
      <c r="EV36" s="153"/>
      <c r="EW36" s="153"/>
      <c r="EX36" s="153"/>
      <c r="EY36" s="153"/>
      <c r="EZ36" s="153"/>
      <c r="FA36" s="153"/>
      <c r="FB36" s="153"/>
      <c r="FC36" s="153"/>
      <c r="FD36" s="153"/>
      <c r="FE36" s="153"/>
      <c r="FF36" s="153"/>
      <c r="FG36" s="153"/>
      <c r="FH36" s="153"/>
      <c r="FI36" s="153"/>
      <c r="FJ36" s="153"/>
      <c r="FK36" s="153"/>
      <c r="FL36" s="153"/>
      <c r="FM36" s="153"/>
      <c r="FN36" s="153"/>
      <c r="FO36" s="153"/>
      <c r="FP36" s="153"/>
      <c r="FQ36" s="153"/>
      <c r="FR36" s="153"/>
      <c r="FS36" s="153"/>
      <c r="FT36" s="153"/>
      <c r="FU36" s="153"/>
      <c r="FV36" s="153"/>
      <c r="FW36" s="153"/>
      <c r="FX36" s="153"/>
      <c r="FY36" s="153"/>
      <c r="FZ36" s="153"/>
      <c r="GA36" s="153"/>
      <c r="GB36" s="153"/>
      <c r="GC36" s="153"/>
      <c r="GD36" s="153"/>
      <c r="GE36" s="153"/>
      <c r="GF36" s="153"/>
      <c r="GG36" s="153"/>
      <c r="GH36" s="153"/>
      <c r="GI36" s="153"/>
      <c r="GJ36" s="153"/>
      <c r="GK36" s="153"/>
      <c r="GL36" s="153"/>
      <c r="GM36" s="153"/>
      <c r="GN36" s="153"/>
      <c r="GO36" s="153"/>
      <c r="GP36" s="153"/>
      <c r="GQ36" s="153"/>
      <c r="GR36" s="153"/>
      <c r="GS36" s="153"/>
      <c r="GT36" s="153"/>
      <c r="GU36" s="153"/>
      <c r="GV36" s="153"/>
      <c r="GW36" s="153"/>
      <c r="GX36" s="153"/>
      <c r="GY36" s="153"/>
      <c r="GZ36" s="153"/>
      <c r="HA36" s="153"/>
      <c r="HB36" s="153"/>
      <c r="HC36" s="153"/>
      <c r="HD36" s="153"/>
      <c r="HE36" s="153"/>
      <c r="HF36" s="153"/>
      <c r="HG36" s="153"/>
      <c r="HH36" s="153"/>
      <c r="HI36" s="153"/>
      <c r="HJ36" s="153"/>
      <c r="HK36" s="153"/>
      <c r="HL36" s="153"/>
      <c r="HM36" s="153"/>
      <c r="HN36" s="153"/>
      <c r="HO36" s="153"/>
      <c r="HP36" s="153"/>
      <c r="HQ36" s="153"/>
      <c r="HR36" s="153"/>
      <c r="HS36" s="153"/>
      <c r="HT36" s="153"/>
      <c r="HU36" s="153"/>
      <c r="HV36" s="153"/>
      <c r="HW36" s="153"/>
      <c r="HX36" s="153"/>
      <c r="HY36" s="153"/>
      <c r="HZ36" s="153"/>
      <c r="IA36" s="153"/>
      <c r="IB36" s="153"/>
      <c r="IC36" s="153"/>
      <c r="ID36" s="153"/>
      <c r="IE36" s="153"/>
      <c r="IF36" s="153"/>
      <c r="IG36" s="153"/>
      <c r="IH36" s="153"/>
      <c r="II36" s="153"/>
      <c r="IJ36" s="153"/>
      <c r="IK36" s="153"/>
      <c r="IL36" s="153"/>
      <c r="IM36" s="153"/>
      <c r="IN36" s="153"/>
      <c r="IO36" s="153"/>
      <c r="IP36" s="153"/>
      <c r="IQ36" s="153"/>
      <c r="IR36" s="153"/>
      <c r="IS36" s="153"/>
      <c r="IT36" s="153"/>
      <c r="IU36" s="153"/>
      <c r="IV36" s="153"/>
      <c r="IW36" s="153"/>
    </row>
    <row r="37" customFormat="false" ht="12.75" hidden="false" customHeight="false" outlineLevel="0" collapsed="false">
      <c r="A37" s="153"/>
      <c r="B37" s="115" t="s">
        <v>76</v>
      </c>
      <c r="C37" s="116"/>
      <c r="D37" s="122" t="n">
        <f aca="false">SUM($C36:D36)</f>
        <v>-0.135</v>
      </c>
      <c r="E37" s="122" t="n">
        <f aca="false">SUM($D36:E36)</f>
        <v>1.622</v>
      </c>
      <c r="F37" s="122" t="n">
        <f aca="false">SUM($D36:F36)</f>
        <v>0.344</v>
      </c>
      <c r="G37" s="122" t="n">
        <f aca="false">SUM($D36:G36)</f>
        <v>-1.924</v>
      </c>
      <c r="H37" s="122" t="n">
        <f aca="false">SUM($D36:H36)</f>
        <v>-9.06</v>
      </c>
      <c r="I37" s="122" t="n">
        <f aca="false">SUM($D36:I36)</f>
        <v>-9.954</v>
      </c>
      <c r="J37" s="122" t="n">
        <f aca="false">SUM($D36:J36)</f>
        <v>-13.495</v>
      </c>
      <c r="K37" s="122" t="n">
        <f aca="false">SUM($D36:K36)</f>
        <v>-12.586</v>
      </c>
      <c r="L37" s="122" t="n">
        <f aca="false">SUM($D36:L36)</f>
        <v>-4.84</v>
      </c>
      <c r="M37" s="122"/>
      <c r="N37" s="122"/>
      <c r="O37" s="12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  <c r="CG37" s="153"/>
      <c r="CH37" s="153"/>
      <c r="CI37" s="153"/>
      <c r="CJ37" s="153"/>
      <c r="CK37" s="153"/>
      <c r="CL37" s="153"/>
      <c r="CM37" s="153"/>
      <c r="CN37" s="153"/>
      <c r="CO37" s="153"/>
      <c r="CP37" s="153"/>
      <c r="CQ37" s="153"/>
      <c r="CR37" s="153"/>
      <c r="CS37" s="153"/>
      <c r="CT37" s="153"/>
      <c r="CU37" s="153"/>
      <c r="CV37" s="153"/>
      <c r="CW37" s="153"/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53"/>
      <c r="DN37" s="153"/>
      <c r="DO37" s="153"/>
      <c r="DP37" s="153"/>
      <c r="DQ37" s="153"/>
      <c r="DR37" s="153"/>
      <c r="DS37" s="153"/>
      <c r="DT37" s="153"/>
      <c r="DU37" s="153"/>
      <c r="DV37" s="153"/>
      <c r="DW37" s="153"/>
      <c r="DX37" s="153"/>
      <c r="DY37" s="153"/>
      <c r="DZ37" s="153"/>
      <c r="EA37" s="153"/>
      <c r="EB37" s="153"/>
      <c r="EC37" s="153"/>
      <c r="ED37" s="153"/>
      <c r="EE37" s="153"/>
      <c r="EF37" s="153"/>
      <c r="EG37" s="153"/>
      <c r="EH37" s="153"/>
      <c r="EI37" s="153"/>
      <c r="EJ37" s="153"/>
      <c r="EK37" s="153"/>
      <c r="EL37" s="153"/>
      <c r="EM37" s="153"/>
      <c r="EN37" s="153"/>
      <c r="EO37" s="153"/>
      <c r="EP37" s="153"/>
      <c r="EQ37" s="153"/>
      <c r="ER37" s="153"/>
      <c r="ES37" s="153"/>
      <c r="ET37" s="153"/>
      <c r="EU37" s="153"/>
      <c r="EV37" s="153"/>
      <c r="EW37" s="153"/>
      <c r="EX37" s="153"/>
      <c r="EY37" s="153"/>
      <c r="EZ37" s="153"/>
      <c r="FA37" s="153"/>
      <c r="FB37" s="153"/>
      <c r="FC37" s="153"/>
      <c r="FD37" s="153"/>
      <c r="FE37" s="153"/>
      <c r="FF37" s="153"/>
      <c r="FG37" s="153"/>
      <c r="FH37" s="153"/>
      <c r="FI37" s="153"/>
      <c r="FJ37" s="153"/>
      <c r="FK37" s="153"/>
      <c r="FL37" s="153"/>
      <c r="FM37" s="153"/>
      <c r="FN37" s="153"/>
      <c r="FO37" s="153"/>
      <c r="FP37" s="153"/>
      <c r="FQ37" s="153"/>
      <c r="FR37" s="153"/>
      <c r="FS37" s="153"/>
      <c r="FT37" s="153"/>
      <c r="FU37" s="153"/>
      <c r="FV37" s="153"/>
      <c r="FW37" s="153"/>
      <c r="FX37" s="153"/>
      <c r="FY37" s="153"/>
      <c r="FZ37" s="153"/>
      <c r="GA37" s="153"/>
      <c r="GB37" s="153"/>
      <c r="GC37" s="153"/>
      <c r="GD37" s="153"/>
      <c r="GE37" s="153"/>
      <c r="GF37" s="153"/>
      <c r="GG37" s="153"/>
      <c r="GH37" s="153"/>
      <c r="GI37" s="153"/>
      <c r="GJ37" s="153"/>
      <c r="GK37" s="153"/>
      <c r="GL37" s="153"/>
      <c r="GM37" s="153"/>
      <c r="GN37" s="153"/>
      <c r="GO37" s="153"/>
      <c r="GP37" s="153"/>
      <c r="GQ37" s="153"/>
      <c r="GR37" s="153"/>
      <c r="GS37" s="153"/>
      <c r="GT37" s="153"/>
      <c r="GU37" s="153"/>
      <c r="GV37" s="153"/>
      <c r="GW37" s="153"/>
      <c r="GX37" s="153"/>
      <c r="GY37" s="153"/>
      <c r="GZ37" s="153"/>
      <c r="HA37" s="153"/>
      <c r="HB37" s="153"/>
      <c r="HC37" s="153"/>
      <c r="HD37" s="153"/>
      <c r="HE37" s="153"/>
      <c r="HF37" s="153"/>
      <c r="HG37" s="153"/>
      <c r="HH37" s="153"/>
      <c r="HI37" s="153"/>
      <c r="HJ37" s="153"/>
      <c r="HK37" s="153"/>
      <c r="HL37" s="153"/>
      <c r="HM37" s="153"/>
      <c r="HN37" s="153"/>
      <c r="HO37" s="153"/>
      <c r="HP37" s="153"/>
      <c r="HQ37" s="153"/>
      <c r="HR37" s="153"/>
      <c r="HS37" s="153"/>
      <c r="HT37" s="153"/>
      <c r="HU37" s="153"/>
      <c r="HV37" s="153"/>
      <c r="HW37" s="153"/>
      <c r="HX37" s="153"/>
      <c r="HY37" s="153"/>
      <c r="HZ37" s="153"/>
      <c r="IA37" s="153"/>
      <c r="IB37" s="153"/>
      <c r="IC37" s="153"/>
      <c r="ID37" s="153"/>
      <c r="IE37" s="153"/>
      <c r="IF37" s="153"/>
      <c r="IG37" s="153"/>
      <c r="IH37" s="153"/>
      <c r="II37" s="153"/>
      <c r="IJ37" s="153"/>
      <c r="IK37" s="153"/>
      <c r="IL37" s="153"/>
      <c r="IM37" s="153"/>
      <c r="IN37" s="153"/>
      <c r="IO37" s="153"/>
      <c r="IP37" s="153"/>
      <c r="IQ37" s="153"/>
      <c r="IR37" s="153"/>
      <c r="IS37" s="153"/>
      <c r="IT37" s="153"/>
      <c r="IU37" s="153"/>
      <c r="IV37" s="153"/>
      <c r="IW37" s="153"/>
    </row>
    <row r="38" customFormat="false" ht="12.75" hidden="false" customHeight="false" outlineLevel="0" collapsed="false">
      <c r="A38" s="153"/>
      <c r="B38" s="115"/>
      <c r="C38" s="11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3"/>
      <c r="BP38" s="153"/>
      <c r="BQ38" s="153"/>
      <c r="BR38" s="153"/>
      <c r="BS38" s="153"/>
      <c r="BT38" s="153"/>
      <c r="BU38" s="153"/>
      <c r="BV38" s="153"/>
      <c r="BW38" s="153"/>
      <c r="BX38" s="153"/>
      <c r="BY38" s="153"/>
      <c r="BZ38" s="153"/>
      <c r="CA38" s="153"/>
      <c r="CB38" s="153"/>
      <c r="CC38" s="153"/>
      <c r="CD38" s="153"/>
      <c r="CE38" s="153"/>
      <c r="CF38" s="153"/>
      <c r="CG38" s="153"/>
      <c r="CH38" s="153"/>
      <c r="CI38" s="153"/>
      <c r="CJ38" s="153"/>
      <c r="CK38" s="153"/>
      <c r="CL38" s="153"/>
      <c r="CM38" s="153"/>
      <c r="CN38" s="153"/>
      <c r="CO38" s="153"/>
      <c r="CP38" s="153"/>
      <c r="CQ38" s="153"/>
      <c r="CR38" s="153"/>
      <c r="CS38" s="153"/>
      <c r="CT38" s="153"/>
      <c r="CU38" s="153"/>
      <c r="CV38" s="153"/>
      <c r="CW38" s="153"/>
      <c r="CX38" s="153"/>
      <c r="CY38" s="153"/>
      <c r="CZ38" s="153"/>
      <c r="DA38" s="153"/>
      <c r="DB38" s="153"/>
      <c r="DC38" s="153"/>
      <c r="DD38" s="153"/>
      <c r="DE38" s="153"/>
      <c r="DF38" s="153"/>
      <c r="DG38" s="153"/>
      <c r="DH38" s="153"/>
      <c r="DI38" s="153"/>
      <c r="DJ38" s="153"/>
      <c r="DK38" s="153"/>
      <c r="DL38" s="153"/>
      <c r="DM38" s="153"/>
      <c r="DN38" s="153"/>
      <c r="DO38" s="153"/>
      <c r="DP38" s="153"/>
      <c r="DQ38" s="153"/>
      <c r="DR38" s="153"/>
      <c r="DS38" s="153"/>
      <c r="DT38" s="153"/>
      <c r="DU38" s="153"/>
      <c r="DV38" s="153"/>
      <c r="DW38" s="153"/>
      <c r="DX38" s="153"/>
      <c r="DY38" s="153"/>
      <c r="DZ38" s="153"/>
      <c r="EA38" s="153"/>
      <c r="EB38" s="153"/>
      <c r="EC38" s="153"/>
      <c r="ED38" s="153"/>
      <c r="EE38" s="153"/>
      <c r="EF38" s="153"/>
      <c r="EG38" s="153"/>
      <c r="EH38" s="153"/>
      <c r="EI38" s="153"/>
      <c r="EJ38" s="153"/>
      <c r="EK38" s="153"/>
      <c r="EL38" s="153"/>
      <c r="EM38" s="153"/>
      <c r="EN38" s="153"/>
      <c r="EO38" s="153"/>
      <c r="EP38" s="153"/>
      <c r="EQ38" s="153"/>
      <c r="ER38" s="153"/>
      <c r="ES38" s="153"/>
      <c r="ET38" s="153"/>
      <c r="EU38" s="153"/>
      <c r="EV38" s="153"/>
      <c r="EW38" s="153"/>
      <c r="EX38" s="153"/>
      <c r="EY38" s="153"/>
      <c r="EZ38" s="153"/>
      <c r="FA38" s="153"/>
      <c r="FB38" s="153"/>
      <c r="FC38" s="153"/>
      <c r="FD38" s="153"/>
      <c r="FE38" s="153"/>
      <c r="FF38" s="153"/>
      <c r="FG38" s="153"/>
      <c r="FH38" s="153"/>
      <c r="FI38" s="153"/>
      <c r="FJ38" s="153"/>
      <c r="FK38" s="153"/>
      <c r="FL38" s="153"/>
      <c r="FM38" s="153"/>
      <c r="FN38" s="153"/>
      <c r="FO38" s="153"/>
      <c r="FP38" s="153"/>
      <c r="FQ38" s="153"/>
      <c r="FR38" s="153"/>
      <c r="FS38" s="153"/>
      <c r="FT38" s="153"/>
      <c r="FU38" s="153"/>
      <c r="FV38" s="153"/>
      <c r="FW38" s="153"/>
      <c r="FX38" s="153"/>
      <c r="FY38" s="153"/>
      <c r="FZ38" s="153"/>
      <c r="GA38" s="153"/>
      <c r="GB38" s="153"/>
      <c r="GC38" s="153"/>
      <c r="GD38" s="153"/>
      <c r="GE38" s="153"/>
      <c r="GF38" s="153"/>
      <c r="GG38" s="153"/>
      <c r="GH38" s="153"/>
      <c r="GI38" s="153"/>
      <c r="GJ38" s="153"/>
      <c r="GK38" s="153"/>
      <c r="GL38" s="153"/>
      <c r="GM38" s="153"/>
      <c r="GN38" s="153"/>
      <c r="GO38" s="153"/>
      <c r="GP38" s="153"/>
      <c r="GQ38" s="153"/>
      <c r="GR38" s="153"/>
      <c r="GS38" s="153"/>
      <c r="GT38" s="153"/>
      <c r="GU38" s="153"/>
      <c r="GV38" s="153"/>
      <c r="GW38" s="153"/>
      <c r="GX38" s="153"/>
      <c r="GY38" s="153"/>
      <c r="GZ38" s="153"/>
      <c r="HA38" s="153"/>
      <c r="HB38" s="153"/>
      <c r="HC38" s="153"/>
      <c r="HD38" s="153"/>
      <c r="HE38" s="153"/>
      <c r="HF38" s="153"/>
      <c r="HG38" s="153"/>
      <c r="HH38" s="153"/>
      <c r="HI38" s="153"/>
      <c r="HJ38" s="153"/>
      <c r="HK38" s="153"/>
      <c r="HL38" s="153"/>
      <c r="HM38" s="153"/>
      <c r="HN38" s="153"/>
      <c r="HO38" s="153"/>
      <c r="HP38" s="153"/>
      <c r="HQ38" s="153"/>
      <c r="HR38" s="153"/>
      <c r="HS38" s="153"/>
      <c r="HT38" s="153"/>
      <c r="HU38" s="153"/>
      <c r="HV38" s="153"/>
      <c r="HW38" s="153"/>
      <c r="HX38" s="153"/>
      <c r="HY38" s="153"/>
      <c r="HZ38" s="153"/>
      <c r="IA38" s="153"/>
      <c r="IB38" s="153"/>
      <c r="IC38" s="153"/>
      <c r="ID38" s="153"/>
      <c r="IE38" s="153"/>
      <c r="IF38" s="153"/>
      <c r="IG38" s="153"/>
      <c r="IH38" s="153"/>
      <c r="II38" s="153"/>
      <c r="IJ38" s="153"/>
      <c r="IK38" s="153"/>
      <c r="IL38" s="153"/>
      <c r="IM38" s="153"/>
      <c r="IN38" s="153"/>
      <c r="IO38" s="153"/>
      <c r="IP38" s="153"/>
      <c r="IQ38" s="153"/>
      <c r="IR38" s="153"/>
      <c r="IS38" s="153"/>
      <c r="IT38" s="153"/>
      <c r="IU38" s="153"/>
      <c r="IV38" s="153"/>
      <c r="IW38" s="153"/>
    </row>
    <row r="39" customFormat="false" ht="12.75" hidden="false" customHeight="false" outlineLevel="0" collapsed="false">
      <c r="A39" s="153"/>
      <c r="B39" s="152" t="s">
        <v>97</v>
      </c>
      <c r="C39" s="116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  <c r="BQ39" s="153"/>
      <c r="BR39" s="153"/>
      <c r="BS39" s="153"/>
      <c r="BT39" s="153"/>
      <c r="BU39" s="153"/>
      <c r="BV39" s="153"/>
      <c r="BW39" s="153"/>
      <c r="BX39" s="153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  <c r="CI39" s="153"/>
      <c r="CJ39" s="153"/>
      <c r="CK39" s="153"/>
      <c r="CL39" s="153"/>
      <c r="CM39" s="153"/>
      <c r="CN39" s="153"/>
      <c r="CO39" s="153"/>
      <c r="CP39" s="153"/>
      <c r="CQ39" s="153"/>
      <c r="CR39" s="153"/>
      <c r="CS39" s="153"/>
      <c r="CT39" s="153"/>
      <c r="CU39" s="153"/>
      <c r="CV39" s="153"/>
      <c r="CW39" s="153"/>
      <c r="CX39" s="153"/>
      <c r="CY39" s="153"/>
      <c r="CZ39" s="153"/>
      <c r="DA39" s="153"/>
      <c r="DB39" s="153"/>
      <c r="DC39" s="153"/>
      <c r="DD39" s="153"/>
      <c r="DE39" s="153"/>
      <c r="DF39" s="153"/>
      <c r="DG39" s="153"/>
      <c r="DH39" s="153"/>
      <c r="DI39" s="153"/>
      <c r="DJ39" s="153"/>
      <c r="DK39" s="153"/>
      <c r="DL39" s="153"/>
      <c r="DM39" s="153"/>
      <c r="DN39" s="153"/>
      <c r="DO39" s="153"/>
      <c r="DP39" s="153"/>
      <c r="DQ39" s="153"/>
      <c r="DR39" s="153"/>
      <c r="DS39" s="153"/>
      <c r="DT39" s="153"/>
      <c r="DU39" s="153"/>
      <c r="DV39" s="153"/>
      <c r="DW39" s="153"/>
      <c r="DX39" s="153"/>
      <c r="DY39" s="153"/>
      <c r="DZ39" s="153"/>
      <c r="EA39" s="153"/>
      <c r="EB39" s="153"/>
      <c r="EC39" s="153"/>
      <c r="ED39" s="153"/>
      <c r="EE39" s="153"/>
      <c r="EF39" s="153"/>
      <c r="EG39" s="153"/>
      <c r="EH39" s="153"/>
      <c r="EI39" s="153"/>
      <c r="EJ39" s="153"/>
      <c r="EK39" s="153"/>
      <c r="EL39" s="153"/>
      <c r="EM39" s="153"/>
      <c r="EN39" s="153"/>
      <c r="EO39" s="153"/>
      <c r="EP39" s="153"/>
      <c r="EQ39" s="153"/>
      <c r="ER39" s="153"/>
      <c r="ES39" s="153"/>
      <c r="ET39" s="153"/>
      <c r="EU39" s="153"/>
      <c r="EV39" s="153"/>
      <c r="EW39" s="153"/>
      <c r="EX39" s="153"/>
      <c r="EY39" s="153"/>
      <c r="EZ39" s="153"/>
      <c r="FA39" s="153"/>
      <c r="FB39" s="153"/>
      <c r="FC39" s="153"/>
      <c r="FD39" s="153"/>
      <c r="FE39" s="153"/>
      <c r="FF39" s="153"/>
      <c r="FG39" s="153"/>
      <c r="FH39" s="153"/>
      <c r="FI39" s="153"/>
      <c r="FJ39" s="153"/>
      <c r="FK39" s="153"/>
      <c r="FL39" s="153"/>
      <c r="FM39" s="153"/>
      <c r="FN39" s="153"/>
      <c r="FO39" s="153"/>
      <c r="FP39" s="153"/>
      <c r="FQ39" s="153"/>
      <c r="FR39" s="153"/>
      <c r="FS39" s="153"/>
      <c r="FT39" s="153"/>
      <c r="FU39" s="153"/>
      <c r="FV39" s="153"/>
      <c r="FW39" s="153"/>
      <c r="FX39" s="153"/>
      <c r="FY39" s="153"/>
      <c r="FZ39" s="153"/>
      <c r="GA39" s="153"/>
      <c r="GB39" s="153"/>
      <c r="GC39" s="153"/>
      <c r="GD39" s="153"/>
      <c r="GE39" s="153"/>
      <c r="GF39" s="153"/>
      <c r="GG39" s="153"/>
      <c r="GH39" s="153"/>
      <c r="GI39" s="153"/>
      <c r="GJ39" s="153"/>
      <c r="GK39" s="153"/>
      <c r="GL39" s="153"/>
      <c r="GM39" s="153"/>
      <c r="GN39" s="153"/>
      <c r="GO39" s="153"/>
      <c r="GP39" s="153"/>
      <c r="GQ39" s="153"/>
      <c r="GR39" s="153"/>
      <c r="GS39" s="153"/>
      <c r="GT39" s="153"/>
      <c r="GU39" s="153"/>
      <c r="GV39" s="153"/>
      <c r="GW39" s="153"/>
      <c r="GX39" s="153"/>
      <c r="GY39" s="153"/>
      <c r="GZ39" s="153"/>
      <c r="HA39" s="153"/>
      <c r="HB39" s="153"/>
      <c r="HC39" s="153"/>
      <c r="HD39" s="153"/>
      <c r="HE39" s="153"/>
      <c r="HF39" s="153"/>
      <c r="HG39" s="153"/>
      <c r="HH39" s="153"/>
      <c r="HI39" s="153"/>
      <c r="HJ39" s="153"/>
      <c r="HK39" s="153"/>
      <c r="HL39" s="153"/>
      <c r="HM39" s="153"/>
      <c r="HN39" s="153"/>
      <c r="HO39" s="153"/>
      <c r="HP39" s="153"/>
      <c r="HQ39" s="153"/>
      <c r="HR39" s="153"/>
      <c r="HS39" s="153"/>
      <c r="HT39" s="153"/>
      <c r="HU39" s="153"/>
      <c r="HV39" s="153"/>
      <c r="HW39" s="153"/>
      <c r="HX39" s="153"/>
      <c r="HY39" s="153"/>
      <c r="HZ39" s="153"/>
      <c r="IA39" s="153"/>
      <c r="IB39" s="153"/>
      <c r="IC39" s="153"/>
      <c r="ID39" s="153"/>
      <c r="IE39" s="153"/>
      <c r="IF39" s="153"/>
      <c r="IG39" s="153"/>
      <c r="IH39" s="153"/>
      <c r="II39" s="153"/>
      <c r="IJ39" s="153"/>
      <c r="IK39" s="153"/>
      <c r="IL39" s="153"/>
      <c r="IM39" s="153"/>
      <c r="IN39" s="153"/>
      <c r="IO39" s="153"/>
      <c r="IP39" s="153"/>
      <c r="IQ39" s="153"/>
      <c r="IR39" s="153"/>
      <c r="IS39" s="153"/>
      <c r="IT39" s="153"/>
      <c r="IU39" s="153"/>
      <c r="IV39" s="153"/>
      <c r="IW39" s="153"/>
    </row>
    <row r="40" customFormat="false" ht="12.75" hidden="false" customHeight="false" outlineLevel="0" collapsed="false">
      <c r="A40" s="153"/>
      <c r="B40" s="115" t="s">
        <v>75</v>
      </c>
      <c r="C40" s="116"/>
      <c r="D40" s="120" t="n">
        <v>9.007</v>
      </c>
      <c r="E40" s="120" t="n">
        <v>-16.797</v>
      </c>
      <c r="F40" s="120" t="n">
        <v>2.61</v>
      </c>
      <c r="G40" s="120" t="n">
        <v>-0.267</v>
      </c>
      <c r="H40" s="120" t="n">
        <v>-12.682</v>
      </c>
      <c r="I40" s="120" t="n">
        <v>1.177</v>
      </c>
      <c r="J40" s="120" t="n">
        <v>3.521</v>
      </c>
      <c r="K40" s="120" t="n">
        <v>2.487</v>
      </c>
      <c r="L40" s="120" t="n">
        <v>10.469</v>
      </c>
      <c r="M40" s="120"/>
      <c r="N40" s="120"/>
      <c r="O40" s="121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  <c r="BI40" s="153"/>
      <c r="BJ40" s="153"/>
      <c r="BK40" s="153"/>
      <c r="BL40" s="153"/>
      <c r="BM40" s="153"/>
      <c r="BN40" s="153"/>
      <c r="BO40" s="153"/>
      <c r="BP40" s="153"/>
      <c r="BQ40" s="153"/>
      <c r="BR40" s="153"/>
      <c r="BS40" s="153"/>
      <c r="BT40" s="153"/>
      <c r="BU40" s="153"/>
      <c r="BV40" s="153"/>
      <c r="BW40" s="153"/>
      <c r="BX40" s="153"/>
      <c r="BY40" s="153"/>
      <c r="BZ40" s="153"/>
      <c r="CA40" s="153"/>
      <c r="CB40" s="153"/>
      <c r="CC40" s="153"/>
      <c r="CD40" s="153"/>
      <c r="CE40" s="153"/>
      <c r="CF40" s="153"/>
      <c r="CG40" s="153"/>
      <c r="CH40" s="153"/>
      <c r="CI40" s="153"/>
      <c r="CJ40" s="153"/>
      <c r="CK40" s="153"/>
      <c r="CL40" s="153"/>
      <c r="CM40" s="153"/>
      <c r="CN40" s="153"/>
      <c r="CO40" s="153"/>
      <c r="CP40" s="153"/>
      <c r="CQ40" s="153"/>
      <c r="CR40" s="153"/>
      <c r="CS40" s="153"/>
      <c r="CT40" s="153"/>
      <c r="CU40" s="153"/>
      <c r="CV40" s="153"/>
      <c r="CW40" s="153"/>
      <c r="CX40" s="153"/>
      <c r="CY40" s="153"/>
      <c r="CZ40" s="153"/>
      <c r="DA40" s="153"/>
      <c r="DB40" s="153"/>
      <c r="DC40" s="153"/>
      <c r="DD40" s="153"/>
      <c r="DE40" s="153"/>
      <c r="DF40" s="153"/>
      <c r="DG40" s="153"/>
      <c r="DH40" s="153"/>
      <c r="DI40" s="153"/>
      <c r="DJ40" s="153"/>
      <c r="DK40" s="153"/>
      <c r="DL40" s="153"/>
      <c r="DM40" s="153"/>
      <c r="DN40" s="153"/>
      <c r="DO40" s="153"/>
      <c r="DP40" s="153"/>
      <c r="DQ40" s="153"/>
      <c r="DR40" s="153"/>
      <c r="DS40" s="153"/>
      <c r="DT40" s="153"/>
      <c r="DU40" s="153"/>
      <c r="DV40" s="153"/>
      <c r="DW40" s="153"/>
      <c r="DX40" s="153"/>
      <c r="DY40" s="153"/>
      <c r="DZ40" s="153"/>
      <c r="EA40" s="153"/>
      <c r="EB40" s="153"/>
      <c r="EC40" s="153"/>
      <c r="ED40" s="153"/>
      <c r="EE40" s="153"/>
      <c r="EF40" s="153"/>
      <c r="EG40" s="153"/>
      <c r="EH40" s="153"/>
      <c r="EI40" s="153"/>
      <c r="EJ40" s="153"/>
      <c r="EK40" s="153"/>
      <c r="EL40" s="153"/>
      <c r="EM40" s="153"/>
      <c r="EN40" s="153"/>
      <c r="EO40" s="153"/>
      <c r="EP40" s="153"/>
      <c r="EQ40" s="153"/>
      <c r="ER40" s="153"/>
      <c r="ES40" s="153"/>
      <c r="ET40" s="153"/>
      <c r="EU40" s="153"/>
      <c r="EV40" s="153"/>
      <c r="EW40" s="153"/>
      <c r="EX40" s="153"/>
      <c r="EY40" s="153"/>
      <c r="EZ40" s="153"/>
      <c r="FA40" s="153"/>
      <c r="FB40" s="153"/>
      <c r="FC40" s="153"/>
      <c r="FD40" s="153"/>
      <c r="FE40" s="153"/>
      <c r="FF40" s="153"/>
      <c r="FG40" s="153"/>
      <c r="FH40" s="153"/>
      <c r="FI40" s="153"/>
      <c r="FJ40" s="153"/>
      <c r="FK40" s="153"/>
      <c r="FL40" s="153"/>
      <c r="FM40" s="153"/>
      <c r="FN40" s="153"/>
      <c r="FO40" s="153"/>
      <c r="FP40" s="153"/>
      <c r="FQ40" s="153"/>
      <c r="FR40" s="153"/>
      <c r="FS40" s="153"/>
      <c r="FT40" s="153"/>
      <c r="FU40" s="153"/>
      <c r="FV40" s="153"/>
      <c r="FW40" s="153"/>
      <c r="FX40" s="153"/>
      <c r="FY40" s="153"/>
      <c r="FZ40" s="153"/>
      <c r="GA40" s="153"/>
      <c r="GB40" s="153"/>
      <c r="GC40" s="153"/>
      <c r="GD40" s="153"/>
      <c r="GE40" s="153"/>
      <c r="GF40" s="153"/>
      <c r="GG40" s="153"/>
      <c r="GH40" s="153"/>
      <c r="GI40" s="153"/>
      <c r="GJ40" s="153"/>
      <c r="GK40" s="153"/>
      <c r="GL40" s="153"/>
      <c r="GM40" s="153"/>
      <c r="GN40" s="153"/>
      <c r="GO40" s="153"/>
      <c r="GP40" s="153"/>
      <c r="GQ40" s="153"/>
      <c r="GR40" s="153"/>
      <c r="GS40" s="153"/>
      <c r="GT40" s="153"/>
      <c r="GU40" s="153"/>
      <c r="GV40" s="153"/>
      <c r="GW40" s="153"/>
      <c r="GX40" s="153"/>
      <c r="GY40" s="153"/>
      <c r="GZ40" s="153"/>
      <c r="HA40" s="153"/>
      <c r="HB40" s="153"/>
      <c r="HC40" s="153"/>
      <c r="HD40" s="153"/>
      <c r="HE40" s="153"/>
      <c r="HF40" s="153"/>
      <c r="HG40" s="153"/>
      <c r="HH40" s="153"/>
      <c r="HI40" s="153"/>
      <c r="HJ40" s="153"/>
      <c r="HK40" s="153"/>
      <c r="HL40" s="153"/>
      <c r="HM40" s="153"/>
      <c r="HN40" s="153"/>
      <c r="HO40" s="153"/>
      <c r="HP40" s="153"/>
      <c r="HQ40" s="153"/>
      <c r="HR40" s="153"/>
      <c r="HS40" s="153"/>
      <c r="HT40" s="153"/>
      <c r="HU40" s="153"/>
      <c r="HV40" s="153"/>
      <c r="HW40" s="153"/>
      <c r="HX40" s="153"/>
      <c r="HY40" s="153"/>
      <c r="HZ40" s="153"/>
      <c r="IA40" s="153"/>
      <c r="IB40" s="153"/>
      <c r="IC40" s="153"/>
      <c r="ID40" s="153"/>
      <c r="IE40" s="153"/>
      <c r="IF40" s="153"/>
      <c r="IG40" s="153"/>
      <c r="IH40" s="153"/>
      <c r="II40" s="153"/>
      <c r="IJ40" s="153"/>
      <c r="IK40" s="153"/>
      <c r="IL40" s="153"/>
      <c r="IM40" s="153"/>
      <c r="IN40" s="153"/>
      <c r="IO40" s="153"/>
      <c r="IP40" s="153"/>
      <c r="IQ40" s="153"/>
      <c r="IR40" s="153"/>
      <c r="IS40" s="153"/>
      <c r="IT40" s="153"/>
      <c r="IU40" s="153"/>
      <c r="IV40" s="153"/>
      <c r="IW40" s="153"/>
    </row>
    <row r="41" customFormat="false" ht="12.75" hidden="false" customHeight="false" outlineLevel="0" collapsed="false">
      <c r="A41" s="153"/>
      <c r="B41" s="115" t="s">
        <v>76</v>
      </c>
      <c r="C41" s="116"/>
      <c r="D41" s="122" t="n">
        <f aca="false">SUM($C40:D40)</f>
        <v>9.007</v>
      </c>
      <c r="E41" s="122" t="n">
        <f aca="false">SUM($D40:E40)</f>
        <v>-7.79</v>
      </c>
      <c r="F41" s="122" t="n">
        <f aca="false">SUM($D40:F40)</f>
        <v>-5.18</v>
      </c>
      <c r="G41" s="122" t="n">
        <f aca="false">SUM($D40:G40)</f>
        <v>-5.447</v>
      </c>
      <c r="H41" s="122" t="n">
        <f aca="false">SUM($D40:H40)</f>
        <v>-18.129</v>
      </c>
      <c r="I41" s="122" t="n">
        <f aca="false">SUM($D40:I40)</f>
        <v>-16.952</v>
      </c>
      <c r="J41" s="122" t="n">
        <f aca="false">SUM($D40:J40)</f>
        <v>-13.431</v>
      </c>
      <c r="K41" s="122" t="n">
        <f aca="false">SUM($D40:K40)</f>
        <v>-10.944</v>
      </c>
      <c r="L41" s="122" t="n">
        <f aca="false">SUM($D40:L40)</f>
        <v>-0.475000000000001</v>
      </c>
      <c r="M41" s="122"/>
      <c r="N41" s="122"/>
      <c r="O41" s="12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/>
      <c r="BP41" s="153"/>
      <c r="BQ41" s="153"/>
      <c r="BR41" s="153"/>
      <c r="BS41" s="153"/>
      <c r="BT41" s="153"/>
      <c r="BU41" s="153"/>
      <c r="BV41" s="153"/>
      <c r="BW41" s="153"/>
      <c r="BX41" s="153"/>
      <c r="BY41" s="153"/>
      <c r="BZ41" s="153"/>
      <c r="CA41" s="153"/>
      <c r="CB41" s="153"/>
      <c r="CC41" s="153"/>
      <c r="CD41" s="153"/>
      <c r="CE41" s="153"/>
      <c r="CF41" s="153"/>
      <c r="CG41" s="153"/>
      <c r="CH41" s="153"/>
      <c r="CI41" s="153"/>
      <c r="CJ41" s="153"/>
      <c r="CK41" s="153"/>
      <c r="CL41" s="153"/>
      <c r="CM41" s="153"/>
      <c r="CN41" s="153"/>
      <c r="CO41" s="153"/>
      <c r="CP41" s="153"/>
      <c r="CQ41" s="153"/>
      <c r="CR41" s="153"/>
      <c r="CS41" s="153"/>
      <c r="CT41" s="153"/>
      <c r="CU41" s="153"/>
      <c r="CV41" s="153"/>
      <c r="CW41" s="153"/>
      <c r="CX41" s="153"/>
      <c r="CY41" s="153"/>
      <c r="CZ41" s="153"/>
      <c r="DA41" s="153"/>
      <c r="DB41" s="153"/>
      <c r="DC41" s="153"/>
      <c r="DD41" s="153"/>
      <c r="DE41" s="153"/>
      <c r="DF41" s="153"/>
      <c r="DG41" s="153"/>
      <c r="DH41" s="153"/>
      <c r="DI41" s="153"/>
      <c r="DJ41" s="153"/>
      <c r="DK41" s="153"/>
      <c r="DL41" s="153"/>
      <c r="DM41" s="153"/>
      <c r="DN41" s="153"/>
      <c r="DO41" s="153"/>
      <c r="DP41" s="153"/>
      <c r="DQ41" s="153"/>
      <c r="DR41" s="153"/>
      <c r="DS41" s="153"/>
      <c r="DT41" s="153"/>
      <c r="DU41" s="153"/>
      <c r="DV41" s="153"/>
      <c r="DW41" s="153"/>
      <c r="DX41" s="153"/>
      <c r="DY41" s="153"/>
      <c r="DZ41" s="153"/>
      <c r="EA41" s="153"/>
      <c r="EB41" s="153"/>
      <c r="EC41" s="153"/>
      <c r="ED41" s="153"/>
      <c r="EE41" s="153"/>
      <c r="EF41" s="153"/>
      <c r="EG41" s="153"/>
      <c r="EH41" s="153"/>
      <c r="EI41" s="153"/>
      <c r="EJ41" s="153"/>
      <c r="EK41" s="153"/>
      <c r="EL41" s="153"/>
      <c r="EM41" s="153"/>
      <c r="EN41" s="153"/>
      <c r="EO41" s="153"/>
      <c r="EP41" s="153"/>
      <c r="EQ41" s="153"/>
      <c r="ER41" s="153"/>
      <c r="ES41" s="153"/>
      <c r="ET41" s="153"/>
      <c r="EU41" s="153"/>
      <c r="EV41" s="153"/>
      <c r="EW41" s="153"/>
      <c r="EX41" s="153"/>
      <c r="EY41" s="153"/>
      <c r="EZ41" s="153"/>
      <c r="FA41" s="153"/>
      <c r="FB41" s="153"/>
      <c r="FC41" s="153"/>
      <c r="FD41" s="153"/>
      <c r="FE41" s="153"/>
      <c r="FF41" s="153"/>
      <c r="FG41" s="153"/>
      <c r="FH41" s="153"/>
      <c r="FI41" s="153"/>
      <c r="FJ41" s="153"/>
      <c r="FK41" s="153"/>
      <c r="FL41" s="153"/>
      <c r="FM41" s="153"/>
      <c r="FN41" s="153"/>
      <c r="FO41" s="153"/>
      <c r="FP41" s="153"/>
      <c r="FQ41" s="153"/>
      <c r="FR41" s="153"/>
      <c r="FS41" s="153"/>
      <c r="FT41" s="153"/>
      <c r="FU41" s="153"/>
      <c r="FV41" s="153"/>
      <c r="FW41" s="153"/>
      <c r="FX41" s="153"/>
      <c r="FY41" s="153"/>
      <c r="FZ41" s="153"/>
      <c r="GA41" s="153"/>
      <c r="GB41" s="153"/>
      <c r="GC41" s="153"/>
      <c r="GD41" s="153"/>
      <c r="GE41" s="153"/>
      <c r="GF41" s="153"/>
      <c r="GG41" s="153"/>
      <c r="GH41" s="153"/>
      <c r="GI41" s="153"/>
      <c r="GJ41" s="153"/>
      <c r="GK41" s="153"/>
      <c r="GL41" s="153"/>
      <c r="GM41" s="153"/>
      <c r="GN41" s="153"/>
      <c r="GO41" s="153"/>
      <c r="GP41" s="153"/>
      <c r="GQ41" s="153"/>
      <c r="GR41" s="153"/>
      <c r="GS41" s="153"/>
      <c r="GT41" s="153"/>
      <c r="GU41" s="153"/>
      <c r="GV41" s="153"/>
      <c r="GW41" s="153"/>
      <c r="GX41" s="153"/>
      <c r="GY41" s="153"/>
      <c r="GZ41" s="153"/>
      <c r="HA41" s="153"/>
      <c r="HB41" s="153"/>
      <c r="HC41" s="153"/>
      <c r="HD41" s="153"/>
      <c r="HE41" s="153"/>
      <c r="HF41" s="153"/>
      <c r="HG41" s="153"/>
      <c r="HH41" s="153"/>
      <c r="HI41" s="153"/>
      <c r="HJ41" s="153"/>
      <c r="HK41" s="153"/>
      <c r="HL41" s="153"/>
      <c r="HM41" s="153"/>
      <c r="HN41" s="153"/>
      <c r="HO41" s="153"/>
      <c r="HP41" s="153"/>
      <c r="HQ41" s="153"/>
      <c r="HR41" s="153"/>
      <c r="HS41" s="153"/>
      <c r="HT41" s="153"/>
      <c r="HU41" s="153"/>
      <c r="HV41" s="153"/>
      <c r="HW41" s="153"/>
      <c r="HX41" s="153"/>
      <c r="HY41" s="153"/>
      <c r="HZ41" s="153"/>
      <c r="IA41" s="153"/>
      <c r="IB41" s="153"/>
      <c r="IC41" s="153"/>
      <c r="ID41" s="153"/>
      <c r="IE41" s="153"/>
      <c r="IF41" s="153"/>
      <c r="IG41" s="153"/>
      <c r="IH41" s="153"/>
      <c r="II41" s="153"/>
      <c r="IJ41" s="153"/>
      <c r="IK41" s="153"/>
      <c r="IL41" s="153"/>
      <c r="IM41" s="153"/>
      <c r="IN41" s="153"/>
      <c r="IO41" s="153"/>
      <c r="IP41" s="153"/>
      <c r="IQ41" s="153"/>
      <c r="IR41" s="153"/>
      <c r="IS41" s="153"/>
      <c r="IT41" s="153"/>
      <c r="IU41" s="153"/>
      <c r="IV41" s="153"/>
      <c r="IW41" s="153"/>
    </row>
    <row r="42" customFormat="false" ht="13.5" hidden="false" customHeight="false" outlineLevel="0" collapsed="false">
      <c r="A42" s="153"/>
      <c r="B42" s="165"/>
      <c r="C42" s="27"/>
      <c r="D42" s="122"/>
      <c r="E42" s="122"/>
      <c r="F42" s="122"/>
      <c r="G42" s="122"/>
      <c r="H42" s="122"/>
      <c r="I42" s="122"/>
      <c r="J42" s="136"/>
      <c r="K42" s="136"/>
      <c r="L42" s="136"/>
      <c r="M42" s="136"/>
      <c r="N42" s="136"/>
      <c r="O42" s="137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3"/>
      <c r="BX42" s="153"/>
      <c r="BY42" s="153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153"/>
      <c r="CQ42" s="153"/>
      <c r="CR42" s="153"/>
      <c r="CS42" s="153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153"/>
      <c r="DK42" s="153"/>
      <c r="DL42" s="153"/>
      <c r="DM42" s="153"/>
      <c r="DN42" s="153"/>
      <c r="DO42" s="153"/>
      <c r="DP42" s="153"/>
      <c r="DQ42" s="153"/>
      <c r="DR42" s="153"/>
      <c r="DS42" s="153"/>
      <c r="DT42" s="153"/>
      <c r="DU42" s="153"/>
      <c r="DV42" s="153"/>
      <c r="DW42" s="153"/>
      <c r="DX42" s="153"/>
      <c r="DY42" s="153"/>
      <c r="DZ42" s="153"/>
      <c r="EA42" s="153"/>
      <c r="EB42" s="153"/>
      <c r="EC42" s="153"/>
      <c r="ED42" s="153"/>
      <c r="EE42" s="153"/>
      <c r="EF42" s="153"/>
      <c r="EG42" s="153"/>
      <c r="EH42" s="153"/>
      <c r="EI42" s="153"/>
      <c r="EJ42" s="153"/>
      <c r="EK42" s="153"/>
      <c r="EL42" s="153"/>
      <c r="EM42" s="153"/>
      <c r="EN42" s="153"/>
      <c r="EO42" s="153"/>
      <c r="EP42" s="153"/>
      <c r="EQ42" s="153"/>
      <c r="ER42" s="153"/>
      <c r="ES42" s="153"/>
      <c r="ET42" s="153"/>
      <c r="EU42" s="153"/>
      <c r="EV42" s="153"/>
      <c r="EW42" s="153"/>
      <c r="EX42" s="153"/>
      <c r="EY42" s="153"/>
      <c r="EZ42" s="153"/>
      <c r="FA42" s="153"/>
      <c r="FB42" s="153"/>
      <c r="FC42" s="153"/>
      <c r="FD42" s="153"/>
      <c r="FE42" s="153"/>
      <c r="FF42" s="153"/>
      <c r="FG42" s="153"/>
      <c r="FH42" s="153"/>
      <c r="FI42" s="153"/>
      <c r="FJ42" s="153"/>
      <c r="FK42" s="153"/>
      <c r="FL42" s="153"/>
      <c r="FM42" s="153"/>
      <c r="FN42" s="153"/>
      <c r="FO42" s="153"/>
      <c r="FP42" s="153"/>
      <c r="FQ42" s="153"/>
      <c r="FR42" s="153"/>
      <c r="FS42" s="153"/>
      <c r="FT42" s="153"/>
      <c r="FU42" s="153"/>
      <c r="FV42" s="153"/>
      <c r="FW42" s="153"/>
      <c r="FX42" s="153"/>
      <c r="FY42" s="153"/>
      <c r="FZ42" s="153"/>
      <c r="GA42" s="153"/>
      <c r="GB42" s="153"/>
      <c r="GC42" s="153"/>
      <c r="GD42" s="153"/>
      <c r="GE42" s="153"/>
      <c r="GF42" s="153"/>
      <c r="GG42" s="153"/>
      <c r="GH42" s="153"/>
      <c r="GI42" s="153"/>
      <c r="GJ42" s="153"/>
      <c r="GK42" s="153"/>
      <c r="GL42" s="153"/>
      <c r="GM42" s="153"/>
      <c r="GN42" s="153"/>
      <c r="GO42" s="153"/>
      <c r="GP42" s="153"/>
      <c r="GQ42" s="153"/>
      <c r="GR42" s="153"/>
      <c r="GS42" s="153"/>
      <c r="GT42" s="153"/>
      <c r="GU42" s="153"/>
      <c r="GV42" s="153"/>
      <c r="GW42" s="153"/>
      <c r="GX42" s="153"/>
      <c r="GY42" s="153"/>
      <c r="GZ42" s="153"/>
      <c r="HA42" s="153"/>
      <c r="HB42" s="153"/>
      <c r="HC42" s="153"/>
      <c r="HD42" s="153"/>
      <c r="HE42" s="153"/>
      <c r="HF42" s="153"/>
      <c r="HG42" s="153"/>
      <c r="HH42" s="153"/>
      <c r="HI42" s="153"/>
      <c r="HJ42" s="153"/>
      <c r="HK42" s="153"/>
      <c r="HL42" s="153"/>
      <c r="HM42" s="153"/>
      <c r="HN42" s="153"/>
      <c r="HO42" s="153"/>
      <c r="HP42" s="153"/>
      <c r="HQ42" s="153"/>
      <c r="HR42" s="153"/>
      <c r="HS42" s="153"/>
      <c r="HT42" s="153"/>
      <c r="HU42" s="153"/>
      <c r="HV42" s="153"/>
      <c r="HW42" s="153"/>
      <c r="HX42" s="153"/>
      <c r="HY42" s="153"/>
      <c r="HZ42" s="153"/>
      <c r="IA42" s="153"/>
      <c r="IB42" s="153"/>
      <c r="IC42" s="153"/>
      <c r="ID42" s="153"/>
      <c r="IE42" s="153"/>
      <c r="IF42" s="153"/>
      <c r="IG42" s="153"/>
      <c r="IH42" s="153"/>
      <c r="II42" s="153"/>
      <c r="IJ42" s="153"/>
      <c r="IK42" s="153"/>
      <c r="IL42" s="153"/>
      <c r="IM42" s="153"/>
      <c r="IN42" s="153"/>
      <c r="IO42" s="153"/>
      <c r="IP42" s="153"/>
      <c r="IQ42" s="153"/>
      <c r="IR42" s="153"/>
      <c r="IS42" s="153"/>
      <c r="IT42" s="153"/>
      <c r="IU42" s="153"/>
      <c r="IV42" s="153"/>
      <c r="IW42" s="153"/>
    </row>
    <row r="43" customFormat="false" ht="12.75" hidden="false" customHeight="false" outlineLevel="0" collapsed="false">
      <c r="A43" s="153"/>
      <c r="B43" s="151" t="s">
        <v>43</v>
      </c>
      <c r="C43" s="112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4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153"/>
      <c r="BP43" s="153"/>
      <c r="BQ43" s="153"/>
      <c r="BR43" s="153"/>
      <c r="BS43" s="153"/>
      <c r="BT43" s="153"/>
      <c r="BU43" s="153"/>
      <c r="BV43" s="153"/>
      <c r="BW43" s="153"/>
      <c r="BX43" s="153"/>
      <c r="BY43" s="153"/>
      <c r="BZ43" s="153"/>
      <c r="CA43" s="153"/>
      <c r="CB43" s="153"/>
      <c r="CC43" s="153"/>
      <c r="CD43" s="153"/>
      <c r="CE43" s="153"/>
      <c r="CF43" s="153"/>
      <c r="CG43" s="153"/>
      <c r="CH43" s="153"/>
      <c r="CI43" s="153"/>
      <c r="CJ43" s="153"/>
      <c r="CK43" s="153"/>
      <c r="CL43" s="153"/>
      <c r="CM43" s="153"/>
      <c r="CN43" s="153"/>
      <c r="CO43" s="153"/>
      <c r="CP43" s="153"/>
      <c r="CQ43" s="153"/>
      <c r="CR43" s="153"/>
      <c r="CS43" s="153"/>
      <c r="CT43" s="153"/>
      <c r="CU43" s="153"/>
      <c r="CV43" s="153"/>
      <c r="CW43" s="153"/>
      <c r="CX43" s="153"/>
      <c r="CY43" s="153"/>
      <c r="CZ43" s="153"/>
      <c r="DA43" s="153"/>
      <c r="DB43" s="153"/>
      <c r="DC43" s="153"/>
      <c r="DD43" s="153"/>
      <c r="DE43" s="153"/>
      <c r="DF43" s="153"/>
      <c r="DG43" s="153"/>
      <c r="DH43" s="153"/>
      <c r="DI43" s="153"/>
      <c r="DJ43" s="153"/>
      <c r="DK43" s="153"/>
      <c r="DL43" s="153"/>
      <c r="DM43" s="153"/>
      <c r="DN43" s="153"/>
      <c r="DO43" s="153"/>
      <c r="DP43" s="153"/>
      <c r="DQ43" s="153"/>
      <c r="DR43" s="153"/>
      <c r="DS43" s="153"/>
      <c r="DT43" s="153"/>
      <c r="DU43" s="153"/>
      <c r="DV43" s="153"/>
      <c r="DW43" s="153"/>
      <c r="DX43" s="153"/>
      <c r="DY43" s="153"/>
      <c r="DZ43" s="153"/>
      <c r="EA43" s="153"/>
      <c r="EB43" s="153"/>
      <c r="EC43" s="153"/>
      <c r="ED43" s="153"/>
      <c r="EE43" s="153"/>
      <c r="EF43" s="153"/>
      <c r="EG43" s="153"/>
      <c r="EH43" s="153"/>
      <c r="EI43" s="153"/>
      <c r="EJ43" s="153"/>
      <c r="EK43" s="153"/>
      <c r="EL43" s="153"/>
      <c r="EM43" s="153"/>
      <c r="EN43" s="153"/>
      <c r="EO43" s="153"/>
      <c r="EP43" s="153"/>
      <c r="EQ43" s="153"/>
      <c r="ER43" s="153"/>
      <c r="ES43" s="153"/>
      <c r="ET43" s="153"/>
      <c r="EU43" s="153"/>
      <c r="EV43" s="153"/>
      <c r="EW43" s="153"/>
      <c r="EX43" s="153"/>
      <c r="EY43" s="153"/>
      <c r="EZ43" s="153"/>
      <c r="FA43" s="153"/>
      <c r="FB43" s="153"/>
      <c r="FC43" s="153"/>
      <c r="FD43" s="153"/>
      <c r="FE43" s="153"/>
      <c r="FF43" s="153"/>
      <c r="FG43" s="153"/>
      <c r="FH43" s="153"/>
      <c r="FI43" s="153"/>
      <c r="FJ43" s="153"/>
      <c r="FK43" s="153"/>
      <c r="FL43" s="153"/>
      <c r="FM43" s="153"/>
      <c r="FN43" s="153"/>
      <c r="FO43" s="153"/>
      <c r="FP43" s="153"/>
      <c r="FQ43" s="153"/>
      <c r="FR43" s="153"/>
      <c r="FS43" s="153"/>
      <c r="FT43" s="153"/>
      <c r="FU43" s="153"/>
      <c r="FV43" s="153"/>
      <c r="FW43" s="153"/>
      <c r="FX43" s="153"/>
      <c r="FY43" s="153"/>
      <c r="FZ43" s="153"/>
      <c r="GA43" s="153"/>
      <c r="GB43" s="153"/>
      <c r="GC43" s="153"/>
      <c r="GD43" s="153"/>
      <c r="GE43" s="153"/>
      <c r="GF43" s="153"/>
      <c r="GG43" s="153"/>
      <c r="GH43" s="153"/>
      <c r="GI43" s="153"/>
      <c r="GJ43" s="153"/>
      <c r="GK43" s="153"/>
      <c r="GL43" s="153"/>
      <c r="GM43" s="153"/>
      <c r="GN43" s="153"/>
      <c r="GO43" s="153"/>
      <c r="GP43" s="153"/>
      <c r="GQ43" s="153"/>
      <c r="GR43" s="153"/>
      <c r="GS43" s="153"/>
      <c r="GT43" s="153"/>
      <c r="GU43" s="153"/>
      <c r="GV43" s="153"/>
      <c r="GW43" s="153"/>
      <c r="GX43" s="153"/>
      <c r="GY43" s="153"/>
      <c r="GZ43" s="153"/>
      <c r="HA43" s="153"/>
      <c r="HB43" s="153"/>
      <c r="HC43" s="153"/>
      <c r="HD43" s="153"/>
      <c r="HE43" s="153"/>
      <c r="HF43" s="153"/>
      <c r="HG43" s="153"/>
      <c r="HH43" s="153"/>
      <c r="HI43" s="153"/>
      <c r="HJ43" s="153"/>
      <c r="HK43" s="153"/>
      <c r="HL43" s="153"/>
      <c r="HM43" s="153"/>
      <c r="HN43" s="153"/>
      <c r="HO43" s="153"/>
      <c r="HP43" s="153"/>
      <c r="HQ43" s="153"/>
      <c r="HR43" s="153"/>
      <c r="HS43" s="153"/>
      <c r="HT43" s="153"/>
      <c r="HU43" s="153"/>
      <c r="HV43" s="153"/>
      <c r="HW43" s="153"/>
      <c r="HX43" s="153"/>
      <c r="HY43" s="153"/>
      <c r="HZ43" s="153"/>
      <c r="IA43" s="153"/>
      <c r="IB43" s="153"/>
      <c r="IC43" s="153"/>
      <c r="ID43" s="153"/>
      <c r="IE43" s="153"/>
      <c r="IF43" s="153"/>
      <c r="IG43" s="153"/>
      <c r="IH43" s="153"/>
      <c r="II43" s="153"/>
      <c r="IJ43" s="153"/>
      <c r="IK43" s="153"/>
      <c r="IL43" s="153"/>
      <c r="IM43" s="153"/>
      <c r="IN43" s="153"/>
      <c r="IO43" s="153"/>
      <c r="IP43" s="153"/>
      <c r="IQ43" s="153"/>
      <c r="IR43" s="153"/>
      <c r="IS43" s="153"/>
      <c r="IT43" s="153"/>
      <c r="IU43" s="153"/>
      <c r="IV43" s="153"/>
      <c r="IW43" s="153"/>
    </row>
    <row r="44" customFormat="false" ht="12.75" hidden="false" customHeight="false" outlineLevel="0" collapsed="false">
      <c r="A44" s="153"/>
      <c r="B44" s="152" t="s">
        <v>74</v>
      </c>
      <c r="C44" s="116"/>
      <c r="D44" s="118" t="s">
        <v>14</v>
      </c>
      <c r="E44" s="118" t="s">
        <v>15</v>
      </c>
      <c r="F44" s="118" t="s">
        <v>16</v>
      </c>
      <c r="G44" s="118" t="s">
        <v>17</v>
      </c>
      <c r="H44" s="118" t="s">
        <v>18</v>
      </c>
      <c r="I44" s="118" t="s">
        <v>19</v>
      </c>
      <c r="J44" s="118" t="s">
        <v>20</v>
      </c>
      <c r="K44" s="118" t="s">
        <v>21</v>
      </c>
      <c r="L44" s="118" t="s">
        <v>68</v>
      </c>
      <c r="M44" s="118" t="s">
        <v>23</v>
      </c>
      <c r="N44" s="118" t="s">
        <v>24</v>
      </c>
      <c r="O44" s="119" t="s">
        <v>25</v>
      </c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3"/>
      <c r="BQ44" s="153"/>
      <c r="BR44" s="153"/>
      <c r="BS44" s="153"/>
      <c r="BT44" s="153"/>
      <c r="BU44" s="153"/>
      <c r="BV44" s="153"/>
      <c r="BW44" s="153"/>
      <c r="BX44" s="153"/>
      <c r="BY44" s="153"/>
      <c r="BZ44" s="153"/>
      <c r="CA44" s="153"/>
      <c r="CB44" s="153"/>
      <c r="CC44" s="153"/>
      <c r="CD44" s="153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153"/>
      <c r="CQ44" s="153"/>
      <c r="CR44" s="153"/>
      <c r="CS44" s="153"/>
      <c r="CT44" s="153"/>
      <c r="CU44" s="153"/>
      <c r="CV44" s="153"/>
      <c r="CW44" s="153"/>
      <c r="CX44" s="153"/>
      <c r="CY44" s="153"/>
      <c r="CZ44" s="153"/>
      <c r="DA44" s="153"/>
      <c r="DB44" s="153"/>
      <c r="DC44" s="153"/>
      <c r="DD44" s="153"/>
      <c r="DE44" s="153"/>
      <c r="DF44" s="153"/>
      <c r="DG44" s="153"/>
      <c r="DH44" s="153"/>
      <c r="DI44" s="153"/>
      <c r="DJ44" s="153"/>
      <c r="DK44" s="153"/>
      <c r="DL44" s="153"/>
      <c r="DM44" s="153"/>
      <c r="DN44" s="153"/>
      <c r="DO44" s="153"/>
      <c r="DP44" s="153"/>
      <c r="DQ44" s="153"/>
      <c r="DR44" s="153"/>
      <c r="DS44" s="153"/>
      <c r="DT44" s="153"/>
      <c r="DU44" s="153"/>
      <c r="DV44" s="153"/>
      <c r="DW44" s="153"/>
      <c r="DX44" s="153"/>
      <c r="DY44" s="153"/>
      <c r="DZ44" s="153"/>
      <c r="EA44" s="153"/>
      <c r="EB44" s="153"/>
      <c r="EC44" s="153"/>
      <c r="ED44" s="153"/>
      <c r="EE44" s="153"/>
      <c r="EF44" s="153"/>
      <c r="EG44" s="153"/>
      <c r="EH44" s="153"/>
      <c r="EI44" s="153"/>
      <c r="EJ44" s="153"/>
      <c r="EK44" s="153"/>
      <c r="EL44" s="153"/>
      <c r="EM44" s="153"/>
      <c r="EN44" s="153"/>
      <c r="EO44" s="153"/>
      <c r="EP44" s="153"/>
      <c r="EQ44" s="153"/>
      <c r="ER44" s="153"/>
      <c r="ES44" s="153"/>
      <c r="ET44" s="153"/>
      <c r="EU44" s="153"/>
      <c r="EV44" s="153"/>
      <c r="EW44" s="153"/>
      <c r="EX44" s="153"/>
      <c r="EY44" s="153"/>
      <c r="EZ44" s="153"/>
      <c r="FA44" s="153"/>
      <c r="FB44" s="153"/>
      <c r="FC44" s="153"/>
      <c r="FD44" s="153"/>
      <c r="FE44" s="153"/>
      <c r="FF44" s="153"/>
      <c r="FG44" s="153"/>
      <c r="FH44" s="153"/>
      <c r="FI44" s="153"/>
      <c r="FJ44" s="153"/>
      <c r="FK44" s="153"/>
      <c r="FL44" s="153"/>
      <c r="FM44" s="153"/>
      <c r="FN44" s="153"/>
      <c r="FO44" s="153"/>
      <c r="FP44" s="153"/>
      <c r="FQ44" s="153"/>
      <c r="FR44" s="153"/>
      <c r="FS44" s="153"/>
      <c r="FT44" s="153"/>
      <c r="FU44" s="153"/>
      <c r="FV44" s="153"/>
      <c r="FW44" s="153"/>
      <c r="FX44" s="153"/>
      <c r="FY44" s="153"/>
      <c r="FZ44" s="153"/>
      <c r="GA44" s="153"/>
      <c r="GB44" s="153"/>
      <c r="GC44" s="153"/>
      <c r="GD44" s="153"/>
      <c r="GE44" s="153"/>
      <c r="GF44" s="153"/>
      <c r="GG44" s="153"/>
      <c r="GH44" s="153"/>
      <c r="GI44" s="153"/>
      <c r="GJ44" s="153"/>
      <c r="GK44" s="153"/>
      <c r="GL44" s="153"/>
      <c r="GM44" s="153"/>
      <c r="GN44" s="153"/>
      <c r="GO44" s="153"/>
      <c r="GP44" s="153"/>
      <c r="GQ44" s="153"/>
      <c r="GR44" s="153"/>
      <c r="GS44" s="153"/>
      <c r="GT44" s="153"/>
      <c r="GU44" s="153"/>
      <c r="GV44" s="153"/>
      <c r="GW44" s="153"/>
      <c r="GX44" s="153"/>
      <c r="GY44" s="153"/>
      <c r="GZ44" s="153"/>
      <c r="HA44" s="153"/>
      <c r="HB44" s="153"/>
      <c r="HC44" s="153"/>
      <c r="HD44" s="153"/>
      <c r="HE44" s="153"/>
      <c r="HF44" s="153"/>
      <c r="HG44" s="153"/>
      <c r="HH44" s="153"/>
      <c r="HI44" s="153"/>
      <c r="HJ44" s="153"/>
      <c r="HK44" s="153"/>
      <c r="HL44" s="153"/>
      <c r="HM44" s="153"/>
      <c r="HN44" s="153"/>
      <c r="HO44" s="153"/>
      <c r="HP44" s="153"/>
      <c r="HQ44" s="153"/>
      <c r="HR44" s="153"/>
      <c r="HS44" s="153"/>
      <c r="HT44" s="153"/>
      <c r="HU44" s="153"/>
      <c r="HV44" s="153"/>
      <c r="HW44" s="153"/>
      <c r="HX44" s="153"/>
      <c r="HY44" s="153"/>
      <c r="HZ44" s="153"/>
      <c r="IA44" s="153"/>
      <c r="IB44" s="153"/>
      <c r="IC44" s="153"/>
      <c r="ID44" s="153"/>
      <c r="IE44" s="153"/>
      <c r="IF44" s="153"/>
      <c r="IG44" s="153"/>
      <c r="IH44" s="153"/>
      <c r="II44" s="153"/>
      <c r="IJ44" s="153"/>
      <c r="IK44" s="153"/>
      <c r="IL44" s="153"/>
      <c r="IM44" s="153"/>
      <c r="IN44" s="153"/>
      <c r="IO44" s="153"/>
      <c r="IP44" s="153"/>
      <c r="IQ44" s="153"/>
      <c r="IR44" s="153"/>
      <c r="IS44" s="153"/>
      <c r="IT44" s="153"/>
      <c r="IU44" s="153"/>
      <c r="IV44" s="153"/>
      <c r="IW44" s="153"/>
    </row>
    <row r="45" customFormat="false" ht="12.75" hidden="false" customHeight="false" outlineLevel="0" collapsed="false">
      <c r="A45" s="153"/>
      <c r="B45" s="115" t="s">
        <v>75</v>
      </c>
      <c r="C45" s="116"/>
      <c r="D45" s="120" t="n">
        <v>8.743</v>
      </c>
      <c r="E45" s="120" t="n">
        <v>3.13</v>
      </c>
      <c r="F45" s="120" t="n">
        <v>22.232</v>
      </c>
      <c r="G45" s="120" t="n">
        <v>5.644</v>
      </c>
      <c r="H45" s="120" t="n">
        <v>-12.8</v>
      </c>
      <c r="I45" s="120" t="n">
        <v>10.68</v>
      </c>
      <c r="J45" s="120" t="n">
        <v>3.779</v>
      </c>
      <c r="K45" s="120" t="n">
        <v>20.761</v>
      </c>
      <c r="L45" s="120" t="n">
        <v>-11.627</v>
      </c>
      <c r="M45" s="120"/>
      <c r="N45" s="120"/>
      <c r="O45" s="121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3"/>
      <c r="BP45" s="153"/>
      <c r="BQ45" s="153"/>
      <c r="BR45" s="153"/>
      <c r="BS45" s="153"/>
      <c r="BT45" s="153"/>
      <c r="BU45" s="153"/>
      <c r="BV45" s="153"/>
      <c r="BW45" s="153"/>
      <c r="BX45" s="153"/>
      <c r="BY45" s="153"/>
      <c r="BZ45" s="153"/>
      <c r="CA45" s="153"/>
      <c r="CB45" s="153"/>
      <c r="CC45" s="153"/>
      <c r="CD45" s="153"/>
      <c r="CE45" s="153"/>
      <c r="CF45" s="153"/>
      <c r="CG45" s="153"/>
      <c r="CH45" s="153"/>
      <c r="CI45" s="153"/>
      <c r="CJ45" s="153"/>
      <c r="CK45" s="153"/>
      <c r="CL45" s="153"/>
      <c r="CM45" s="153"/>
      <c r="CN45" s="153"/>
      <c r="CO45" s="153"/>
      <c r="CP45" s="153"/>
      <c r="CQ45" s="153"/>
      <c r="CR45" s="153"/>
      <c r="CS45" s="153"/>
      <c r="CT45" s="153"/>
      <c r="CU45" s="153"/>
      <c r="CV45" s="153"/>
      <c r="CW45" s="153"/>
      <c r="CX45" s="153"/>
      <c r="CY45" s="153"/>
      <c r="CZ45" s="153"/>
      <c r="DA45" s="153"/>
      <c r="DB45" s="153"/>
      <c r="DC45" s="153"/>
      <c r="DD45" s="153"/>
      <c r="DE45" s="153"/>
      <c r="DF45" s="153"/>
      <c r="DG45" s="153"/>
      <c r="DH45" s="153"/>
      <c r="DI45" s="153"/>
      <c r="DJ45" s="153"/>
      <c r="DK45" s="153"/>
      <c r="DL45" s="153"/>
      <c r="DM45" s="153"/>
      <c r="DN45" s="153"/>
      <c r="DO45" s="153"/>
      <c r="DP45" s="153"/>
      <c r="DQ45" s="153"/>
      <c r="DR45" s="153"/>
      <c r="DS45" s="153"/>
      <c r="DT45" s="153"/>
      <c r="DU45" s="153"/>
      <c r="DV45" s="153"/>
      <c r="DW45" s="153"/>
      <c r="DX45" s="153"/>
      <c r="DY45" s="153"/>
      <c r="DZ45" s="153"/>
      <c r="EA45" s="153"/>
      <c r="EB45" s="153"/>
      <c r="EC45" s="153"/>
      <c r="ED45" s="153"/>
      <c r="EE45" s="153"/>
      <c r="EF45" s="153"/>
      <c r="EG45" s="153"/>
      <c r="EH45" s="153"/>
      <c r="EI45" s="153"/>
      <c r="EJ45" s="153"/>
      <c r="EK45" s="153"/>
      <c r="EL45" s="153"/>
      <c r="EM45" s="153"/>
      <c r="EN45" s="153"/>
      <c r="EO45" s="153"/>
      <c r="EP45" s="153"/>
      <c r="EQ45" s="153"/>
      <c r="ER45" s="153"/>
      <c r="ES45" s="153"/>
      <c r="ET45" s="153"/>
      <c r="EU45" s="153"/>
      <c r="EV45" s="153"/>
      <c r="EW45" s="153"/>
      <c r="EX45" s="153"/>
      <c r="EY45" s="153"/>
      <c r="EZ45" s="153"/>
      <c r="FA45" s="153"/>
      <c r="FB45" s="153"/>
      <c r="FC45" s="153"/>
      <c r="FD45" s="153"/>
      <c r="FE45" s="153"/>
      <c r="FF45" s="153"/>
      <c r="FG45" s="153"/>
      <c r="FH45" s="153"/>
      <c r="FI45" s="153"/>
      <c r="FJ45" s="153"/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3"/>
      <c r="GF45" s="153"/>
      <c r="GG45" s="153"/>
      <c r="GH45" s="153"/>
      <c r="GI45" s="153"/>
      <c r="GJ45" s="153"/>
      <c r="GK45" s="153"/>
      <c r="GL45" s="153"/>
      <c r="GM45" s="153"/>
      <c r="GN45" s="153"/>
      <c r="GO45" s="153"/>
      <c r="GP45" s="153"/>
      <c r="GQ45" s="153"/>
      <c r="GR45" s="153"/>
      <c r="GS45" s="153"/>
      <c r="GT45" s="153"/>
      <c r="GU45" s="153"/>
      <c r="GV45" s="153"/>
      <c r="GW45" s="153"/>
      <c r="GX45" s="153"/>
      <c r="GY45" s="153"/>
      <c r="GZ45" s="153"/>
      <c r="HA45" s="153"/>
      <c r="HB45" s="153"/>
      <c r="HC45" s="153"/>
      <c r="HD45" s="153"/>
      <c r="HE45" s="153"/>
      <c r="HF45" s="153"/>
      <c r="HG45" s="153"/>
      <c r="HH45" s="153"/>
      <c r="HI45" s="153"/>
      <c r="HJ45" s="153"/>
      <c r="HK45" s="153"/>
      <c r="HL45" s="153"/>
      <c r="HM45" s="153"/>
      <c r="HN45" s="153"/>
      <c r="HO45" s="153"/>
      <c r="HP45" s="153"/>
      <c r="HQ45" s="153"/>
      <c r="HR45" s="153"/>
      <c r="HS45" s="153"/>
      <c r="HT45" s="153"/>
      <c r="HU45" s="153"/>
      <c r="HV45" s="153"/>
      <c r="HW45" s="153"/>
      <c r="HX45" s="153"/>
      <c r="HY45" s="153"/>
      <c r="HZ45" s="153"/>
      <c r="IA45" s="153"/>
      <c r="IB45" s="153"/>
      <c r="IC45" s="153"/>
      <c r="ID45" s="153"/>
      <c r="IE45" s="153"/>
      <c r="IF45" s="153"/>
      <c r="IG45" s="153"/>
      <c r="IH45" s="153"/>
      <c r="II45" s="153"/>
      <c r="IJ45" s="153"/>
      <c r="IK45" s="153"/>
      <c r="IL45" s="153"/>
      <c r="IM45" s="153"/>
      <c r="IN45" s="153"/>
      <c r="IO45" s="153"/>
      <c r="IP45" s="153"/>
      <c r="IQ45" s="153"/>
      <c r="IR45" s="153"/>
      <c r="IS45" s="153"/>
      <c r="IT45" s="153"/>
      <c r="IU45" s="153"/>
      <c r="IV45" s="153"/>
      <c r="IW45" s="153"/>
    </row>
    <row r="46" customFormat="false" ht="12.75" hidden="false" customHeight="false" outlineLevel="0" collapsed="false">
      <c r="A46" s="153"/>
      <c r="B46" s="115" t="s">
        <v>76</v>
      </c>
      <c r="C46" s="116"/>
      <c r="D46" s="122" t="n">
        <f aca="false">SUM($C45:D45)</f>
        <v>8.743</v>
      </c>
      <c r="E46" s="122" t="n">
        <f aca="false">SUM($D45:E45)</f>
        <v>11.873</v>
      </c>
      <c r="F46" s="122" t="n">
        <f aca="false">SUM($D45:F45)</f>
        <v>34.105</v>
      </c>
      <c r="G46" s="122" t="n">
        <f aca="false">SUM($D45:G45)</f>
        <v>39.749</v>
      </c>
      <c r="H46" s="122" t="n">
        <f aca="false">SUM($D45:H45)</f>
        <v>26.949</v>
      </c>
      <c r="I46" s="122" t="n">
        <f aca="false">SUM($D45:I45)</f>
        <v>37.629</v>
      </c>
      <c r="J46" s="122" t="n">
        <f aca="false">SUM($D45:J45)</f>
        <v>41.408</v>
      </c>
      <c r="K46" s="122" t="n">
        <f aca="false">SUM($D45:K45)</f>
        <v>62.169</v>
      </c>
      <c r="L46" s="122" t="n">
        <f aca="false">SUM($D45:L45)</f>
        <v>50.542</v>
      </c>
      <c r="M46" s="122"/>
      <c r="N46" s="122"/>
      <c r="O46" s="12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3"/>
      <c r="BN46" s="153"/>
      <c r="BO46" s="153"/>
      <c r="BP46" s="153"/>
      <c r="BQ46" s="153"/>
      <c r="BR46" s="153"/>
      <c r="BS46" s="153"/>
      <c r="BT46" s="153"/>
      <c r="BU46" s="153"/>
      <c r="BV46" s="153"/>
      <c r="BW46" s="153"/>
      <c r="BX46" s="153"/>
      <c r="BY46" s="153"/>
      <c r="BZ46" s="153"/>
      <c r="CA46" s="153"/>
      <c r="CB46" s="153"/>
      <c r="CC46" s="153"/>
      <c r="CD46" s="153"/>
      <c r="CE46" s="153"/>
      <c r="CF46" s="153"/>
      <c r="CG46" s="153"/>
      <c r="CH46" s="153"/>
      <c r="CI46" s="153"/>
      <c r="CJ46" s="153"/>
      <c r="CK46" s="153"/>
      <c r="CL46" s="153"/>
      <c r="CM46" s="153"/>
      <c r="CN46" s="153"/>
      <c r="CO46" s="153"/>
      <c r="CP46" s="153"/>
      <c r="CQ46" s="153"/>
      <c r="CR46" s="153"/>
      <c r="CS46" s="153"/>
      <c r="CT46" s="153"/>
      <c r="CU46" s="153"/>
      <c r="CV46" s="153"/>
      <c r="CW46" s="153"/>
      <c r="CX46" s="153"/>
      <c r="CY46" s="153"/>
      <c r="CZ46" s="153"/>
      <c r="DA46" s="153"/>
      <c r="DB46" s="153"/>
      <c r="DC46" s="153"/>
      <c r="DD46" s="153"/>
      <c r="DE46" s="153"/>
      <c r="DF46" s="153"/>
      <c r="DG46" s="153"/>
      <c r="DH46" s="153"/>
      <c r="DI46" s="153"/>
      <c r="DJ46" s="153"/>
      <c r="DK46" s="153"/>
      <c r="DL46" s="153"/>
      <c r="DM46" s="153"/>
      <c r="DN46" s="153"/>
      <c r="DO46" s="153"/>
      <c r="DP46" s="153"/>
      <c r="DQ46" s="153"/>
      <c r="DR46" s="153"/>
      <c r="DS46" s="153"/>
      <c r="DT46" s="153"/>
      <c r="DU46" s="153"/>
      <c r="DV46" s="153"/>
      <c r="DW46" s="153"/>
      <c r="DX46" s="153"/>
      <c r="DY46" s="153"/>
      <c r="DZ46" s="153"/>
      <c r="EA46" s="153"/>
      <c r="EB46" s="153"/>
      <c r="EC46" s="153"/>
      <c r="ED46" s="153"/>
      <c r="EE46" s="153"/>
      <c r="EF46" s="153"/>
      <c r="EG46" s="153"/>
      <c r="EH46" s="153"/>
      <c r="EI46" s="153"/>
      <c r="EJ46" s="153"/>
      <c r="EK46" s="153"/>
      <c r="EL46" s="153"/>
      <c r="EM46" s="153"/>
      <c r="EN46" s="153"/>
      <c r="EO46" s="153"/>
      <c r="EP46" s="153"/>
      <c r="EQ46" s="153"/>
      <c r="ER46" s="153"/>
      <c r="ES46" s="153"/>
      <c r="ET46" s="153"/>
      <c r="EU46" s="153"/>
      <c r="EV46" s="153"/>
      <c r="EW46" s="153"/>
      <c r="EX46" s="153"/>
      <c r="EY46" s="153"/>
      <c r="EZ46" s="153"/>
      <c r="FA46" s="153"/>
      <c r="FB46" s="153"/>
      <c r="FC46" s="153"/>
      <c r="FD46" s="153"/>
      <c r="FE46" s="153"/>
      <c r="FF46" s="153"/>
      <c r="FG46" s="153"/>
      <c r="FH46" s="153"/>
      <c r="FI46" s="153"/>
      <c r="FJ46" s="153"/>
      <c r="FK46" s="153"/>
      <c r="FL46" s="153"/>
      <c r="FM46" s="153"/>
      <c r="FN46" s="153"/>
      <c r="FO46" s="153"/>
      <c r="FP46" s="153"/>
      <c r="FQ46" s="153"/>
      <c r="FR46" s="153"/>
      <c r="FS46" s="153"/>
      <c r="FT46" s="153"/>
      <c r="FU46" s="153"/>
      <c r="FV46" s="153"/>
      <c r="FW46" s="153"/>
      <c r="FX46" s="153"/>
      <c r="FY46" s="153"/>
      <c r="FZ46" s="153"/>
      <c r="GA46" s="153"/>
      <c r="GB46" s="153"/>
      <c r="GC46" s="153"/>
      <c r="GD46" s="153"/>
      <c r="GE46" s="153"/>
      <c r="GF46" s="153"/>
      <c r="GG46" s="153"/>
      <c r="GH46" s="153"/>
      <c r="GI46" s="153"/>
      <c r="GJ46" s="153"/>
      <c r="GK46" s="153"/>
      <c r="GL46" s="153"/>
      <c r="GM46" s="153"/>
      <c r="GN46" s="153"/>
      <c r="GO46" s="153"/>
      <c r="GP46" s="153"/>
      <c r="GQ46" s="153"/>
      <c r="GR46" s="153"/>
      <c r="GS46" s="153"/>
      <c r="GT46" s="153"/>
      <c r="GU46" s="153"/>
      <c r="GV46" s="153"/>
      <c r="GW46" s="153"/>
      <c r="GX46" s="153"/>
      <c r="GY46" s="153"/>
      <c r="GZ46" s="153"/>
      <c r="HA46" s="153"/>
      <c r="HB46" s="153"/>
      <c r="HC46" s="153"/>
      <c r="HD46" s="153"/>
      <c r="HE46" s="153"/>
      <c r="HF46" s="153"/>
      <c r="HG46" s="153"/>
      <c r="HH46" s="153"/>
      <c r="HI46" s="153"/>
      <c r="HJ46" s="153"/>
      <c r="HK46" s="153"/>
      <c r="HL46" s="153"/>
      <c r="HM46" s="153"/>
      <c r="HN46" s="153"/>
      <c r="HO46" s="153"/>
      <c r="HP46" s="153"/>
      <c r="HQ46" s="153"/>
      <c r="HR46" s="153"/>
      <c r="HS46" s="153"/>
      <c r="HT46" s="153"/>
      <c r="HU46" s="153"/>
      <c r="HV46" s="153"/>
      <c r="HW46" s="153"/>
      <c r="HX46" s="153"/>
      <c r="HY46" s="153"/>
      <c r="HZ46" s="153"/>
      <c r="IA46" s="153"/>
      <c r="IB46" s="153"/>
      <c r="IC46" s="153"/>
      <c r="ID46" s="153"/>
      <c r="IE46" s="153"/>
      <c r="IF46" s="153"/>
      <c r="IG46" s="153"/>
      <c r="IH46" s="153"/>
      <c r="II46" s="153"/>
      <c r="IJ46" s="153"/>
      <c r="IK46" s="153"/>
      <c r="IL46" s="153"/>
      <c r="IM46" s="153"/>
      <c r="IN46" s="153"/>
      <c r="IO46" s="153"/>
      <c r="IP46" s="153"/>
      <c r="IQ46" s="153"/>
      <c r="IR46" s="153"/>
      <c r="IS46" s="153"/>
      <c r="IT46" s="153"/>
      <c r="IU46" s="153"/>
      <c r="IV46" s="153"/>
      <c r="IW46" s="153"/>
    </row>
    <row r="47" customFormat="false" ht="12.75" hidden="false" customHeight="false" outlineLevel="0" collapsed="false">
      <c r="A47" s="153"/>
      <c r="B47" s="115"/>
      <c r="C47" s="116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  <c r="BQ47" s="153"/>
      <c r="BR47" s="153"/>
      <c r="BS47" s="153"/>
      <c r="BT47" s="153"/>
      <c r="BU47" s="153"/>
      <c r="BV47" s="153"/>
      <c r="BW47" s="153"/>
      <c r="BX47" s="153"/>
      <c r="BY47" s="153"/>
      <c r="BZ47" s="153"/>
      <c r="CA47" s="153"/>
      <c r="CB47" s="153"/>
      <c r="CC47" s="153"/>
      <c r="CD47" s="153"/>
      <c r="CE47" s="153"/>
      <c r="CF47" s="153"/>
      <c r="CG47" s="153"/>
      <c r="CH47" s="153"/>
      <c r="CI47" s="153"/>
      <c r="CJ47" s="153"/>
      <c r="CK47" s="153"/>
      <c r="CL47" s="153"/>
      <c r="CM47" s="153"/>
      <c r="CN47" s="153"/>
      <c r="CO47" s="153"/>
      <c r="CP47" s="153"/>
      <c r="CQ47" s="153"/>
      <c r="CR47" s="153"/>
      <c r="CS47" s="153"/>
      <c r="CT47" s="153"/>
      <c r="CU47" s="153"/>
      <c r="CV47" s="153"/>
      <c r="CW47" s="153"/>
      <c r="CX47" s="153"/>
      <c r="CY47" s="153"/>
      <c r="CZ47" s="153"/>
      <c r="DA47" s="153"/>
      <c r="DB47" s="153"/>
      <c r="DC47" s="153"/>
      <c r="DD47" s="153"/>
      <c r="DE47" s="153"/>
      <c r="DF47" s="153"/>
      <c r="DG47" s="153"/>
      <c r="DH47" s="153"/>
      <c r="DI47" s="153"/>
      <c r="DJ47" s="153"/>
      <c r="DK47" s="153"/>
      <c r="DL47" s="153"/>
      <c r="DM47" s="153"/>
      <c r="DN47" s="153"/>
      <c r="DO47" s="153"/>
      <c r="DP47" s="153"/>
      <c r="DQ47" s="153"/>
      <c r="DR47" s="153"/>
      <c r="DS47" s="153"/>
      <c r="DT47" s="153"/>
      <c r="DU47" s="153"/>
      <c r="DV47" s="153"/>
      <c r="DW47" s="153"/>
      <c r="DX47" s="153"/>
      <c r="DY47" s="153"/>
      <c r="DZ47" s="153"/>
      <c r="EA47" s="153"/>
      <c r="EB47" s="153"/>
      <c r="EC47" s="153"/>
      <c r="ED47" s="153"/>
      <c r="EE47" s="153"/>
      <c r="EF47" s="153"/>
      <c r="EG47" s="153"/>
      <c r="EH47" s="153"/>
      <c r="EI47" s="153"/>
      <c r="EJ47" s="153"/>
      <c r="EK47" s="153"/>
      <c r="EL47" s="153"/>
      <c r="EM47" s="153"/>
      <c r="EN47" s="153"/>
      <c r="EO47" s="153"/>
      <c r="EP47" s="153"/>
      <c r="EQ47" s="153"/>
      <c r="ER47" s="153"/>
      <c r="ES47" s="153"/>
      <c r="ET47" s="153"/>
      <c r="EU47" s="153"/>
      <c r="EV47" s="153"/>
      <c r="EW47" s="153"/>
      <c r="EX47" s="153"/>
      <c r="EY47" s="153"/>
      <c r="EZ47" s="153"/>
      <c r="FA47" s="153"/>
      <c r="FB47" s="153"/>
      <c r="FC47" s="153"/>
      <c r="FD47" s="153"/>
      <c r="FE47" s="153"/>
      <c r="FF47" s="153"/>
      <c r="FG47" s="153"/>
      <c r="FH47" s="153"/>
      <c r="FI47" s="153"/>
      <c r="FJ47" s="153"/>
      <c r="FK47" s="153"/>
      <c r="FL47" s="153"/>
      <c r="FM47" s="153"/>
      <c r="FN47" s="153"/>
      <c r="FO47" s="153"/>
      <c r="FP47" s="153"/>
      <c r="FQ47" s="153"/>
      <c r="FR47" s="153"/>
      <c r="FS47" s="153"/>
      <c r="FT47" s="153"/>
      <c r="FU47" s="153"/>
      <c r="FV47" s="153"/>
      <c r="FW47" s="153"/>
      <c r="FX47" s="153"/>
      <c r="FY47" s="153"/>
      <c r="FZ47" s="153"/>
      <c r="GA47" s="153"/>
      <c r="GB47" s="153"/>
      <c r="GC47" s="153"/>
      <c r="GD47" s="153"/>
      <c r="GE47" s="153"/>
      <c r="GF47" s="153"/>
      <c r="GG47" s="153"/>
      <c r="GH47" s="153"/>
      <c r="GI47" s="153"/>
      <c r="GJ47" s="153"/>
      <c r="GK47" s="153"/>
      <c r="GL47" s="153"/>
      <c r="GM47" s="153"/>
      <c r="GN47" s="153"/>
      <c r="GO47" s="153"/>
      <c r="GP47" s="153"/>
      <c r="GQ47" s="153"/>
      <c r="GR47" s="153"/>
      <c r="GS47" s="153"/>
      <c r="GT47" s="153"/>
      <c r="GU47" s="153"/>
      <c r="GV47" s="153"/>
      <c r="GW47" s="153"/>
      <c r="GX47" s="153"/>
      <c r="GY47" s="153"/>
      <c r="GZ47" s="153"/>
      <c r="HA47" s="153"/>
      <c r="HB47" s="153"/>
      <c r="HC47" s="153"/>
      <c r="HD47" s="153"/>
      <c r="HE47" s="153"/>
      <c r="HF47" s="153"/>
      <c r="HG47" s="153"/>
      <c r="HH47" s="153"/>
      <c r="HI47" s="153"/>
      <c r="HJ47" s="153"/>
      <c r="HK47" s="153"/>
      <c r="HL47" s="153"/>
      <c r="HM47" s="153"/>
      <c r="HN47" s="153"/>
      <c r="HO47" s="153"/>
      <c r="HP47" s="153"/>
      <c r="HQ47" s="153"/>
      <c r="HR47" s="153"/>
      <c r="HS47" s="153"/>
      <c r="HT47" s="153"/>
      <c r="HU47" s="153"/>
      <c r="HV47" s="153"/>
      <c r="HW47" s="153"/>
      <c r="HX47" s="153"/>
      <c r="HY47" s="153"/>
      <c r="HZ47" s="153"/>
      <c r="IA47" s="153"/>
      <c r="IB47" s="153"/>
      <c r="IC47" s="153"/>
      <c r="ID47" s="153"/>
      <c r="IE47" s="153"/>
      <c r="IF47" s="153"/>
      <c r="IG47" s="153"/>
      <c r="IH47" s="153"/>
      <c r="II47" s="153"/>
      <c r="IJ47" s="153"/>
      <c r="IK47" s="153"/>
      <c r="IL47" s="153"/>
      <c r="IM47" s="153"/>
      <c r="IN47" s="153"/>
      <c r="IO47" s="153"/>
      <c r="IP47" s="153"/>
      <c r="IQ47" s="153"/>
      <c r="IR47" s="153"/>
      <c r="IS47" s="153"/>
      <c r="IT47" s="153"/>
      <c r="IU47" s="153"/>
      <c r="IV47" s="153"/>
      <c r="IW47" s="153"/>
    </row>
    <row r="48" customFormat="false" ht="12.75" hidden="false" customHeight="false" outlineLevel="0" collapsed="false">
      <c r="A48" s="153"/>
      <c r="B48" s="152" t="s">
        <v>97</v>
      </c>
      <c r="C48" s="116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3"/>
      <c r="BQ48" s="153"/>
      <c r="BR48" s="153"/>
      <c r="BS48" s="153"/>
      <c r="BT48" s="153"/>
      <c r="BU48" s="153"/>
      <c r="BV48" s="153"/>
      <c r="BW48" s="153"/>
      <c r="BX48" s="153"/>
      <c r="BY48" s="153"/>
      <c r="BZ48" s="153"/>
      <c r="CA48" s="153"/>
      <c r="CB48" s="153"/>
      <c r="CC48" s="153"/>
      <c r="CD48" s="153"/>
      <c r="CE48" s="153"/>
      <c r="CF48" s="153"/>
      <c r="CG48" s="153"/>
      <c r="CH48" s="153"/>
      <c r="CI48" s="153"/>
      <c r="CJ48" s="153"/>
      <c r="CK48" s="153"/>
      <c r="CL48" s="153"/>
      <c r="CM48" s="153"/>
      <c r="CN48" s="153"/>
      <c r="CO48" s="153"/>
      <c r="CP48" s="153"/>
      <c r="CQ48" s="153"/>
      <c r="CR48" s="153"/>
      <c r="CS48" s="153"/>
      <c r="CT48" s="153"/>
      <c r="CU48" s="153"/>
      <c r="CV48" s="153"/>
      <c r="CW48" s="153"/>
      <c r="CX48" s="153"/>
      <c r="CY48" s="153"/>
      <c r="CZ48" s="153"/>
      <c r="DA48" s="153"/>
      <c r="DB48" s="153"/>
      <c r="DC48" s="153"/>
      <c r="DD48" s="153"/>
      <c r="DE48" s="153"/>
      <c r="DF48" s="153"/>
      <c r="DG48" s="153"/>
      <c r="DH48" s="153"/>
      <c r="DI48" s="153"/>
      <c r="DJ48" s="153"/>
      <c r="DK48" s="153"/>
      <c r="DL48" s="153"/>
      <c r="DM48" s="153"/>
      <c r="DN48" s="153"/>
      <c r="DO48" s="153"/>
      <c r="DP48" s="153"/>
      <c r="DQ48" s="153"/>
      <c r="DR48" s="153"/>
      <c r="DS48" s="153"/>
      <c r="DT48" s="153"/>
      <c r="DU48" s="153"/>
      <c r="DV48" s="153"/>
      <c r="DW48" s="153"/>
      <c r="DX48" s="153"/>
      <c r="DY48" s="153"/>
      <c r="DZ48" s="153"/>
      <c r="EA48" s="153"/>
      <c r="EB48" s="153"/>
      <c r="EC48" s="153"/>
      <c r="ED48" s="153"/>
      <c r="EE48" s="153"/>
      <c r="EF48" s="153"/>
      <c r="EG48" s="153"/>
      <c r="EH48" s="153"/>
      <c r="EI48" s="153"/>
      <c r="EJ48" s="153"/>
      <c r="EK48" s="153"/>
      <c r="EL48" s="153"/>
      <c r="EM48" s="153"/>
      <c r="EN48" s="153"/>
      <c r="EO48" s="153"/>
      <c r="EP48" s="153"/>
      <c r="EQ48" s="153"/>
      <c r="ER48" s="153"/>
      <c r="ES48" s="153"/>
      <c r="ET48" s="153"/>
      <c r="EU48" s="153"/>
      <c r="EV48" s="153"/>
      <c r="EW48" s="153"/>
      <c r="EX48" s="153"/>
      <c r="EY48" s="153"/>
      <c r="EZ48" s="153"/>
      <c r="FA48" s="153"/>
      <c r="FB48" s="153"/>
      <c r="FC48" s="153"/>
      <c r="FD48" s="153"/>
      <c r="FE48" s="153"/>
      <c r="FF48" s="153"/>
      <c r="FG48" s="153"/>
      <c r="FH48" s="153"/>
      <c r="FI48" s="153"/>
      <c r="FJ48" s="153"/>
      <c r="FK48" s="153"/>
      <c r="FL48" s="153"/>
      <c r="FM48" s="153"/>
      <c r="FN48" s="153"/>
      <c r="FO48" s="153"/>
      <c r="FP48" s="153"/>
      <c r="FQ48" s="153"/>
      <c r="FR48" s="153"/>
      <c r="FS48" s="153"/>
      <c r="FT48" s="153"/>
      <c r="FU48" s="153"/>
      <c r="FV48" s="153"/>
      <c r="FW48" s="153"/>
      <c r="FX48" s="153"/>
      <c r="FY48" s="153"/>
      <c r="FZ48" s="153"/>
      <c r="GA48" s="153"/>
      <c r="GB48" s="153"/>
      <c r="GC48" s="153"/>
      <c r="GD48" s="153"/>
      <c r="GE48" s="153"/>
      <c r="GF48" s="153"/>
      <c r="GG48" s="153"/>
      <c r="GH48" s="153"/>
      <c r="GI48" s="153"/>
      <c r="GJ48" s="153"/>
      <c r="GK48" s="153"/>
      <c r="GL48" s="153"/>
      <c r="GM48" s="153"/>
      <c r="GN48" s="153"/>
      <c r="GO48" s="153"/>
      <c r="GP48" s="153"/>
      <c r="GQ48" s="153"/>
      <c r="GR48" s="153"/>
      <c r="GS48" s="153"/>
      <c r="GT48" s="153"/>
      <c r="GU48" s="153"/>
      <c r="GV48" s="153"/>
      <c r="GW48" s="153"/>
      <c r="GX48" s="153"/>
      <c r="GY48" s="153"/>
      <c r="GZ48" s="153"/>
      <c r="HA48" s="153"/>
      <c r="HB48" s="153"/>
      <c r="HC48" s="153"/>
      <c r="HD48" s="153"/>
      <c r="HE48" s="153"/>
      <c r="HF48" s="153"/>
      <c r="HG48" s="153"/>
      <c r="HH48" s="153"/>
      <c r="HI48" s="153"/>
      <c r="HJ48" s="153"/>
      <c r="HK48" s="153"/>
      <c r="HL48" s="153"/>
      <c r="HM48" s="153"/>
      <c r="HN48" s="153"/>
      <c r="HO48" s="153"/>
      <c r="HP48" s="153"/>
      <c r="HQ48" s="153"/>
      <c r="HR48" s="153"/>
      <c r="HS48" s="153"/>
      <c r="HT48" s="153"/>
      <c r="HU48" s="153"/>
      <c r="HV48" s="153"/>
      <c r="HW48" s="153"/>
      <c r="HX48" s="153"/>
      <c r="HY48" s="153"/>
      <c r="HZ48" s="153"/>
      <c r="IA48" s="153"/>
      <c r="IB48" s="153"/>
      <c r="IC48" s="153"/>
      <c r="ID48" s="153"/>
      <c r="IE48" s="153"/>
      <c r="IF48" s="153"/>
      <c r="IG48" s="153"/>
      <c r="IH48" s="153"/>
      <c r="II48" s="153"/>
      <c r="IJ48" s="153"/>
      <c r="IK48" s="153"/>
      <c r="IL48" s="153"/>
      <c r="IM48" s="153"/>
      <c r="IN48" s="153"/>
      <c r="IO48" s="153"/>
      <c r="IP48" s="153"/>
      <c r="IQ48" s="153"/>
      <c r="IR48" s="153"/>
      <c r="IS48" s="153"/>
      <c r="IT48" s="153"/>
      <c r="IU48" s="153"/>
      <c r="IV48" s="153"/>
      <c r="IW48" s="153"/>
    </row>
    <row r="49" customFormat="false" ht="12.75" hidden="false" customHeight="false" outlineLevel="0" collapsed="false">
      <c r="A49" s="153"/>
      <c r="B49" s="115" t="s">
        <v>75</v>
      </c>
      <c r="C49" s="116"/>
      <c r="D49" s="120" t="n">
        <v>3.321</v>
      </c>
      <c r="E49" s="120" t="n">
        <v>-0.559</v>
      </c>
      <c r="F49" s="120" t="n">
        <v>-30.558</v>
      </c>
      <c r="G49" s="120" t="n">
        <v>-27.827</v>
      </c>
      <c r="H49" s="120" t="n">
        <v>-7.773</v>
      </c>
      <c r="I49" s="120" t="n">
        <v>7.819</v>
      </c>
      <c r="J49" s="120" t="n">
        <v>5.036</v>
      </c>
      <c r="K49" s="120" t="n">
        <v>3.952</v>
      </c>
      <c r="L49" s="120" t="n">
        <v>1.277</v>
      </c>
      <c r="M49" s="120"/>
      <c r="N49" s="120"/>
      <c r="O49" s="121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3"/>
      <c r="BN49" s="153"/>
      <c r="BO49" s="153"/>
      <c r="BP49" s="153"/>
      <c r="BQ49" s="153"/>
      <c r="BR49" s="153"/>
      <c r="BS49" s="153"/>
      <c r="BT49" s="153"/>
      <c r="BU49" s="153"/>
      <c r="BV49" s="153"/>
      <c r="BW49" s="153"/>
      <c r="BX49" s="153"/>
      <c r="BY49" s="153"/>
      <c r="BZ49" s="153"/>
      <c r="CA49" s="153"/>
      <c r="CB49" s="153"/>
      <c r="CC49" s="153"/>
      <c r="CD49" s="153"/>
      <c r="CE49" s="153"/>
      <c r="CF49" s="153"/>
      <c r="CG49" s="153"/>
      <c r="CH49" s="153"/>
      <c r="CI49" s="153"/>
      <c r="CJ49" s="153"/>
      <c r="CK49" s="153"/>
      <c r="CL49" s="153"/>
      <c r="CM49" s="153"/>
      <c r="CN49" s="153"/>
      <c r="CO49" s="153"/>
      <c r="CP49" s="153"/>
      <c r="CQ49" s="153"/>
      <c r="CR49" s="153"/>
      <c r="CS49" s="153"/>
      <c r="CT49" s="153"/>
      <c r="CU49" s="153"/>
      <c r="CV49" s="153"/>
      <c r="CW49" s="153"/>
      <c r="CX49" s="153"/>
      <c r="CY49" s="153"/>
      <c r="CZ49" s="153"/>
      <c r="DA49" s="153"/>
      <c r="DB49" s="153"/>
      <c r="DC49" s="153"/>
      <c r="DD49" s="153"/>
      <c r="DE49" s="153"/>
      <c r="DF49" s="153"/>
      <c r="DG49" s="153"/>
      <c r="DH49" s="153"/>
      <c r="DI49" s="153"/>
      <c r="DJ49" s="153"/>
      <c r="DK49" s="153"/>
      <c r="DL49" s="153"/>
      <c r="DM49" s="153"/>
      <c r="DN49" s="153"/>
      <c r="DO49" s="153"/>
      <c r="DP49" s="153"/>
      <c r="DQ49" s="153"/>
      <c r="DR49" s="153"/>
      <c r="DS49" s="153"/>
      <c r="DT49" s="153"/>
      <c r="DU49" s="153"/>
      <c r="DV49" s="153"/>
      <c r="DW49" s="153"/>
      <c r="DX49" s="153"/>
      <c r="DY49" s="153"/>
      <c r="DZ49" s="153"/>
      <c r="EA49" s="153"/>
      <c r="EB49" s="153"/>
      <c r="EC49" s="153"/>
      <c r="ED49" s="153"/>
      <c r="EE49" s="153"/>
      <c r="EF49" s="153"/>
      <c r="EG49" s="153"/>
      <c r="EH49" s="153"/>
      <c r="EI49" s="153"/>
      <c r="EJ49" s="153"/>
      <c r="EK49" s="153"/>
      <c r="EL49" s="153"/>
      <c r="EM49" s="153"/>
      <c r="EN49" s="153"/>
      <c r="EO49" s="153"/>
      <c r="EP49" s="153"/>
      <c r="EQ49" s="153"/>
      <c r="ER49" s="153"/>
      <c r="ES49" s="153"/>
      <c r="ET49" s="153"/>
      <c r="EU49" s="153"/>
      <c r="EV49" s="153"/>
      <c r="EW49" s="153"/>
      <c r="EX49" s="153"/>
      <c r="EY49" s="153"/>
      <c r="EZ49" s="153"/>
      <c r="FA49" s="153"/>
      <c r="FB49" s="153"/>
      <c r="FC49" s="153"/>
      <c r="FD49" s="153"/>
      <c r="FE49" s="153"/>
      <c r="FF49" s="153"/>
      <c r="FG49" s="153"/>
      <c r="FH49" s="153"/>
      <c r="FI49" s="153"/>
      <c r="FJ49" s="153"/>
      <c r="FK49" s="153"/>
      <c r="FL49" s="153"/>
      <c r="FM49" s="153"/>
      <c r="FN49" s="153"/>
      <c r="FO49" s="153"/>
      <c r="FP49" s="153"/>
      <c r="FQ49" s="153"/>
      <c r="FR49" s="153"/>
      <c r="FS49" s="153"/>
      <c r="FT49" s="153"/>
      <c r="FU49" s="153"/>
      <c r="FV49" s="153"/>
      <c r="FW49" s="153"/>
      <c r="FX49" s="153"/>
      <c r="FY49" s="153"/>
      <c r="FZ49" s="153"/>
      <c r="GA49" s="153"/>
      <c r="GB49" s="153"/>
      <c r="GC49" s="153"/>
      <c r="GD49" s="153"/>
      <c r="GE49" s="153"/>
      <c r="GF49" s="153"/>
      <c r="GG49" s="153"/>
      <c r="GH49" s="153"/>
      <c r="GI49" s="153"/>
      <c r="GJ49" s="153"/>
      <c r="GK49" s="153"/>
      <c r="GL49" s="153"/>
      <c r="GM49" s="153"/>
      <c r="GN49" s="153"/>
      <c r="GO49" s="153"/>
      <c r="GP49" s="153"/>
      <c r="GQ49" s="153"/>
      <c r="GR49" s="153"/>
      <c r="GS49" s="153"/>
      <c r="GT49" s="153"/>
      <c r="GU49" s="153"/>
      <c r="GV49" s="153"/>
      <c r="GW49" s="153"/>
      <c r="GX49" s="153"/>
      <c r="GY49" s="153"/>
      <c r="GZ49" s="153"/>
      <c r="HA49" s="153"/>
      <c r="HB49" s="153"/>
      <c r="HC49" s="153"/>
      <c r="HD49" s="153"/>
      <c r="HE49" s="153"/>
      <c r="HF49" s="153"/>
      <c r="HG49" s="153"/>
      <c r="HH49" s="153"/>
      <c r="HI49" s="153"/>
      <c r="HJ49" s="153"/>
      <c r="HK49" s="153"/>
      <c r="HL49" s="153"/>
      <c r="HM49" s="153"/>
      <c r="HN49" s="153"/>
      <c r="HO49" s="153"/>
      <c r="HP49" s="153"/>
      <c r="HQ49" s="153"/>
      <c r="HR49" s="153"/>
      <c r="HS49" s="153"/>
      <c r="HT49" s="153"/>
      <c r="HU49" s="153"/>
      <c r="HV49" s="153"/>
      <c r="HW49" s="153"/>
      <c r="HX49" s="153"/>
      <c r="HY49" s="153"/>
      <c r="HZ49" s="153"/>
      <c r="IA49" s="153"/>
      <c r="IB49" s="153"/>
      <c r="IC49" s="153"/>
      <c r="ID49" s="153"/>
      <c r="IE49" s="153"/>
      <c r="IF49" s="153"/>
      <c r="IG49" s="153"/>
      <c r="IH49" s="153"/>
      <c r="II49" s="153"/>
      <c r="IJ49" s="153"/>
      <c r="IK49" s="153"/>
      <c r="IL49" s="153"/>
      <c r="IM49" s="153"/>
      <c r="IN49" s="153"/>
      <c r="IO49" s="153"/>
      <c r="IP49" s="153"/>
      <c r="IQ49" s="153"/>
      <c r="IR49" s="153"/>
      <c r="IS49" s="153"/>
      <c r="IT49" s="153"/>
      <c r="IU49" s="153"/>
      <c r="IV49" s="153"/>
      <c r="IW49" s="153"/>
    </row>
    <row r="50" customFormat="false" ht="12.75" hidden="false" customHeight="false" outlineLevel="0" collapsed="false">
      <c r="A50" s="153"/>
      <c r="B50" s="115" t="s">
        <v>76</v>
      </c>
      <c r="C50" s="116"/>
      <c r="D50" s="122" t="n">
        <f aca="false">SUM($C49:D49)</f>
        <v>3.321</v>
      </c>
      <c r="E50" s="122" t="n">
        <f aca="false">SUM($D49:E49)</f>
        <v>2.762</v>
      </c>
      <c r="F50" s="122" t="n">
        <f aca="false">SUM($D49:F49)</f>
        <v>-27.796</v>
      </c>
      <c r="G50" s="122" t="n">
        <f aca="false">SUM($D49:G49)</f>
        <v>-55.623</v>
      </c>
      <c r="H50" s="122" t="n">
        <f aca="false">SUM($D49:H49)</f>
        <v>-63.396</v>
      </c>
      <c r="I50" s="122" t="n">
        <f aca="false">SUM($D49:I49)</f>
        <v>-55.577</v>
      </c>
      <c r="J50" s="122" t="n">
        <f aca="false">SUM($D49:J49)</f>
        <v>-50.541</v>
      </c>
      <c r="K50" s="122" t="n">
        <f aca="false">SUM($D49:K49)</f>
        <v>-46.589</v>
      </c>
      <c r="L50" s="122" t="n">
        <f aca="false">SUM($D49:L49)</f>
        <v>-45.312</v>
      </c>
      <c r="M50" s="122"/>
      <c r="N50" s="122"/>
      <c r="O50" s="12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3"/>
      <c r="BN50" s="153"/>
      <c r="BO50" s="153"/>
      <c r="BP50" s="153"/>
      <c r="BQ50" s="153"/>
      <c r="BR50" s="153"/>
      <c r="BS50" s="153"/>
      <c r="BT50" s="153"/>
      <c r="BU50" s="153"/>
      <c r="BV50" s="153"/>
      <c r="BW50" s="153"/>
      <c r="BX50" s="153"/>
      <c r="BY50" s="153"/>
      <c r="BZ50" s="153"/>
      <c r="CA50" s="153"/>
      <c r="CB50" s="153"/>
      <c r="CC50" s="153"/>
      <c r="CD50" s="153"/>
      <c r="CE50" s="153"/>
      <c r="CF50" s="153"/>
      <c r="CG50" s="153"/>
      <c r="CH50" s="153"/>
      <c r="CI50" s="153"/>
      <c r="CJ50" s="153"/>
      <c r="CK50" s="153"/>
      <c r="CL50" s="153"/>
      <c r="CM50" s="153"/>
      <c r="CN50" s="153"/>
      <c r="CO50" s="153"/>
      <c r="CP50" s="153"/>
      <c r="CQ50" s="153"/>
      <c r="CR50" s="153"/>
      <c r="CS50" s="153"/>
      <c r="CT50" s="153"/>
      <c r="CU50" s="153"/>
      <c r="CV50" s="153"/>
      <c r="CW50" s="153"/>
      <c r="CX50" s="153"/>
      <c r="CY50" s="153"/>
      <c r="CZ50" s="153"/>
      <c r="DA50" s="153"/>
      <c r="DB50" s="153"/>
      <c r="DC50" s="153"/>
      <c r="DD50" s="153"/>
      <c r="DE50" s="153"/>
      <c r="DF50" s="153"/>
      <c r="DG50" s="153"/>
      <c r="DH50" s="153"/>
      <c r="DI50" s="153"/>
      <c r="DJ50" s="153"/>
      <c r="DK50" s="153"/>
      <c r="DL50" s="153"/>
      <c r="DM50" s="153"/>
      <c r="DN50" s="153"/>
      <c r="DO50" s="153"/>
      <c r="DP50" s="153"/>
      <c r="DQ50" s="153"/>
      <c r="DR50" s="153"/>
      <c r="DS50" s="153"/>
      <c r="DT50" s="153"/>
      <c r="DU50" s="153"/>
      <c r="DV50" s="153"/>
      <c r="DW50" s="153"/>
      <c r="DX50" s="153"/>
      <c r="DY50" s="153"/>
      <c r="DZ50" s="153"/>
      <c r="EA50" s="153"/>
      <c r="EB50" s="153"/>
      <c r="EC50" s="153"/>
      <c r="ED50" s="153"/>
      <c r="EE50" s="153"/>
      <c r="EF50" s="153"/>
      <c r="EG50" s="153"/>
      <c r="EH50" s="153"/>
      <c r="EI50" s="153"/>
      <c r="EJ50" s="153"/>
      <c r="EK50" s="153"/>
      <c r="EL50" s="153"/>
      <c r="EM50" s="153"/>
      <c r="EN50" s="153"/>
      <c r="EO50" s="153"/>
      <c r="EP50" s="153"/>
      <c r="EQ50" s="153"/>
      <c r="ER50" s="153"/>
      <c r="ES50" s="153"/>
      <c r="ET50" s="153"/>
      <c r="EU50" s="153"/>
      <c r="EV50" s="153"/>
      <c r="EW50" s="153"/>
      <c r="EX50" s="153"/>
      <c r="EY50" s="153"/>
      <c r="EZ50" s="153"/>
      <c r="FA50" s="153"/>
      <c r="FB50" s="153"/>
      <c r="FC50" s="153"/>
      <c r="FD50" s="153"/>
      <c r="FE50" s="153"/>
      <c r="FF50" s="153"/>
      <c r="FG50" s="153"/>
      <c r="FH50" s="153"/>
      <c r="FI50" s="153"/>
      <c r="FJ50" s="153"/>
      <c r="FK50" s="153"/>
      <c r="FL50" s="153"/>
      <c r="FM50" s="153"/>
      <c r="FN50" s="153"/>
      <c r="FO50" s="153"/>
      <c r="FP50" s="153"/>
      <c r="FQ50" s="153"/>
      <c r="FR50" s="153"/>
      <c r="FS50" s="153"/>
      <c r="FT50" s="153"/>
      <c r="FU50" s="153"/>
      <c r="FV50" s="153"/>
      <c r="FW50" s="153"/>
      <c r="FX50" s="153"/>
      <c r="FY50" s="153"/>
      <c r="FZ50" s="153"/>
      <c r="GA50" s="153"/>
      <c r="GB50" s="153"/>
      <c r="GC50" s="153"/>
      <c r="GD50" s="153"/>
      <c r="GE50" s="153"/>
      <c r="GF50" s="153"/>
      <c r="GG50" s="153"/>
      <c r="GH50" s="153"/>
      <c r="GI50" s="153"/>
      <c r="GJ50" s="153"/>
      <c r="GK50" s="153"/>
      <c r="GL50" s="153"/>
      <c r="GM50" s="153"/>
      <c r="GN50" s="153"/>
      <c r="GO50" s="153"/>
      <c r="GP50" s="153"/>
      <c r="GQ50" s="153"/>
      <c r="GR50" s="153"/>
      <c r="GS50" s="153"/>
      <c r="GT50" s="153"/>
      <c r="GU50" s="153"/>
      <c r="GV50" s="153"/>
      <c r="GW50" s="153"/>
      <c r="GX50" s="153"/>
      <c r="GY50" s="153"/>
      <c r="GZ50" s="153"/>
      <c r="HA50" s="153"/>
      <c r="HB50" s="153"/>
      <c r="HC50" s="153"/>
      <c r="HD50" s="153"/>
      <c r="HE50" s="153"/>
      <c r="HF50" s="153"/>
      <c r="HG50" s="153"/>
      <c r="HH50" s="153"/>
      <c r="HI50" s="153"/>
      <c r="HJ50" s="153"/>
      <c r="HK50" s="153"/>
      <c r="HL50" s="153"/>
      <c r="HM50" s="153"/>
      <c r="HN50" s="153"/>
      <c r="HO50" s="153"/>
      <c r="HP50" s="153"/>
      <c r="HQ50" s="153"/>
      <c r="HR50" s="153"/>
      <c r="HS50" s="153"/>
      <c r="HT50" s="153"/>
      <c r="HU50" s="153"/>
      <c r="HV50" s="153"/>
      <c r="HW50" s="153"/>
      <c r="HX50" s="153"/>
      <c r="HY50" s="153"/>
      <c r="HZ50" s="153"/>
      <c r="IA50" s="153"/>
      <c r="IB50" s="153"/>
      <c r="IC50" s="153"/>
      <c r="ID50" s="153"/>
      <c r="IE50" s="153"/>
      <c r="IF50" s="153"/>
      <c r="IG50" s="153"/>
      <c r="IH50" s="153"/>
      <c r="II50" s="153"/>
      <c r="IJ50" s="153"/>
      <c r="IK50" s="153"/>
      <c r="IL50" s="153"/>
      <c r="IM50" s="153"/>
      <c r="IN50" s="153"/>
      <c r="IO50" s="153"/>
      <c r="IP50" s="153"/>
      <c r="IQ50" s="153"/>
      <c r="IR50" s="153"/>
      <c r="IS50" s="153"/>
      <c r="IT50" s="153"/>
      <c r="IU50" s="153"/>
      <c r="IV50" s="153"/>
      <c r="IW50" s="153"/>
    </row>
    <row r="51" customFormat="false" ht="13.5" hidden="false" customHeight="false" outlineLevel="0" collapsed="false">
      <c r="A51" s="153"/>
      <c r="B51" s="165"/>
      <c r="C51" s="27"/>
      <c r="D51" s="122"/>
      <c r="E51" s="122"/>
      <c r="F51" s="122"/>
      <c r="G51" s="122"/>
      <c r="H51" s="122"/>
      <c r="I51" s="122"/>
      <c r="J51" s="136"/>
      <c r="K51" s="136"/>
      <c r="L51" s="136"/>
      <c r="M51" s="136"/>
      <c r="N51" s="136"/>
      <c r="O51" s="137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  <c r="BI51" s="153"/>
      <c r="BJ51" s="153"/>
      <c r="BK51" s="153"/>
      <c r="BL51" s="153"/>
      <c r="BM51" s="153"/>
      <c r="BN51" s="153"/>
      <c r="BO51" s="153"/>
      <c r="BP51" s="153"/>
      <c r="BQ51" s="153"/>
      <c r="BR51" s="153"/>
      <c r="BS51" s="153"/>
      <c r="BT51" s="153"/>
      <c r="BU51" s="153"/>
      <c r="BV51" s="153"/>
      <c r="BW51" s="153"/>
      <c r="BX51" s="153"/>
      <c r="BY51" s="153"/>
      <c r="BZ51" s="153"/>
      <c r="CA51" s="153"/>
      <c r="CB51" s="153"/>
      <c r="CC51" s="153"/>
      <c r="CD51" s="153"/>
      <c r="CE51" s="153"/>
      <c r="CF51" s="153"/>
      <c r="CG51" s="153"/>
      <c r="CH51" s="153"/>
      <c r="CI51" s="153"/>
      <c r="CJ51" s="153"/>
      <c r="CK51" s="153"/>
      <c r="CL51" s="153"/>
      <c r="CM51" s="153"/>
      <c r="CN51" s="153"/>
      <c r="CO51" s="153"/>
      <c r="CP51" s="153"/>
      <c r="CQ51" s="153"/>
      <c r="CR51" s="153"/>
      <c r="CS51" s="153"/>
      <c r="CT51" s="153"/>
      <c r="CU51" s="153"/>
      <c r="CV51" s="153"/>
      <c r="CW51" s="153"/>
      <c r="CX51" s="153"/>
      <c r="CY51" s="153"/>
      <c r="CZ51" s="153"/>
      <c r="DA51" s="153"/>
      <c r="DB51" s="153"/>
      <c r="DC51" s="153"/>
      <c r="DD51" s="153"/>
      <c r="DE51" s="153"/>
      <c r="DF51" s="153"/>
      <c r="DG51" s="153"/>
      <c r="DH51" s="153"/>
      <c r="DI51" s="153"/>
      <c r="DJ51" s="153"/>
      <c r="DK51" s="153"/>
      <c r="DL51" s="153"/>
      <c r="DM51" s="153"/>
      <c r="DN51" s="153"/>
      <c r="DO51" s="153"/>
      <c r="DP51" s="153"/>
      <c r="DQ51" s="153"/>
      <c r="DR51" s="153"/>
      <c r="DS51" s="153"/>
      <c r="DT51" s="153"/>
      <c r="DU51" s="153"/>
      <c r="DV51" s="153"/>
      <c r="DW51" s="153"/>
      <c r="DX51" s="153"/>
      <c r="DY51" s="153"/>
      <c r="DZ51" s="153"/>
      <c r="EA51" s="153"/>
      <c r="EB51" s="153"/>
      <c r="EC51" s="153"/>
      <c r="ED51" s="153"/>
      <c r="EE51" s="153"/>
      <c r="EF51" s="153"/>
      <c r="EG51" s="153"/>
      <c r="EH51" s="153"/>
      <c r="EI51" s="153"/>
      <c r="EJ51" s="153"/>
      <c r="EK51" s="153"/>
      <c r="EL51" s="153"/>
      <c r="EM51" s="153"/>
      <c r="EN51" s="153"/>
      <c r="EO51" s="153"/>
      <c r="EP51" s="153"/>
      <c r="EQ51" s="153"/>
      <c r="ER51" s="153"/>
      <c r="ES51" s="153"/>
      <c r="ET51" s="153"/>
      <c r="EU51" s="153"/>
      <c r="EV51" s="153"/>
      <c r="EW51" s="153"/>
      <c r="EX51" s="153"/>
      <c r="EY51" s="153"/>
      <c r="EZ51" s="153"/>
      <c r="FA51" s="153"/>
      <c r="FB51" s="153"/>
      <c r="FC51" s="153"/>
      <c r="FD51" s="153"/>
      <c r="FE51" s="153"/>
      <c r="FF51" s="153"/>
      <c r="FG51" s="153"/>
      <c r="FH51" s="153"/>
      <c r="FI51" s="153"/>
      <c r="FJ51" s="153"/>
      <c r="FK51" s="153"/>
      <c r="FL51" s="153"/>
      <c r="FM51" s="153"/>
      <c r="FN51" s="153"/>
      <c r="FO51" s="153"/>
      <c r="FP51" s="153"/>
      <c r="FQ51" s="153"/>
      <c r="FR51" s="153"/>
      <c r="FS51" s="153"/>
      <c r="FT51" s="153"/>
      <c r="FU51" s="153"/>
      <c r="FV51" s="153"/>
      <c r="FW51" s="153"/>
      <c r="FX51" s="153"/>
      <c r="FY51" s="153"/>
      <c r="FZ51" s="153"/>
      <c r="GA51" s="153"/>
      <c r="GB51" s="153"/>
      <c r="GC51" s="153"/>
      <c r="GD51" s="153"/>
      <c r="GE51" s="153"/>
      <c r="GF51" s="153"/>
      <c r="GG51" s="153"/>
      <c r="GH51" s="153"/>
      <c r="GI51" s="153"/>
      <c r="GJ51" s="153"/>
      <c r="GK51" s="153"/>
      <c r="GL51" s="153"/>
      <c r="GM51" s="153"/>
      <c r="GN51" s="153"/>
      <c r="GO51" s="153"/>
      <c r="GP51" s="153"/>
      <c r="GQ51" s="153"/>
      <c r="GR51" s="153"/>
      <c r="GS51" s="153"/>
      <c r="GT51" s="153"/>
      <c r="GU51" s="153"/>
      <c r="GV51" s="153"/>
      <c r="GW51" s="153"/>
      <c r="GX51" s="153"/>
      <c r="GY51" s="153"/>
      <c r="GZ51" s="153"/>
      <c r="HA51" s="153"/>
      <c r="HB51" s="153"/>
      <c r="HC51" s="153"/>
      <c r="HD51" s="153"/>
      <c r="HE51" s="153"/>
      <c r="HF51" s="153"/>
      <c r="HG51" s="153"/>
      <c r="HH51" s="153"/>
      <c r="HI51" s="153"/>
      <c r="HJ51" s="153"/>
      <c r="HK51" s="153"/>
      <c r="HL51" s="153"/>
      <c r="HM51" s="153"/>
      <c r="HN51" s="153"/>
      <c r="HO51" s="153"/>
      <c r="HP51" s="153"/>
      <c r="HQ51" s="153"/>
      <c r="HR51" s="153"/>
      <c r="HS51" s="153"/>
      <c r="HT51" s="153"/>
      <c r="HU51" s="153"/>
      <c r="HV51" s="153"/>
      <c r="HW51" s="153"/>
      <c r="HX51" s="153"/>
      <c r="HY51" s="153"/>
      <c r="HZ51" s="153"/>
      <c r="IA51" s="153"/>
      <c r="IB51" s="153"/>
      <c r="IC51" s="153"/>
      <c r="ID51" s="153"/>
      <c r="IE51" s="153"/>
      <c r="IF51" s="153"/>
      <c r="IG51" s="153"/>
      <c r="IH51" s="153"/>
      <c r="II51" s="153"/>
      <c r="IJ51" s="153"/>
      <c r="IK51" s="153"/>
      <c r="IL51" s="153"/>
      <c r="IM51" s="153"/>
      <c r="IN51" s="153"/>
      <c r="IO51" s="153"/>
      <c r="IP51" s="153"/>
      <c r="IQ51" s="153"/>
      <c r="IR51" s="153"/>
      <c r="IS51" s="153"/>
      <c r="IT51" s="153"/>
      <c r="IU51" s="153"/>
      <c r="IV51" s="153"/>
      <c r="IW51" s="153"/>
    </row>
    <row r="52" customFormat="false" ht="12.75" hidden="false" customHeight="false" outlineLevel="0" collapsed="false">
      <c r="A52" s="153"/>
      <c r="B52" s="151" t="s">
        <v>27</v>
      </c>
      <c r="C52" s="112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4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  <c r="BI52" s="153"/>
      <c r="BJ52" s="153"/>
      <c r="BK52" s="153"/>
      <c r="BL52" s="153"/>
      <c r="BM52" s="153"/>
      <c r="BN52" s="153"/>
      <c r="BO52" s="153"/>
      <c r="BP52" s="153"/>
      <c r="BQ52" s="153"/>
      <c r="BR52" s="153"/>
      <c r="BS52" s="153"/>
      <c r="BT52" s="153"/>
      <c r="BU52" s="153"/>
      <c r="BV52" s="153"/>
      <c r="BW52" s="153"/>
      <c r="BX52" s="153"/>
      <c r="BY52" s="153"/>
      <c r="BZ52" s="153"/>
      <c r="CA52" s="153"/>
      <c r="CB52" s="153"/>
      <c r="CC52" s="153"/>
      <c r="CD52" s="153"/>
      <c r="CE52" s="153"/>
      <c r="CF52" s="153"/>
      <c r="CG52" s="153"/>
      <c r="CH52" s="153"/>
      <c r="CI52" s="153"/>
      <c r="CJ52" s="153"/>
      <c r="CK52" s="153"/>
      <c r="CL52" s="153"/>
      <c r="CM52" s="153"/>
      <c r="CN52" s="153"/>
      <c r="CO52" s="153"/>
      <c r="CP52" s="153"/>
      <c r="CQ52" s="153"/>
      <c r="CR52" s="153"/>
      <c r="CS52" s="153"/>
      <c r="CT52" s="153"/>
      <c r="CU52" s="153"/>
      <c r="CV52" s="153"/>
      <c r="CW52" s="153"/>
      <c r="CX52" s="153"/>
      <c r="CY52" s="153"/>
      <c r="CZ52" s="153"/>
      <c r="DA52" s="153"/>
      <c r="DB52" s="153"/>
      <c r="DC52" s="153"/>
      <c r="DD52" s="153"/>
      <c r="DE52" s="153"/>
      <c r="DF52" s="153"/>
      <c r="DG52" s="153"/>
      <c r="DH52" s="153"/>
      <c r="DI52" s="153"/>
      <c r="DJ52" s="153"/>
      <c r="DK52" s="153"/>
      <c r="DL52" s="153"/>
      <c r="DM52" s="153"/>
      <c r="DN52" s="153"/>
      <c r="DO52" s="153"/>
      <c r="DP52" s="153"/>
      <c r="DQ52" s="153"/>
      <c r="DR52" s="153"/>
      <c r="DS52" s="153"/>
      <c r="DT52" s="153"/>
      <c r="DU52" s="153"/>
      <c r="DV52" s="153"/>
      <c r="DW52" s="153"/>
      <c r="DX52" s="153"/>
      <c r="DY52" s="153"/>
      <c r="DZ52" s="153"/>
      <c r="EA52" s="153"/>
      <c r="EB52" s="153"/>
      <c r="EC52" s="153"/>
      <c r="ED52" s="153"/>
      <c r="EE52" s="153"/>
      <c r="EF52" s="153"/>
      <c r="EG52" s="153"/>
      <c r="EH52" s="153"/>
      <c r="EI52" s="153"/>
      <c r="EJ52" s="153"/>
      <c r="EK52" s="153"/>
      <c r="EL52" s="153"/>
      <c r="EM52" s="153"/>
      <c r="EN52" s="153"/>
      <c r="EO52" s="153"/>
      <c r="EP52" s="153"/>
      <c r="EQ52" s="153"/>
      <c r="ER52" s="153"/>
      <c r="ES52" s="153"/>
      <c r="ET52" s="153"/>
      <c r="EU52" s="153"/>
      <c r="EV52" s="153"/>
      <c r="EW52" s="153"/>
      <c r="EX52" s="153"/>
      <c r="EY52" s="153"/>
      <c r="EZ52" s="153"/>
      <c r="FA52" s="153"/>
      <c r="FB52" s="153"/>
      <c r="FC52" s="153"/>
      <c r="FD52" s="153"/>
      <c r="FE52" s="153"/>
      <c r="FF52" s="153"/>
      <c r="FG52" s="153"/>
      <c r="FH52" s="153"/>
      <c r="FI52" s="153"/>
      <c r="FJ52" s="153"/>
      <c r="FK52" s="153"/>
      <c r="FL52" s="153"/>
      <c r="FM52" s="153"/>
      <c r="FN52" s="153"/>
      <c r="FO52" s="153"/>
      <c r="FP52" s="153"/>
      <c r="FQ52" s="153"/>
      <c r="FR52" s="153"/>
      <c r="FS52" s="153"/>
      <c r="FT52" s="153"/>
      <c r="FU52" s="153"/>
      <c r="FV52" s="153"/>
      <c r="FW52" s="153"/>
      <c r="FX52" s="153"/>
      <c r="FY52" s="153"/>
      <c r="FZ52" s="153"/>
      <c r="GA52" s="153"/>
      <c r="GB52" s="153"/>
      <c r="GC52" s="153"/>
      <c r="GD52" s="153"/>
      <c r="GE52" s="153"/>
      <c r="GF52" s="153"/>
      <c r="GG52" s="153"/>
      <c r="GH52" s="153"/>
      <c r="GI52" s="153"/>
      <c r="GJ52" s="153"/>
      <c r="GK52" s="153"/>
      <c r="GL52" s="153"/>
      <c r="GM52" s="153"/>
      <c r="GN52" s="153"/>
      <c r="GO52" s="153"/>
      <c r="GP52" s="153"/>
      <c r="GQ52" s="153"/>
      <c r="GR52" s="153"/>
      <c r="GS52" s="153"/>
      <c r="GT52" s="153"/>
      <c r="GU52" s="153"/>
      <c r="GV52" s="153"/>
      <c r="GW52" s="153"/>
      <c r="GX52" s="153"/>
      <c r="GY52" s="153"/>
      <c r="GZ52" s="153"/>
      <c r="HA52" s="153"/>
      <c r="HB52" s="153"/>
      <c r="HC52" s="153"/>
      <c r="HD52" s="153"/>
      <c r="HE52" s="153"/>
      <c r="HF52" s="153"/>
      <c r="HG52" s="153"/>
      <c r="HH52" s="153"/>
      <c r="HI52" s="153"/>
      <c r="HJ52" s="153"/>
      <c r="HK52" s="153"/>
      <c r="HL52" s="153"/>
      <c r="HM52" s="153"/>
      <c r="HN52" s="153"/>
      <c r="HO52" s="153"/>
      <c r="HP52" s="153"/>
      <c r="HQ52" s="153"/>
      <c r="HR52" s="153"/>
      <c r="HS52" s="153"/>
      <c r="HT52" s="153"/>
      <c r="HU52" s="153"/>
      <c r="HV52" s="153"/>
      <c r="HW52" s="153"/>
      <c r="HX52" s="153"/>
      <c r="HY52" s="153"/>
      <c r="HZ52" s="153"/>
      <c r="IA52" s="153"/>
      <c r="IB52" s="153"/>
      <c r="IC52" s="153"/>
      <c r="ID52" s="153"/>
      <c r="IE52" s="153"/>
      <c r="IF52" s="153"/>
      <c r="IG52" s="153"/>
      <c r="IH52" s="153"/>
      <c r="II52" s="153"/>
      <c r="IJ52" s="153"/>
      <c r="IK52" s="153"/>
      <c r="IL52" s="153"/>
      <c r="IM52" s="153"/>
      <c r="IN52" s="153"/>
      <c r="IO52" s="153"/>
      <c r="IP52" s="153"/>
      <c r="IQ52" s="153"/>
      <c r="IR52" s="153"/>
      <c r="IS52" s="153"/>
      <c r="IT52" s="153"/>
      <c r="IU52" s="153"/>
      <c r="IV52" s="153"/>
      <c r="IW52" s="153"/>
    </row>
    <row r="53" customFormat="false" ht="12.75" hidden="false" customHeight="false" outlineLevel="0" collapsed="false">
      <c r="A53" s="153"/>
      <c r="B53" s="152" t="s">
        <v>74</v>
      </c>
      <c r="C53" s="116"/>
      <c r="D53" s="118" t="s">
        <v>14</v>
      </c>
      <c r="E53" s="118" t="s">
        <v>15</v>
      </c>
      <c r="F53" s="118" t="s">
        <v>16</v>
      </c>
      <c r="G53" s="118" t="s">
        <v>17</v>
      </c>
      <c r="H53" s="118" t="s">
        <v>18</v>
      </c>
      <c r="I53" s="118" t="s">
        <v>19</v>
      </c>
      <c r="J53" s="118" t="s">
        <v>20</v>
      </c>
      <c r="K53" s="118" t="s">
        <v>21</v>
      </c>
      <c r="L53" s="118" t="s">
        <v>68</v>
      </c>
      <c r="M53" s="118" t="s">
        <v>23</v>
      </c>
      <c r="N53" s="118" t="s">
        <v>24</v>
      </c>
      <c r="O53" s="119" t="s">
        <v>25</v>
      </c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  <c r="BQ53" s="153"/>
      <c r="BR53" s="153"/>
      <c r="BS53" s="153"/>
      <c r="BT53" s="153"/>
      <c r="BU53" s="153"/>
      <c r="BV53" s="153"/>
      <c r="BW53" s="153"/>
      <c r="BX53" s="153"/>
      <c r="BY53" s="153"/>
      <c r="BZ53" s="153"/>
      <c r="CA53" s="153"/>
      <c r="CB53" s="153"/>
      <c r="CC53" s="153"/>
      <c r="CD53" s="153"/>
      <c r="CE53" s="153"/>
      <c r="CF53" s="153"/>
      <c r="CG53" s="153"/>
      <c r="CH53" s="153"/>
      <c r="CI53" s="153"/>
      <c r="CJ53" s="153"/>
      <c r="CK53" s="153"/>
      <c r="CL53" s="153"/>
      <c r="CM53" s="153"/>
      <c r="CN53" s="153"/>
      <c r="CO53" s="153"/>
      <c r="CP53" s="153"/>
      <c r="CQ53" s="153"/>
      <c r="CR53" s="153"/>
      <c r="CS53" s="153"/>
      <c r="CT53" s="153"/>
      <c r="CU53" s="153"/>
      <c r="CV53" s="153"/>
      <c r="CW53" s="153"/>
      <c r="CX53" s="153"/>
      <c r="CY53" s="153"/>
      <c r="CZ53" s="153"/>
      <c r="DA53" s="153"/>
      <c r="DB53" s="153"/>
      <c r="DC53" s="153"/>
      <c r="DD53" s="153"/>
      <c r="DE53" s="153"/>
      <c r="DF53" s="153"/>
      <c r="DG53" s="153"/>
      <c r="DH53" s="153"/>
      <c r="DI53" s="153"/>
      <c r="DJ53" s="153"/>
      <c r="DK53" s="153"/>
      <c r="DL53" s="153"/>
      <c r="DM53" s="153"/>
      <c r="DN53" s="153"/>
      <c r="DO53" s="153"/>
      <c r="DP53" s="153"/>
      <c r="DQ53" s="153"/>
      <c r="DR53" s="153"/>
      <c r="DS53" s="153"/>
      <c r="DT53" s="153"/>
      <c r="DU53" s="153"/>
      <c r="DV53" s="153"/>
      <c r="DW53" s="153"/>
      <c r="DX53" s="153"/>
      <c r="DY53" s="153"/>
      <c r="DZ53" s="153"/>
      <c r="EA53" s="153"/>
      <c r="EB53" s="153"/>
      <c r="EC53" s="153"/>
      <c r="ED53" s="153"/>
      <c r="EE53" s="153"/>
      <c r="EF53" s="153"/>
      <c r="EG53" s="153"/>
      <c r="EH53" s="153"/>
      <c r="EI53" s="153"/>
      <c r="EJ53" s="153"/>
      <c r="EK53" s="153"/>
      <c r="EL53" s="153"/>
      <c r="EM53" s="153"/>
      <c r="EN53" s="153"/>
      <c r="EO53" s="153"/>
      <c r="EP53" s="153"/>
      <c r="EQ53" s="153"/>
      <c r="ER53" s="153"/>
      <c r="ES53" s="153"/>
      <c r="ET53" s="153"/>
      <c r="EU53" s="153"/>
      <c r="EV53" s="153"/>
      <c r="EW53" s="153"/>
      <c r="EX53" s="153"/>
      <c r="EY53" s="153"/>
      <c r="EZ53" s="153"/>
      <c r="FA53" s="153"/>
      <c r="FB53" s="153"/>
      <c r="FC53" s="153"/>
      <c r="FD53" s="153"/>
      <c r="FE53" s="153"/>
      <c r="FF53" s="153"/>
      <c r="FG53" s="153"/>
      <c r="FH53" s="153"/>
      <c r="FI53" s="153"/>
      <c r="FJ53" s="153"/>
      <c r="FK53" s="153"/>
      <c r="FL53" s="153"/>
      <c r="FM53" s="153"/>
      <c r="FN53" s="153"/>
      <c r="FO53" s="153"/>
      <c r="FP53" s="153"/>
      <c r="FQ53" s="153"/>
      <c r="FR53" s="153"/>
      <c r="FS53" s="153"/>
      <c r="FT53" s="153"/>
      <c r="FU53" s="153"/>
      <c r="FV53" s="153"/>
      <c r="FW53" s="153"/>
      <c r="FX53" s="153"/>
      <c r="FY53" s="153"/>
      <c r="FZ53" s="153"/>
      <c r="GA53" s="153"/>
      <c r="GB53" s="153"/>
      <c r="GC53" s="153"/>
      <c r="GD53" s="153"/>
      <c r="GE53" s="153"/>
      <c r="GF53" s="153"/>
      <c r="GG53" s="153"/>
      <c r="GH53" s="153"/>
      <c r="GI53" s="153"/>
      <c r="GJ53" s="153"/>
      <c r="GK53" s="153"/>
      <c r="GL53" s="153"/>
      <c r="GM53" s="153"/>
      <c r="GN53" s="153"/>
      <c r="GO53" s="153"/>
      <c r="GP53" s="153"/>
      <c r="GQ53" s="153"/>
      <c r="GR53" s="153"/>
      <c r="GS53" s="153"/>
      <c r="GT53" s="153"/>
      <c r="GU53" s="153"/>
      <c r="GV53" s="153"/>
      <c r="GW53" s="153"/>
      <c r="GX53" s="153"/>
      <c r="GY53" s="153"/>
      <c r="GZ53" s="153"/>
      <c r="HA53" s="153"/>
      <c r="HB53" s="153"/>
      <c r="HC53" s="153"/>
      <c r="HD53" s="153"/>
      <c r="HE53" s="153"/>
      <c r="HF53" s="153"/>
      <c r="HG53" s="153"/>
      <c r="HH53" s="153"/>
      <c r="HI53" s="153"/>
      <c r="HJ53" s="153"/>
      <c r="HK53" s="153"/>
      <c r="HL53" s="153"/>
      <c r="HM53" s="153"/>
      <c r="HN53" s="153"/>
      <c r="HO53" s="153"/>
      <c r="HP53" s="153"/>
      <c r="HQ53" s="153"/>
      <c r="HR53" s="153"/>
      <c r="HS53" s="153"/>
      <c r="HT53" s="153"/>
      <c r="HU53" s="153"/>
      <c r="HV53" s="153"/>
      <c r="HW53" s="153"/>
      <c r="HX53" s="153"/>
      <c r="HY53" s="153"/>
      <c r="HZ53" s="153"/>
      <c r="IA53" s="153"/>
      <c r="IB53" s="153"/>
      <c r="IC53" s="153"/>
      <c r="ID53" s="153"/>
      <c r="IE53" s="153"/>
      <c r="IF53" s="153"/>
      <c r="IG53" s="153"/>
      <c r="IH53" s="153"/>
      <c r="II53" s="153"/>
      <c r="IJ53" s="153"/>
      <c r="IK53" s="153"/>
      <c r="IL53" s="153"/>
      <c r="IM53" s="153"/>
      <c r="IN53" s="153"/>
      <c r="IO53" s="153"/>
      <c r="IP53" s="153"/>
      <c r="IQ53" s="153"/>
      <c r="IR53" s="153"/>
      <c r="IS53" s="153"/>
      <c r="IT53" s="153"/>
      <c r="IU53" s="153"/>
      <c r="IV53" s="153"/>
      <c r="IW53" s="153"/>
    </row>
    <row r="54" customFormat="false" ht="12.75" hidden="false" customHeight="false" outlineLevel="0" collapsed="false">
      <c r="A54" s="153"/>
      <c r="B54" s="115" t="s">
        <v>75</v>
      </c>
      <c r="C54" s="116"/>
      <c r="D54" s="120" t="n">
        <v>-18.496</v>
      </c>
      <c r="E54" s="120" t="n">
        <v>-30.258</v>
      </c>
      <c r="F54" s="120" t="n">
        <v>19.825</v>
      </c>
      <c r="G54" s="120" t="n">
        <v>-1.018</v>
      </c>
      <c r="H54" s="120" t="n">
        <v>0.284</v>
      </c>
      <c r="I54" s="120" t="n">
        <v>-12.212</v>
      </c>
      <c r="J54" s="120" t="n">
        <v>-7.532</v>
      </c>
      <c r="K54" s="120" t="n">
        <v>-3.225</v>
      </c>
      <c r="L54" s="120" t="n">
        <v>15.262</v>
      </c>
      <c r="M54" s="120"/>
      <c r="N54" s="120"/>
      <c r="O54" s="121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  <c r="BI54" s="153"/>
      <c r="BJ54" s="153"/>
      <c r="BK54" s="153"/>
      <c r="BL54" s="153"/>
      <c r="BM54" s="153"/>
      <c r="BN54" s="153"/>
      <c r="BO54" s="153"/>
      <c r="BP54" s="153"/>
      <c r="BQ54" s="153"/>
      <c r="BR54" s="153"/>
      <c r="BS54" s="153"/>
      <c r="BT54" s="153"/>
      <c r="BU54" s="153"/>
      <c r="BV54" s="153"/>
      <c r="BW54" s="153"/>
      <c r="BX54" s="153"/>
      <c r="BY54" s="153"/>
      <c r="BZ54" s="153"/>
      <c r="CA54" s="153"/>
      <c r="CB54" s="153"/>
      <c r="CC54" s="153"/>
      <c r="CD54" s="153"/>
      <c r="CE54" s="153"/>
      <c r="CF54" s="153"/>
      <c r="CG54" s="153"/>
      <c r="CH54" s="153"/>
      <c r="CI54" s="153"/>
      <c r="CJ54" s="153"/>
      <c r="CK54" s="153"/>
      <c r="CL54" s="153"/>
      <c r="CM54" s="153"/>
      <c r="CN54" s="153"/>
      <c r="CO54" s="153"/>
      <c r="CP54" s="153"/>
      <c r="CQ54" s="153"/>
      <c r="CR54" s="153"/>
      <c r="CS54" s="153"/>
      <c r="CT54" s="153"/>
      <c r="CU54" s="153"/>
      <c r="CV54" s="153"/>
      <c r="CW54" s="153"/>
      <c r="CX54" s="153"/>
      <c r="CY54" s="153"/>
      <c r="CZ54" s="153"/>
      <c r="DA54" s="153"/>
      <c r="DB54" s="153"/>
      <c r="DC54" s="153"/>
      <c r="DD54" s="153"/>
      <c r="DE54" s="153"/>
      <c r="DF54" s="153"/>
      <c r="DG54" s="153"/>
      <c r="DH54" s="153"/>
      <c r="DI54" s="153"/>
      <c r="DJ54" s="153"/>
      <c r="DK54" s="153"/>
      <c r="DL54" s="153"/>
      <c r="DM54" s="153"/>
      <c r="DN54" s="153"/>
      <c r="DO54" s="153"/>
      <c r="DP54" s="153"/>
      <c r="DQ54" s="153"/>
      <c r="DR54" s="153"/>
      <c r="DS54" s="153"/>
      <c r="DT54" s="153"/>
      <c r="DU54" s="153"/>
      <c r="DV54" s="153"/>
      <c r="DW54" s="153"/>
      <c r="DX54" s="153"/>
      <c r="DY54" s="153"/>
      <c r="DZ54" s="153"/>
      <c r="EA54" s="153"/>
      <c r="EB54" s="153"/>
      <c r="EC54" s="153"/>
      <c r="ED54" s="153"/>
      <c r="EE54" s="153"/>
      <c r="EF54" s="153"/>
      <c r="EG54" s="153"/>
      <c r="EH54" s="153"/>
      <c r="EI54" s="153"/>
      <c r="EJ54" s="153"/>
      <c r="EK54" s="153"/>
      <c r="EL54" s="153"/>
      <c r="EM54" s="153"/>
      <c r="EN54" s="153"/>
      <c r="EO54" s="153"/>
      <c r="EP54" s="153"/>
      <c r="EQ54" s="153"/>
      <c r="ER54" s="153"/>
      <c r="ES54" s="153"/>
      <c r="ET54" s="153"/>
      <c r="EU54" s="153"/>
      <c r="EV54" s="153"/>
      <c r="EW54" s="153"/>
      <c r="EX54" s="153"/>
      <c r="EY54" s="153"/>
      <c r="EZ54" s="153"/>
      <c r="FA54" s="153"/>
      <c r="FB54" s="153"/>
      <c r="FC54" s="153"/>
      <c r="FD54" s="153"/>
      <c r="FE54" s="153"/>
      <c r="FF54" s="153"/>
      <c r="FG54" s="153"/>
      <c r="FH54" s="153"/>
      <c r="FI54" s="153"/>
      <c r="FJ54" s="153"/>
      <c r="FK54" s="153"/>
      <c r="FL54" s="153"/>
      <c r="FM54" s="153"/>
      <c r="FN54" s="153"/>
      <c r="FO54" s="153"/>
      <c r="FP54" s="153"/>
      <c r="FQ54" s="153"/>
      <c r="FR54" s="153"/>
      <c r="FS54" s="153"/>
      <c r="FT54" s="153"/>
      <c r="FU54" s="153"/>
      <c r="FV54" s="153"/>
      <c r="FW54" s="153"/>
      <c r="FX54" s="153"/>
      <c r="FY54" s="153"/>
      <c r="FZ54" s="153"/>
      <c r="GA54" s="153"/>
      <c r="GB54" s="153"/>
      <c r="GC54" s="153"/>
      <c r="GD54" s="153"/>
      <c r="GE54" s="153"/>
      <c r="GF54" s="153"/>
      <c r="GG54" s="153"/>
      <c r="GH54" s="153"/>
      <c r="GI54" s="153"/>
      <c r="GJ54" s="153"/>
      <c r="GK54" s="153"/>
      <c r="GL54" s="153"/>
      <c r="GM54" s="153"/>
      <c r="GN54" s="153"/>
      <c r="GO54" s="153"/>
      <c r="GP54" s="153"/>
      <c r="GQ54" s="153"/>
      <c r="GR54" s="153"/>
      <c r="GS54" s="153"/>
      <c r="GT54" s="153"/>
      <c r="GU54" s="153"/>
      <c r="GV54" s="153"/>
      <c r="GW54" s="153"/>
      <c r="GX54" s="153"/>
      <c r="GY54" s="153"/>
      <c r="GZ54" s="153"/>
      <c r="HA54" s="153"/>
      <c r="HB54" s="153"/>
      <c r="HC54" s="153"/>
      <c r="HD54" s="153"/>
      <c r="HE54" s="153"/>
      <c r="HF54" s="153"/>
      <c r="HG54" s="153"/>
      <c r="HH54" s="153"/>
      <c r="HI54" s="153"/>
      <c r="HJ54" s="153"/>
      <c r="HK54" s="153"/>
      <c r="HL54" s="153"/>
      <c r="HM54" s="153"/>
      <c r="HN54" s="153"/>
      <c r="HO54" s="153"/>
      <c r="HP54" s="153"/>
      <c r="HQ54" s="153"/>
      <c r="HR54" s="153"/>
      <c r="HS54" s="153"/>
      <c r="HT54" s="153"/>
      <c r="HU54" s="153"/>
      <c r="HV54" s="153"/>
      <c r="HW54" s="153"/>
      <c r="HX54" s="153"/>
      <c r="HY54" s="153"/>
      <c r="HZ54" s="153"/>
      <c r="IA54" s="153"/>
      <c r="IB54" s="153"/>
      <c r="IC54" s="153"/>
      <c r="ID54" s="153"/>
      <c r="IE54" s="153"/>
      <c r="IF54" s="153"/>
      <c r="IG54" s="153"/>
      <c r="IH54" s="153"/>
      <c r="II54" s="153"/>
      <c r="IJ54" s="153"/>
      <c r="IK54" s="153"/>
      <c r="IL54" s="153"/>
      <c r="IM54" s="153"/>
      <c r="IN54" s="153"/>
      <c r="IO54" s="153"/>
      <c r="IP54" s="153"/>
      <c r="IQ54" s="153"/>
      <c r="IR54" s="153"/>
      <c r="IS54" s="153"/>
      <c r="IT54" s="153"/>
      <c r="IU54" s="153"/>
      <c r="IV54" s="153"/>
      <c r="IW54" s="153"/>
    </row>
    <row r="55" customFormat="false" ht="12.75" hidden="false" customHeight="false" outlineLevel="0" collapsed="false">
      <c r="A55" s="153"/>
      <c r="B55" s="115" t="s">
        <v>76</v>
      </c>
      <c r="C55" s="116"/>
      <c r="D55" s="122" t="n">
        <f aca="false">SUM($C54:D54)</f>
        <v>-18.496</v>
      </c>
      <c r="E55" s="122" t="n">
        <f aca="false">SUM($D54:E54)</f>
        <v>-48.754</v>
      </c>
      <c r="F55" s="122" t="n">
        <f aca="false">SUM($D54:F54)</f>
        <v>-28.929</v>
      </c>
      <c r="G55" s="122" t="n">
        <f aca="false">SUM($D54:G54)</f>
        <v>-29.947</v>
      </c>
      <c r="H55" s="122" t="n">
        <f aca="false">SUM($D54:H54)</f>
        <v>-29.663</v>
      </c>
      <c r="I55" s="122" t="n">
        <f aca="false">SUM($D54:I54)</f>
        <v>-41.875</v>
      </c>
      <c r="J55" s="122" t="n">
        <f aca="false">SUM($D54:J54)</f>
        <v>-49.407</v>
      </c>
      <c r="K55" s="122" t="n">
        <f aca="false">SUM($D54:K54)</f>
        <v>-52.632</v>
      </c>
      <c r="L55" s="122" t="n">
        <f aca="false">SUM($D54:L54)</f>
        <v>-37.37</v>
      </c>
      <c r="M55" s="122" t="n">
        <v>0</v>
      </c>
      <c r="N55" s="122" t="n">
        <v>0</v>
      </c>
      <c r="O55" s="123" t="n">
        <v>0</v>
      </c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  <c r="BI55" s="153"/>
      <c r="BJ55" s="153"/>
      <c r="BK55" s="153"/>
      <c r="BL55" s="153"/>
      <c r="BM55" s="153"/>
      <c r="BN55" s="153"/>
      <c r="BO55" s="153"/>
      <c r="BP55" s="153"/>
      <c r="BQ55" s="153"/>
      <c r="BR55" s="153"/>
      <c r="BS55" s="153"/>
      <c r="BT55" s="153"/>
      <c r="BU55" s="153"/>
      <c r="BV55" s="153"/>
      <c r="BW55" s="153"/>
      <c r="BX55" s="153"/>
      <c r="BY55" s="153"/>
      <c r="BZ55" s="153"/>
      <c r="CA55" s="153"/>
      <c r="CB55" s="153"/>
      <c r="CC55" s="153"/>
      <c r="CD55" s="153"/>
      <c r="CE55" s="153"/>
      <c r="CF55" s="153"/>
      <c r="CG55" s="153"/>
      <c r="CH55" s="153"/>
      <c r="CI55" s="153"/>
      <c r="CJ55" s="153"/>
      <c r="CK55" s="153"/>
      <c r="CL55" s="153"/>
      <c r="CM55" s="153"/>
      <c r="CN55" s="153"/>
      <c r="CO55" s="153"/>
      <c r="CP55" s="153"/>
      <c r="CQ55" s="153"/>
      <c r="CR55" s="153"/>
      <c r="CS55" s="153"/>
      <c r="CT55" s="153"/>
      <c r="CU55" s="153"/>
      <c r="CV55" s="153"/>
      <c r="CW55" s="153"/>
      <c r="CX55" s="153"/>
      <c r="CY55" s="153"/>
      <c r="CZ55" s="153"/>
      <c r="DA55" s="153"/>
      <c r="DB55" s="153"/>
      <c r="DC55" s="153"/>
      <c r="DD55" s="153"/>
      <c r="DE55" s="153"/>
      <c r="DF55" s="153"/>
      <c r="DG55" s="153"/>
      <c r="DH55" s="153"/>
      <c r="DI55" s="153"/>
      <c r="DJ55" s="153"/>
      <c r="DK55" s="153"/>
      <c r="DL55" s="153"/>
      <c r="DM55" s="153"/>
      <c r="DN55" s="153"/>
      <c r="DO55" s="153"/>
      <c r="DP55" s="153"/>
      <c r="DQ55" s="153"/>
      <c r="DR55" s="153"/>
      <c r="DS55" s="153"/>
      <c r="DT55" s="153"/>
      <c r="DU55" s="153"/>
      <c r="DV55" s="153"/>
      <c r="DW55" s="153"/>
      <c r="DX55" s="153"/>
      <c r="DY55" s="153"/>
      <c r="DZ55" s="153"/>
      <c r="EA55" s="153"/>
      <c r="EB55" s="153"/>
      <c r="EC55" s="153"/>
      <c r="ED55" s="153"/>
      <c r="EE55" s="153"/>
      <c r="EF55" s="153"/>
      <c r="EG55" s="153"/>
      <c r="EH55" s="153"/>
      <c r="EI55" s="153"/>
      <c r="EJ55" s="153"/>
      <c r="EK55" s="153"/>
      <c r="EL55" s="153"/>
      <c r="EM55" s="153"/>
      <c r="EN55" s="153"/>
      <c r="EO55" s="153"/>
      <c r="EP55" s="153"/>
      <c r="EQ55" s="153"/>
      <c r="ER55" s="153"/>
      <c r="ES55" s="153"/>
      <c r="ET55" s="153"/>
      <c r="EU55" s="153"/>
      <c r="EV55" s="153"/>
      <c r="EW55" s="153"/>
      <c r="EX55" s="153"/>
      <c r="EY55" s="153"/>
      <c r="EZ55" s="153"/>
      <c r="FA55" s="153"/>
      <c r="FB55" s="153"/>
      <c r="FC55" s="153"/>
      <c r="FD55" s="153"/>
      <c r="FE55" s="153"/>
      <c r="FF55" s="153"/>
      <c r="FG55" s="153"/>
      <c r="FH55" s="153"/>
      <c r="FI55" s="153"/>
      <c r="FJ55" s="153"/>
      <c r="FK55" s="153"/>
      <c r="FL55" s="153"/>
      <c r="FM55" s="153"/>
      <c r="FN55" s="153"/>
      <c r="FO55" s="153"/>
      <c r="FP55" s="153"/>
      <c r="FQ55" s="153"/>
      <c r="FR55" s="153"/>
      <c r="FS55" s="153"/>
      <c r="FT55" s="153"/>
      <c r="FU55" s="153"/>
      <c r="FV55" s="153"/>
      <c r="FW55" s="153"/>
      <c r="FX55" s="153"/>
      <c r="FY55" s="153"/>
      <c r="FZ55" s="153"/>
      <c r="GA55" s="153"/>
      <c r="GB55" s="153"/>
      <c r="GC55" s="153"/>
      <c r="GD55" s="153"/>
      <c r="GE55" s="153"/>
      <c r="GF55" s="153"/>
      <c r="GG55" s="153"/>
      <c r="GH55" s="153"/>
      <c r="GI55" s="153"/>
      <c r="GJ55" s="153"/>
      <c r="GK55" s="153"/>
      <c r="GL55" s="153"/>
      <c r="GM55" s="153"/>
      <c r="GN55" s="153"/>
      <c r="GO55" s="153"/>
      <c r="GP55" s="153"/>
      <c r="GQ55" s="153"/>
      <c r="GR55" s="153"/>
      <c r="GS55" s="153"/>
      <c r="GT55" s="153"/>
      <c r="GU55" s="153"/>
      <c r="GV55" s="153"/>
      <c r="GW55" s="153"/>
      <c r="GX55" s="153"/>
      <c r="GY55" s="153"/>
      <c r="GZ55" s="153"/>
      <c r="HA55" s="153"/>
      <c r="HB55" s="153"/>
      <c r="HC55" s="153"/>
      <c r="HD55" s="153"/>
      <c r="HE55" s="153"/>
      <c r="HF55" s="153"/>
      <c r="HG55" s="153"/>
      <c r="HH55" s="153"/>
      <c r="HI55" s="153"/>
      <c r="HJ55" s="153"/>
      <c r="HK55" s="153"/>
      <c r="HL55" s="153"/>
      <c r="HM55" s="153"/>
      <c r="HN55" s="153"/>
      <c r="HO55" s="153"/>
      <c r="HP55" s="153"/>
      <c r="HQ55" s="153"/>
      <c r="HR55" s="153"/>
      <c r="HS55" s="153"/>
      <c r="HT55" s="153"/>
      <c r="HU55" s="153"/>
      <c r="HV55" s="153"/>
      <c r="HW55" s="153"/>
      <c r="HX55" s="153"/>
      <c r="HY55" s="153"/>
      <c r="HZ55" s="153"/>
      <c r="IA55" s="153"/>
      <c r="IB55" s="153"/>
      <c r="IC55" s="153"/>
      <c r="ID55" s="153"/>
      <c r="IE55" s="153"/>
      <c r="IF55" s="153"/>
      <c r="IG55" s="153"/>
      <c r="IH55" s="153"/>
      <c r="II55" s="153"/>
      <c r="IJ55" s="153"/>
      <c r="IK55" s="153"/>
      <c r="IL55" s="153"/>
      <c r="IM55" s="153"/>
      <c r="IN55" s="153"/>
      <c r="IO55" s="153"/>
      <c r="IP55" s="153"/>
      <c r="IQ55" s="153"/>
      <c r="IR55" s="153"/>
      <c r="IS55" s="153"/>
      <c r="IT55" s="153"/>
      <c r="IU55" s="153"/>
      <c r="IV55" s="153"/>
      <c r="IW55" s="153"/>
    </row>
    <row r="56" customFormat="false" ht="12.75" hidden="false" customHeight="false" outlineLevel="0" collapsed="false">
      <c r="A56" s="153"/>
      <c r="B56" s="115"/>
      <c r="C56" s="116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  <c r="BI56" s="153"/>
      <c r="BJ56" s="153"/>
      <c r="BK56" s="153"/>
      <c r="BL56" s="153"/>
      <c r="BM56" s="153"/>
      <c r="BN56" s="153"/>
      <c r="BO56" s="153"/>
      <c r="BP56" s="153"/>
      <c r="BQ56" s="153"/>
      <c r="BR56" s="153"/>
      <c r="BS56" s="153"/>
      <c r="BT56" s="153"/>
      <c r="BU56" s="153"/>
      <c r="BV56" s="153"/>
      <c r="BW56" s="153"/>
      <c r="BX56" s="153"/>
      <c r="BY56" s="153"/>
      <c r="BZ56" s="153"/>
      <c r="CA56" s="153"/>
      <c r="CB56" s="153"/>
      <c r="CC56" s="153"/>
      <c r="CD56" s="153"/>
      <c r="CE56" s="153"/>
      <c r="CF56" s="153"/>
      <c r="CG56" s="153"/>
      <c r="CH56" s="153"/>
      <c r="CI56" s="153"/>
      <c r="CJ56" s="153"/>
      <c r="CK56" s="153"/>
      <c r="CL56" s="153"/>
      <c r="CM56" s="153"/>
      <c r="CN56" s="153"/>
      <c r="CO56" s="153"/>
      <c r="CP56" s="153"/>
      <c r="CQ56" s="153"/>
      <c r="CR56" s="153"/>
      <c r="CS56" s="153"/>
      <c r="CT56" s="153"/>
      <c r="CU56" s="153"/>
      <c r="CV56" s="153"/>
      <c r="CW56" s="153"/>
      <c r="CX56" s="153"/>
      <c r="CY56" s="153"/>
      <c r="CZ56" s="153"/>
      <c r="DA56" s="153"/>
      <c r="DB56" s="153"/>
      <c r="DC56" s="153"/>
      <c r="DD56" s="153"/>
      <c r="DE56" s="153"/>
      <c r="DF56" s="153"/>
      <c r="DG56" s="153"/>
      <c r="DH56" s="153"/>
      <c r="DI56" s="153"/>
      <c r="DJ56" s="153"/>
      <c r="DK56" s="153"/>
      <c r="DL56" s="153"/>
      <c r="DM56" s="153"/>
      <c r="DN56" s="153"/>
      <c r="DO56" s="153"/>
      <c r="DP56" s="153"/>
      <c r="DQ56" s="153"/>
      <c r="DR56" s="153"/>
      <c r="DS56" s="153"/>
      <c r="DT56" s="153"/>
      <c r="DU56" s="153"/>
      <c r="DV56" s="153"/>
      <c r="DW56" s="153"/>
      <c r="DX56" s="153"/>
      <c r="DY56" s="153"/>
      <c r="DZ56" s="153"/>
      <c r="EA56" s="153"/>
      <c r="EB56" s="153"/>
      <c r="EC56" s="153"/>
      <c r="ED56" s="153"/>
      <c r="EE56" s="153"/>
      <c r="EF56" s="153"/>
      <c r="EG56" s="153"/>
      <c r="EH56" s="153"/>
      <c r="EI56" s="153"/>
      <c r="EJ56" s="153"/>
      <c r="EK56" s="153"/>
      <c r="EL56" s="153"/>
      <c r="EM56" s="153"/>
      <c r="EN56" s="153"/>
      <c r="EO56" s="153"/>
      <c r="EP56" s="153"/>
      <c r="EQ56" s="153"/>
      <c r="ER56" s="153"/>
      <c r="ES56" s="153"/>
      <c r="ET56" s="153"/>
      <c r="EU56" s="153"/>
      <c r="EV56" s="153"/>
      <c r="EW56" s="153"/>
      <c r="EX56" s="153"/>
      <c r="EY56" s="153"/>
      <c r="EZ56" s="153"/>
      <c r="FA56" s="153"/>
      <c r="FB56" s="153"/>
      <c r="FC56" s="153"/>
      <c r="FD56" s="153"/>
      <c r="FE56" s="153"/>
      <c r="FF56" s="153"/>
      <c r="FG56" s="153"/>
      <c r="FH56" s="153"/>
      <c r="FI56" s="153"/>
      <c r="FJ56" s="153"/>
      <c r="FK56" s="153"/>
      <c r="FL56" s="153"/>
      <c r="FM56" s="153"/>
      <c r="FN56" s="153"/>
      <c r="FO56" s="153"/>
      <c r="FP56" s="153"/>
      <c r="FQ56" s="153"/>
      <c r="FR56" s="153"/>
      <c r="FS56" s="153"/>
      <c r="FT56" s="153"/>
      <c r="FU56" s="153"/>
      <c r="FV56" s="153"/>
      <c r="FW56" s="153"/>
      <c r="FX56" s="153"/>
      <c r="FY56" s="153"/>
      <c r="FZ56" s="153"/>
      <c r="GA56" s="153"/>
      <c r="GB56" s="153"/>
      <c r="GC56" s="153"/>
      <c r="GD56" s="153"/>
      <c r="GE56" s="153"/>
      <c r="GF56" s="153"/>
      <c r="GG56" s="153"/>
      <c r="GH56" s="153"/>
      <c r="GI56" s="153"/>
      <c r="GJ56" s="153"/>
      <c r="GK56" s="153"/>
      <c r="GL56" s="153"/>
      <c r="GM56" s="153"/>
      <c r="GN56" s="153"/>
      <c r="GO56" s="153"/>
      <c r="GP56" s="153"/>
      <c r="GQ56" s="153"/>
      <c r="GR56" s="153"/>
      <c r="GS56" s="153"/>
      <c r="GT56" s="153"/>
      <c r="GU56" s="153"/>
      <c r="GV56" s="153"/>
      <c r="GW56" s="153"/>
      <c r="GX56" s="153"/>
      <c r="GY56" s="153"/>
      <c r="GZ56" s="153"/>
      <c r="HA56" s="153"/>
      <c r="HB56" s="153"/>
      <c r="HC56" s="153"/>
      <c r="HD56" s="153"/>
      <c r="HE56" s="153"/>
      <c r="HF56" s="153"/>
      <c r="HG56" s="153"/>
      <c r="HH56" s="153"/>
      <c r="HI56" s="153"/>
      <c r="HJ56" s="153"/>
      <c r="HK56" s="153"/>
      <c r="HL56" s="153"/>
      <c r="HM56" s="153"/>
      <c r="HN56" s="153"/>
      <c r="HO56" s="153"/>
      <c r="HP56" s="153"/>
      <c r="HQ56" s="153"/>
      <c r="HR56" s="153"/>
      <c r="HS56" s="153"/>
      <c r="HT56" s="153"/>
      <c r="HU56" s="153"/>
      <c r="HV56" s="153"/>
      <c r="HW56" s="153"/>
      <c r="HX56" s="153"/>
      <c r="HY56" s="153"/>
      <c r="HZ56" s="153"/>
      <c r="IA56" s="153"/>
      <c r="IB56" s="153"/>
      <c r="IC56" s="153"/>
      <c r="ID56" s="153"/>
      <c r="IE56" s="153"/>
      <c r="IF56" s="153"/>
      <c r="IG56" s="153"/>
      <c r="IH56" s="153"/>
      <c r="II56" s="153"/>
      <c r="IJ56" s="153"/>
      <c r="IK56" s="153"/>
      <c r="IL56" s="153"/>
      <c r="IM56" s="153"/>
      <c r="IN56" s="153"/>
      <c r="IO56" s="153"/>
      <c r="IP56" s="153"/>
      <c r="IQ56" s="153"/>
      <c r="IR56" s="153"/>
      <c r="IS56" s="153"/>
      <c r="IT56" s="153"/>
      <c r="IU56" s="153"/>
      <c r="IV56" s="153"/>
      <c r="IW56" s="153"/>
    </row>
    <row r="57" customFormat="false" ht="12.75" hidden="false" customHeight="false" outlineLevel="0" collapsed="false">
      <c r="A57" s="153"/>
      <c r="B57" s="152" t="s">
        <v>97</v>
      </c>
      <c r="C57" s="116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  <c r="BI57" s="153"/>
      <c r="BJ57" s="153"/>
      <c r="BK57" s="153"/>
      <c r="BL57" s="153"/>
      <c r="BM57" s="153"/>
      <c r="BN57" s="153"/>
      <c r="BO57" s="153"/>
      <c r="BP57" s="153"/>
      <c r="BQ57" s="153"/>
      <c r="BR57" s="153"/>
      <c r="BS57" s="153"/>
      <c r="BT57" s="153"/>
      <c r="BU57" s="153"/>
      <c r="BV57" s="153"/>
      <c r="BW57" s="153"/>
      <c r="BX57" s="153"/>
      <c r="BY57" s="153"/>
      <c r="BZ57" s="153"/>
      <c r="CA57" s="153"/>
      <c r="CB57" s="153"/>
      <c r="CC57" s="153"/>
      <c r="CD57" s="153"/>
      <c r="CE57" s="153"/>
      <c r="CF57" s="153"/>
      <c r="CG57" s="153"/>
      <c r="CH57" s="153"/>
      <c r="CI57" s="153"/>
      <c r="CJ57" s="153"/>
      <c r="CK57" s="153"/>
      <c r="CL57" s="153"/>
      <c r="CM57" s="153"/>
      <c r="CN57" s="153"/>
      <c r="CO57" s="153"/>
      <c r="CP57" s="153"/>
      <c r="CQ57" s="153"/>
      <c r="CR57" s="153"/>
      <c r="CS57" s="153"/>
      <c r="CT57" s="153"/>
      <c r="CU57" s="153"/>
      <c r="CV57" s="153"/>
      <c r="CW57" s="153"/>
      <c r="CX57" s="153"/>
      <c r="CY57" s="153"/>
      <c r="CZ57" s="153"/>
      <c r="DA57" s="153"/>
      <c r="DB57" s="153"/>
      <c r="DC57" s="153"/>
      <c r="DD57" s="153"/>
      <c r="DE57" s="153"/>
      <c r="DF57" s="153"/>
      <c r="DG57" s="153"/>
      <c r="DH57" s="153"/>
      <c r="DI57" s="153"/>
      <c r="DJ57" s="153"/>
      <c r="DK57" s="153"/>
      <c r="DL57" s="153"/>
      <c r="DM57" s="153"/>
      <c r="DN57" s="153"/>
      <c r="DO57" s="153"/>
      <c r="DP57" s="153"/>
      <c r="DQ57" s="153"/>
      <c r="DR57" s="153"/>
      <c r="DS57" s="153"/>
      <c r="DT57" s="153"/>
      <c r="DU57" s="153"/>
      <c r="DV57" s="153"/>
      <c r="DW57" s="153"/>
      <c r="DX57" s="153"/>
      <c r="DY57" s="153"/>
      <c r="DZ57" s="153"/>
      <c r="EA57" s="153"/>
      <c r="EB57" s="153"/>
      <c r="EC57" s="153"/>
      <c r="ED57" s="153"/>
      <c r="EE57" s="153"/>
      <c r="EF57" s="153"/>
      <c r="EG57" s="153"/>
      <c r="EH57" s="153"/>
      <c r="EI57" s="153"/>
      <c r="EJ57" s="153"/>
      <c r="EK57" s="153"/>
      <c r="EL57" s="153"/>
      <c r="EM57" s="153"/>
      <c r="EN57" s="153"/>
      <c r="EO57" s="153"/>
      <c r="EP57" s="153"/>
      <c r="EQ57" s="153"/>
      <c r="ER57" s="153"/>
      <c r="ES57" s="153"/>
      <c r="ET57" s="153"/>
      <c r="EU57" s="153"/>
      <c r="EV57" s="153"/>
      <c r="EW57" s="153"/>
      <c r="EX57" s="153"/>
      <c r="EY57" s="153"/>
      <c r="EZ57" s="153"/>
      <c r="FA57" s="153"/>
      <c r="FB57" s="153"/>
      <c r="FC57" s="153"/>
      <c r="FD57" s="153"/>
      <c r="FE57" s="153"/>
      <c r="FF57" s="153"/>
      <c r="FG57" s="153"/>
      <c r="FH57" s="153"/>
      <c r="FI57" s="153"/>
      <c r="FJ57" s="153"/>
      <c r="FK57" s="153"/>
      <c r="FL57" s="153"/>
      <c r="FM57" s="153"/>
      <c r="FN57" s="153"/>
      <c r="FO57" s="153"/>
      <c r="FP57" s="153"/>
      <c r="FQ57" s="153"/>
      <c r="FR57" s="153"/>
      <c r="FS57" s="153"/>
      <c r="FT57" s="153"/>
      <c r="FU57" s="153"/>
      <c r="FV57" s="153"/>
      <c r="FW57" s="153"/>
      <c r="FX57" s="153"/>
      <c r="FY57" s="153"/>
      <c r="FZ57" s="153"/>
      <c r="GA57" s="153"/>
      <c r="GB57" s="153"/>
      <c r="GC57" s="153"/>
      <c r="GD57" s="153"/>
      <c r="GE57" s="153"/>
      <c r="GF57" s="153"/>
      <c r="GG57" s="153"/>
      <c r="GH57" s="153"/>
      <c r="GI57" s="153"/>
      <c r="GJ57" s="153"/>
      <c r="GK57" s="153"/>
      <c r="GL57" s="153"/>
      <c r="GM57" s="153"/>
      <c r="GN57" s="153"/>
      <c r="GO57" s="153"/>
      <c r="GP57" s="153"/>
      <c r="GQ57" s="153"/>
      <c r="GR57" s="153"/>
      <c r="GS57" s="153"/>
      <c r="GT57" s="153"/>
      <c r="GU57" s="153"/>
      <c r="GV57" s="153"/>
      <c r="GW57" s="153"/>
      <c r="GX57" s="153"/>
      <c r="GY57" s="153"/>
      <c r="GZ57" s="153"/>
      <c r="HA57" s="153"/>
      <c r="HB57" s="153"/>
      <c r="HC57" s="153"/>
      <c r="HD57" s="153"/>
      <c r="HE57" s="153"/>
      <c r="HF57" s="153"/>
      <c r="HG57" s="153"/>
      <c r="HH57" s="153"/>
      <c r="HI57" s="153"/>
      <c r="HJ57" s="153"/>
      <c r="HK57" s="153"/>
      <c r="HL57" s="153"/>
      <c r="HM57" s="153"/>
      <c r="HN57" s="153"/>
      <c r="HO57" s="153"/>
      <c r="HP57" s="153"/>
      <c r="HQ57" s="153"/>
      <c r="HR57" s="153"/>
      <c r="HS57" s="153"/>
      <c r="HT57" s="153"/>
      <c r="HU57" s="153"/>
      <c r="HV57" s="153"/>
      <c r="HW57" s="153"/>
      <c r="HX57" s="153"/>
      <c r="HY57" s="153"/>
      <c r="HZ57" s="153"/>
      <c r="IA57" s="153"/>
      <c r="IB57" s="153"/>
      <c r="IC57" s="153"/>
      <c r="ID57" s="153"/>
      <c r="IE57" s="153"/>
      <c r="IF57" s="153"/>
      <c r="IG57" s="153"/>
      <c r="IH57" s="153"/>
      <c r="II57" s="153"/>
      <c r="IJ57" s="153"/>
      <c r="IK57" s="153"/>
      <c r="IL57" s="153"/>
      <c r="IM57" s="153"/>
      <c r="IN57" s="153"/>
      <c r="IO57" s="153"/>
      <c r="IP57" s="153"/>
      <c r="IQ57" s="153"/>
      <c r="IR57" s="153"/>
      <c r="IS57" s="153"/>
      <c r="IT57" s="153"/>
      <c r="IU57" s="153"/>
      <c r="IV57" s="153"/>
      <c r="IW57" s="153"/>
    </row>
    <row r="58" customFormat="false" ht="12.75" hidden="false" customHeight="false" outlineLevel="0" collapsed="false">
      <c r="A58" s="153"/>
      <c r="B58" s="115" t="s">
        <v>75</v>
      </c>
      <c r="C58" s="116"/>
      <c r="D58" s="120" t="n">
        <v>-18.496</v>
      </c>
      <c r="E58" s="120" t="n">
        <v>-30.258</v>
      </c>
      <c r="F58" s="120" t="n">
        <v>19.825</v>
      </c>
      <c r="G58" s="120" t="n">
        <v>-1.018</v>
      </c>
      <c r="H58" s="120" t="n">
        <v>0.284</v>
      </c>
      <c r="I58" s="120" t="n">
        <v>-12.212</v>
      </c>
      <c r="J58" s="120" t="n">
        <v>-7.532</v>
      </c>
      <c r="K58" s="120" t="n">
        <v>-3.225</v>
      </c>
      <c r="L58" s="120" t="n">
        <v>15.262</v>
      </c>
      <c r="M58" s="120"/>
      <c r="N58" s="120"/>
      <c r="O58" s="121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  <c r="BI58" s="153"/>
      <c r="BJ58" s="153"/>
      <c r="BK58" s="153"/>
      <c r="BL58" s="153"/>
      <c r="BM58" s="153"/>
      <c r="BN58" s="153"/>
      <c r="BO58" s="153"/>
      <c r="BP58" s="153"/>
      <c r="BQ58" s="153"/>
      <c r="BR58" s="153"/>
      <c r="BS58" s="153"/>
      <c r="BT58" s="153"/>
      <c r="BU58" s="153"/>
      <c r="BV58" s="153"/>
      <c r="BW58" s="153"/>
      <c r="BX58" s="153"/>
      <c r="BY58" s="153"/>
      <c r="BZ58" s="153"/>
      <c r="CA58" s="153"/>
      <c r="CB58" s="153"/>
      <c r="CC58" s="153"/>
      <c r="CD58" s="153"/>
      <c r="CE58" s="153"/>
      <c r="CF58" s="153"/>
      <c r="CG58" s="153"/>
      <c r="CH58" s="153"/>
      <c r="CI58" s="153"/>
      <c r="CJ58" s="153"/>
      <c r="CK58" s="153"/>
      <c r="CL58" s="153"/>
      <c r="CM58" s="153"/>
      <c r="CN58" s="153"/>
      <c r="CO58" s="153"/>
      <c r="CP58" s="153"/>
      <c r="CQ58" s="153"/>
      <c r="CR58" s="153"/>
      <c r="CS58" s="153"/>
      <c r="CT58" s="153"/>
      <c r="CU58" s="153"/>
      <c r="CV58" s="153"/>
      <c r="CW58" s="153"/>
      <c r="CX58" s="153"/>
      <c r="CY58" s="153"/>
      <c r="CZ58" s="153"/>
      <c r="DA58" s="153"/>
      <c r="DB58" s="153"/>
      <c r="DC58" s="153"/>
      <c r="DD58" s="153"/>
      <c r="DE58" s="153"/>
      <c r="DF58" s="153"/>
      <c r="DG58" s="153"/>
      <c r="DH58" s="153"/>
      <c r="DI58" s="153"/>
      <c r="DJ58" s="153"/>
      <c r="DK58" s="153"/>
      <c r="DL58" s="153"/>
      <c r="DM58" s="153"/>
      <c r="DN58" s="153"/>
      <c r="DO58" s="153"/>
      <c r="DP58" s="153"/>
      <c r="DQ58" s="153"/>
      <c r="DR58" s="153"/>
      <c r="DS58" s="153"/>
      <c r="DT58" s="153"/>
      <c r="DU58" s="153"/>
      <c r="DV58" s="153"/>
      <c r="DW58" s="153"/>
      <c r="DX58" s="153"/>
      <c r="DY58" s="153"/>
      <c r="DZ58" s="153"/>
      <c r="EA58" s="153"/>
      <c r="EB58" s="153"/>
      <c r="EC58" s="153"/>
      <c r="ED58" s="153"/>
      <c r="EE58" s="153"/>
      <c r="EF58" s="153"/>
      <c r="EG58" s="153"/>
      <c r="EH58" s="153"/>
      <c r="EI58" s="153"/>
      <c r="EJ58" s="153"/>
      <c r="EK58" s="153"/>
      <c r="EL58" s="153"/>
      <c r="EM58" s="153"/>
      <c r="EN58" s="153"/>
      <c r="EO58" s="153"/>
      <c r="EP58" s="153"/>
      <c r="EQ58" s="153"/>
      <c r="ER58" s="153"/>
      <c r="ES58" s="153"/>
      <c r="ET58" s="153"/>
      <c r="EU58" s="153"/>
      <c r="EV58" s="153"/>
      <c r="EW58" s="153"/>
      <c r="EX58" s="153"/>
      <c r="EY58" s="153"/>
      <c r="EZ58" s="153"/>
      <c r="FA58" s="153"/>
      <c r="FB58" s="153"/>
      <c r="FC58" s="153"/>
      <c r="FD58" s="153"/>
      <c r="FE58" s="153"/>
      <c r="FF58" s="153"/>
      <c r="FG58" s="153"/>
      <c r="FH58" s="153"/>
      <c r="FI58" s="153"/>
      <c r="FJ58" s="153"/>
      <c r="FK58" s="153"/>
      <c r="FL58" s="153"/>
      <c r="FM58" s="153"/>
      <c r="FN58" s="153"/>
      <c r="FO58" s="153"/>
      <c r="FP58" s="153"/>
      <c r="FQ58" s="153"/>
      <c r="FR58" s="153"/>
      <c r="FS58" s="153"/>
      <c r="FT58" s="153"/>
      <c r="FU58" s="153"/>
      <c r="FV58" s="153"/>
      <c r="FW58" s="153"/>
      <c r="FX58" s="153"/>
      <c r="FY58" s="153"/>
      <c r="FZ58" s="153"/>
      <c r="GA58" s="153"/>
      <c r="GB58" s="153"/>
      <c r="GC58" s="153"/>
      <c r="GD58" s="153"/>
      <c r="GE58" s="153"/>
      <c r="GF58" s="153"/>
      <c r="GG58" s="153"/>
      <c r="GH58" s="153"/>
      <c r="GI58" s="153"/>
      <c r="GJ58" s="153"/>
      <c r="GK58" s="153"/>
      <c r="GL58" s="153"/>
      <c r="GM58" s="153"/>
      <c r="GN58" s="153"/>
      <c r="GO58" s="153"/>
      <c r="GP58" s="153"/>
      <c r="GQ58" s="153"/>
      <c r="GR58" s="153"/>
      <c r="GS58" s="153"/>
      <c r="GT58" s="153"/>
      <c r="GU58" s="153"/>
      <c r="GV58" s="153"/>
      <c r="GW58" s="153"/>
      <c r="GX58" s="153"/>
      <c r="GY58" s="153"/>
      <c r="GZ58" s="153"/>
      <c r="HA58" s="153"/>
      <c r="HB58" s="153"/>
      <c r="HC58" s="153"/>
      <c r="HD58" s="153"/>
      <c r="HE58" s="153"/>
      <c r="HF58" s="153"/>
      <c r="HG58" s="153"/>
      <c r="HH58" s="153"/>
      <c r="HI58" s="153"/>
      <c r="HJ58" s="153"/>
      <c r="HK58" s="153"/>
      <c r="HL58" s="153"/>
      <c r="HM58" s="153"/>
      <c r="HN58" s="153"/>
      <c r="HO58" s="153"/>
      <c r="HP58" s="153"/>
      <c r="HQ58" s="153"/>
      <c r="HR58" s="153"/>
      <c r="HS58" s="153"/>
      <c r="HT58" s="153"/>
      <c r="HU58" s="153"/>
      <c r="HV58" s="153"/>
      <c r="HW58" s="153"/>
      <c r="HX58" s="153"/>
      <c r="HY58" s="153"/>
      <c r="HZ58" s="153"/>
      <c r="IA58" s="153"/>
      <c r="IB58" s="153"/>
      <c r="IC58" s="153"/>
      <c r="ID58" s="153"/>
      <c r="IE58" s="153"/>
      <c r="IF58" s="153"/>
      <c r="IG58" s="153"/>
      <c r="IH58" s="153"/>
      <c r="II58" s="153"/>
      <c r="IJ58" s="153"/>
      <c r="IK58" s="153"/>
      <c r="IL58" s="153"/>
      <c r="IM58" s="153"/>
      <c r="IN58" s="153"/>
      <c r="IO58" s="153"/>
      <c r="IP58" s="153"/>
      <c r="IQ58" s="153"/>
      <c r="IR58" s="153"/>
      <c r="IS58" s="153"/>
      <c r="IT58" s="153"/>
      <c r="IU58" s="153"/>
      <c r="IV58" s="153"/>
      <c r="IW58" s="153"/>
    </row>
    <row r="59" customFormat="false" ht="12.75" hidden="false" customHeight="false" outlineLevel="0" collapsed="false">
      <c r="A59" s="153"/>
      <c r="B59" s="115" t="s">
        <v>76</v>
      </c>
      <c r="C59" s="116"/>
      <c r="D59" s="122" t="n">
        <f aca="false">SUM($C58:D58)</f>
        <v>-18.496</v>
      </c>
      <c r="E59" s="122" t="n">
        <f aca="false">SUM($D58:E58)</f>
        <v>-48.754</v>
      </c>
      <c r="F59" s="122" t="n">
        <f aca="false">SUM($D58:F58)</f>
        <v>-28.929</v>
      </c>
      <c r="G59" s="122" t="n">
        <f aca="false">SUM($D58:G58)</f>
        <v>-29.947</v>
      </c>
      <c r="H59" s="122" t="n">
        <f aca="false">SUM($D58:H58)</f>
        <v>-29.663</v>
      </c>
      <c r="I59" s="122" t="n">
        <f aca="false">SUM($D58:I58)</f>
        <v>-41.875</v>
      </c>
      <c r="J59" s="122" t="n">
        <f aca="false">SUM($D58:J58)</f>
        <v>-49.407</v>
      </c>
      <c r="K59" s="122" t="n">
        <f aca="false">SUM($D58:K58)</f>
        <v>-52.632</v>
      </c>
      <c r="L59" s="122" t="n">
        <f aca="false">SUM($D58:L58)</f>
        <v>-37.37</v>
      </c>
      <c r="M59" s="122"/>
      <c r="N59" s="122"/>
      <c r="O59" s="12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  <c r="BI59" s="153"/>
      <c r="BJ59" s="153"/>
      <c r="BK59" s="153"/>
      <c r="BL59" s="153"/>
      <c r="BM59" s="153"/>
      <c r="BN59" s="153"/>
      <c r="BO59" s="153"/>
      <c r="BP59" s="153"/>
      <c r="BQ59" s="153"/>
      <c r="BR59" s="153"/>
      <c r="BS59" s="153"/>
      <c r="BT59" s="153"/>
      <c r="BU59" s="153"/>
      <c r="BV59" s="153"/>
      <c r="BW59" s="153"/>
      <c r="BX59" s="153"/>
      <c r="BY59" s="153"/>
      <c r="BZ59" s="153"/>
      <c r="CA59" s="153"/>
      <c r="CB59" s="153"/>
      <c r="CC59" s="153"/>
      <c r="CD59" s="153"/>
      <c r="CE59" s="153"/>
      <c r="CF59" s="153"/>
      <c r="CG59" s="153"/>
      <c r="CH59" s="153"/>
      <c r="CI59" s="153"/>
      <c r="CJ59" s="153"/>
      <c r="CK59" s="153"/>
      <c r="CL59" s="153"/>
      <c r="CM59" s="153"/>
      <c r="CN59" s="153"/>
      <c r="CO59" s="153"/>
      <c r="CP59" s="153"/>
      <c r="CQ59" s="153"/>
      <c r="CR59" s="153"/>
      <c r="CS59" s="153"/>
      <c r="CT59" s="153"/>
      <c r="CU59" s="153"/>
      <c r="CV59" s="153"/>
      <c r="CW59" s="153"/>
      <c r="CX59" s="153"/>
      <c r="CY59" s="153"/>
      <c r="CZ59" s="153"/>
      <c r="DA59" s="153"/>
      <c r="DB59" s="153"/>
      <c r="DC59" s="153"/>
      <c r="DD59" s="153"/>
      <c r="DE59" s="153"/>
      <c r="DF59" s="153"/>
      <c r="DG59" s="153"/>
      <c r="DH59" s="153"/>
      <c r="DI59" s="153"/>
      <c r="DJ59" s="153"/>
      <c r="DK59" s="153"/>
      <c r="DL59" s="153"/>
      <c r="DM59" s="153"/>
      <c r="DN59" s="153"/>
      <c r="DO59" s="153"/>
      <c r="DP59" s="153"/>
      <c r="DQ59" s="153"/>
      <c r="DR59" s="153"/>
      <c r="DS59" s="153"/>
      <c r="DT59" s="153"/>
      <c r="DU59" s="153"/>
      <c r="DV59" s="153"/>
      <c r="DW59" s="153"/>
      <c r="DX59" s="153"/>
      <c r="DY59" s="153"/>
      <c r="DZ59" s="153"/>
      <c r="EA59" s="153"/>
      <c r="EB59" s="153"/>
      <c r="EC59" s="153"/>
      <c r="ED59" s="153"/>
      <c r="EE59" s="153"/>
      <c r="EF59" s="153"/>
      <c r="EG59" s="153"/>
      <c r="EH59" s="153"/>
      <c r="EI59" s="153"/>
      <c r="EJ59" s="153"/>
      <c r="EK59" s="153"/>
      <c r="EL59" s="153"/>
      <c r="EM59" s="153"/>
      <c r="EN59" s="153"/>
      <c r="EO59" s="153"/>
      <c r="EP59" s="153"/>
      <c r="EQ59" s="153"/>
      <c r="ER59" s="153"/>
      <c r="ES59" s="153"/>
      <c r="ET59" s="153"/>
      <c r="EU59" s="153"/>
      <c r="EV59" s="153"/>
      <c r="EW59" s="153"/>
      <c r="EX59" s="153"/>
      <c r="EY59" s="153"/>
      <c r="EZ59" s="153"/>
      <c r="FA59" s="153"/>
      <c r="FB59" s="153"/>
      <c r="FC59" s="153"/>
      <c r="FD59" s="153"/>
      <c r="FE59" s="153"/>
      <c r="FF59" s="153"/>
      <c r="FG59" s="153"/>
      <c r="FH59" s="153"/>
      <c r="FI59" s="153"/>
      <c r="FJ59" s="153"/>
      <c r="FK59" s="153"/>
      <c r="FL59" s="153"/>
      <c r="FM59" s="153"/>
      <c r="FN59" s="153"/>
      <c r="FO59" s="153"/>
      <c r="FP59" s="153"/>
      <c r="FQ59" s="153"/>
      <c r="FR59" s="153"/>
      <c r="FS59" s="153"/>
      <c r="FT59" s="153"/>
      <c r="FU59" s="153"/>
      <c r="FV59" s="153"/>
      <c r="FW59" s="153"/>
      <c r="FX59" s="153"/>
      <c r="FY59" s="153"/>
      <c r="FZ59" s="153"/>
      <c r="GA59" s="153"/>
      <c r="GB59" s="153"/>
      <c r="GC59" s="153"/>
      <c r="GD59" s="153"/>
      <c r="GE59" s="153"/>
      <c r="GF59" s="153"/>
      <c r="GG59" s="153"/>
      <c r="GH59" s="153"/>
      <c r="GI59" s="153"/>
      <c r="GJ59" s="153"/>
      <c r="GK59" s="153"/>
      <c r="GL59" s="153"/>
      <c r="GM59" s="153"/>
      <c r="GN59" s="153"/>
      <c r="GO59" s="153"/>
      <c r="GP59" s="153"/>
      <c r="GQ59" s="153"/>
      <c r="GR59" s="153"/>
      <c r="GS59" s="153"/>
      <c r="GT59" s="153"/>
      <c r="GU59" s="153"/>
      <c r="GV59" s="153"/>
      <c r="GW59" s="153"/>
      <c r="GX59" s="153"/>
      <c r="GY59" s="153"/>
      <c r="GZ59" s="153"/>
      <c r="HA59" s="153"/>
      <c r="HB59" s="153"/>
      <c r="HC59" s="153"/>
      <c r="HD59" s="153"/>
      <c r="HE59" s="153"/>
      <c r="HF59" s="153"/>
      <c r="HG59" s="153"/>
      <c r="HH59" s="153"/>
      <c r="HI59" s="153"/>
      <c r="HJ59" s="153"/>
      <c r="HK59" s="153"/>
      <c r="HL59" s="153"/>
      <c r="HM59" s="153"/>
      <c r="HN59" s="153"/>
      <c r="HO59" s="153"/>
      <c r="HP59" s="153"/>
      <c r="HQ59" s="153"/>
      <c r="HR59" s="153"/>
      <c r="HS59" s="153"/>
      <c r="HT59" s="153"/>
      <c r="HU59" s="153"/>
      <c r="HV59" s="153"/>
      <c r="HW59" s="153"/>
      <c r="HX59" s="153"/>
      <c r="HY59" s="153"/>
      <c r="HZ59" s="153"/>
      <c r="IA59" s="153"/>
      <c r="IB59" s="153"/>
      <c r="IC59" s="153"/>
      <c r="ID59" s="153"/>
      <c r="IE59" s="153"/>
      <c r="IF59" s="153"/>
      <c r="IG59" s="153"/>
      <c r="IH59" s="153"/>
      <c r="II59" s="153"/>
      <c r="IJ59" s="153"/>
      <c r="IK59" s="153"/>
      <c r="IL59" s="153"/>
      <c r="IM59" s="153"/>
      <c r="IN59" s="153"/>
      <c r="IO59" s="153"/>
      <c r="IP59" s="153"/>
      <c r="IQ59" s="153"/>
      <c r="IR59" s="153"/>
      <c r="IS59" s="153"/>
      <c r="IT59" s="153"/>
      <c r="IU59" s="153"/>
      <c r="IV59" s="153"/>
      <c r="IW59" s="153"/>
    </row>
    <row r="60" customFormat="false" ht="13.5" hidden="false" customHeight="false" outlineLevel="0" collapsed="false">
      <c r="A60" s="153"/>
      <c r="B60" s="165"/>
      <c r="C60" s="166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5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3"/>
      <c r="BN60" s="153"/>
      <c r="BO60" s="153"/>
      <c r="BP60" s="153"/>
      <c r="BQ60" s="153"/>
      <c r="BR60" s="153"/>
      <c r="BS60" s="153"/>
      <c r="BT60" s="153"/>
      <c r="BU60" s="153"/>
      <c r="BV60" s="153"/>
      <c r="BW60" s="153"/>
      <c r="BX60" s="153"/>
      <c r="BY60" s="153"/>
      <c r="BZ60" s="153"/>
      <c r="CA60" s="153"/>
      <c r="CB60" s="153"/>
      <c r="CC60" s="153"/>
      <c r="CD60" s="153"/>
      <c r="CE60" s="153"/>
      <c r="CF60" s="153"/>
      <c r="CG60" s="153"/>
      <c r="CH60" s="153"/>
      <c r="CI60" s="153"/>
      <c r="CJ60" s="153"/>
      <c r="CK60" s="153"/>
      <c r="CL60" s="153"/>
      <c r="CM60" s="153"/>
      <c r="CN60" s="153"/>
      <c r="CO60" s="153"/>
      <c r="CP60" s="153"/>
      <c r="CQ60" s="153"/>
      <c r="CR60" s="153"/>
      <c r="CS60" s="153"/>
      <c r="CT60" s="153"/>
      <c r="CU60" s="153"/>
      <c r="CV60" s="153"/>
      <c r="CW60" s="153"/>
      <c r="CX60" s="153"/>
      <c r="CY60" s="153"/>
      <c r="CZ60" s="153"/>
      <c r="DA60" s="153"/>
      <c r="DB60" s="153"/>
      <c r="DC60" s="153"/>
      <c r="DD60" s="153"/>
      <c r="DE60" s="153"/>
      <c r="DF60" s="153"/>
      <c r="DG60" s="153"/>
      <c r="DH60" s="153"/>
      <c r="DI60" s="153"/>
      <c r="DJ60" s="153"/>
      <c r="DK60" s="153"/>
      <c r="DL60" s="153"/>
      <c r="DM60" s="153"/>
      <c r="DN60" s="153"/>
      <c r="DO60" s="153"/>
      <c r="DP60" s="153"/>
      <c r="DQ60" s="153"/>
      <c r="DR60" s="153"/>
      <c r="DS60" s="153"/>
      <c r="DT60" s="153"/>
      <c r="DU60" s="153"/>
      <c r="DV60" s="153"/>
      <c r="DW60" s="153"/>
      <c r="DX60" s="153"/>
      <c r="DY60" s="153"/>
      <c r="DZ60" s="153"/>
      <c r="EA60" s="153"/>
      <c r="EB60" s="153"/>
      <c r="EC60" s="153"/>
      <c r="ED60" s="153"/>
      <c r="EE60" s="153"/>
      <c r="EF60" s="153"/>
      <c r="EG60" s="153"/>
      <c r="EH60" s="153"/>
      <c r="EI60" s="153"/>
      <c r="EJ60" s="153"/>
      <c r="EK60" s="153"/>
      <c r="EL60" s="153"/>
      <c r="EM60" s="153"/>
      <c r="EN60" s="153"/>
      <c r="EO60" s="153"/>
      <c r="EP60" s="153"/>
      <c r="EQ60" s="153"/>
      <c r="ER60" s="153"/>
      <c r="ES60" s="153"/>
      <c r="ET60" s="153"/>
      <c r="EU60" s="153"/>
      <c r="EV60" s="153"/>
      <c r="EW60" s="153"/>
      <c r="EX60" s="153"/>
      <c r="EY60" s="153"/>
      <c r="EZ60" s="153"/>
      <c r="FA60" s="153"/>
      <c r="FB60" s="153"/>
      <c r="FC60" s="153"/>
      <c r="FD60" s="153"/>
      <c r="FE60" s="153"/>
      <c r="FF60" s="153"/>
      <c r="FG60" s="153"/>
      <c r="FH60" s="153"/>
      <c r="FI60" s="153"/>
      <c r="FJ60" s="153"/>
      <c r="FK60" s="153"/>
      <c r="FL60" s="153"/>
      <c r="FM60" s="153"/>
      <c r="FN60" s="153"/>
      <c r="FO60" s="153"/>
      <c r="FP60" s="153"/>
      <c r="FQ60" s="153"/>
      <c r="FR60" s="153"/>
      <c r="FS60" s="153"/>
      <c r="FT60" s="153"/>
      <c r="FU60" s="153"/>
      <c r="FV60" s="153"/>
      <c r="FW60" s="153"/>
      <c r="FX60" s="153"/>
      <c r="FY60" s="153"/>
      <c r="FZ60" s="153"/>
      <c r="GA60" s="153"/>
      <c r="GB60" s="153"/>
      <c r="GC60" s="153"/>
      <c r="GD60" s="153"/>
      <c r="GE60" s="153"/>
      <c r="GF60" s="153"/>
      <c r="GG60" s="153"/>
      <c r="GH60" s="153"/>
      <c r="GI60" s="153"/>
      <c r="GJ60" s="153"/>
      <c r="GK60" s="153"/>
      <c r="GL60" s="153"/>
      <c r="GM60" s="153"/>
      <c r="GN60" s="153"/>
      <c r="GO60" s="153"/>
      <c r="GP60" s="153"/>
      <c r="GQ60" s="153"/>
      <c r="GR60" s="153"/>
      <c r="GS60" s="153"/>
      <c r="GT60" s="153"/>
      <c r="GU60" s="153"/>
      <c r="GV60" s="153"/>
      <c r="GW60" s="153"/>
      <c r="GX60" s="153"/>
      <c r="GY60" s="153"/>
      <c r="GZ60" s="153"/>
      <c r="HA60" s="153"/>
      <c r="HB60" s="153"/>
      <c r="HC60" s="153"/>
      <c r="HD60" s="153"/>
      <c r="HE60" s="153"/>
      <c r="HF60" s="153"/>
      <c r="HG60" s="153"/>
      <c r="HH60" s="153"/>
      <c r="HI60" s="153"/>
      <c r="HJ60" s="153"/>
      <c r="HK60" s="153"/>
      <c r="HL60" s="153"/>
      <c r="HM60" s="153"/>
      <c r="HN60" s="153"/>
      <c r="HO60" s="153"/>
      <c r="HP60" s="153"/>
      <c r="HQ60" s="153"/>
      <c r="HR60" s="153"/>
      <c r="HS60" s="153"/>
      <c r="HT60" s="153"/>
      <c r="HU60" s="153"/>
      <c r="HV60" s="153"/>
      <c r="HW60" s="153"/>
      <c r="HX60" s="153"/>
      <c r="HY60" s="153"/>
      <c r="HZ60" s="153"/>
      <c r="IA60" s="153"/>
      <c r="IB60" s="153"/>
      <c r="IC60" s="153"/>
      <c r="ID60" s="153"/>
      <c r="IE60" s="153"/>
      <c r="IF60" s="153"/>
      <c r="IG60" s="153"/>
      <c r="IH60" s="153"/>
      <c r="II60" s="153"/>
      <c r="IJ60" s="153"/>
      <c r="IK60" s="153"/>
      <c r="IL60" s="153"/>
      <c r="IM60" s="153"/>
      <c r="IN60" s="153"/>
      <c r="IO60" s="153"/>
      <c r="IP60" s="153"/>
      <c r="IQ60" s="153"/>
      <c r="IR60" s="153"/>
      <c r="IS60" s="153"/>
      <c r="IT60" s="153"/>
      <c r="IU60" s="153"/>
      <c r="IV60" s="153"/>
      <c r="IW60" s="153"/>
    </row>
    <row r="61" customFormat="false" ht="12.75" hidden="false" customHeight="false" outlineLevel="0" collapsed="false">
      <c r="A61" s="153"/>
      <c r="B61" s="151" t="s">
        <v>101</v>
      </c>
      <c r="C61" s="112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4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3"/>
      <c r="BN61" s="153"/>
      <c r="BO61" s="153"/>
      <c r="BP61" s="153"/>
      <c r="BQ61" s="153"/>
      <c r="BR61" s="153"/>
      <c r="BS61" s="153"/>
      <c r="BT61" s="153"/>
      <c r="BU61" s="153"/>
      <c r="BV61" s="153"/>
      <c r="BW61" s="153"/>
      <c r="BX61" s="153"/>
      <c r="BY61" s="153"/>
      <c r="BZ61" s="153"/>
      <c r="CA61" s="153"/>
      <c r="CB61" s="153"/>
      <c r="CC61" s="153"/>
      <c r="CD61" s="153"/>
      <c r="CE61" s="153"/>
      <c r="CF61" s="153"/>
      <c r="CG61" s="153"/>
      <c r="CH61" s="153"/>
      <c r="CI61" s="153"/>
      <c r="CJ61" s="153"/>
      <c r="CK61" s="153"/>
      <c r="CL61" s="153"/>
      <c r="CM61" s="153"/>
      <c r="CN61" s="153"/>
      <c r="CO61" s="153"/>
      <c r="CP61" s="153"/>
      <c r="CQ61" s="153"/>
      <c r="CR61" s="153"/>
      <c r="CS61" s="153"/>
      <c r="CT61" s="153"/>
      <c r="CU61" s="153"/>
      <c r="CV61" s="153"/>
      <c r="CW61" s="153"/>
      <c r="CX61" s="153"/>
      <c r="CY61" s="153"/>
      <c r="CZ61" s="153"/>
      <c r="DA61" s="153"/>
      <c r="DB61" s="153"/>
      <c r="DC61" s="153"/>
      <c r="DD61" s="153"/>
      <c r="DE61" s="153"/>
      <c r="DF61" s="153"/>
      <c r="DG61" s="153"/>
      <c r="DH61" s="153"/>
      <c r="DI61" s="153"/>
      <c r="DJ61" s="153"/>
      <c r="DK61" s="153"/>
      <c r="DL61" s="153"/>
      <c r="DM61" s="153"/>
      <c r="DN61" s="153"/>
      <c r="DO61" s="153"/>
      <c r="DP61" s="153"/>
      <c r="DQ61" s="153"/>
      <c r="DR61" s="153"/>
      <c r="DS61" s="153"/>
      <c r="DT61" s="153"/>
      <c r="DU61" s="153"/>
      <c r="DV61" s="153"/>
      <c r="DW61" s="153"/>
      <c r="DX61" s="153"/>
      <c r="DY61" s="153"/>
      <c r="DZ61" s="153"/>
      <c r="EA61" s="153"/>
      <c r="EB61" s="153"/>
      <c r="EC61" s="153"/>
      <c r="ED61" s="153"/>
      <c r="EE61" s="153"/>
      <c r="EF61" s="153"/>
      <c r="EG61" s="153"/>
      <c r="EH61" s="153"/>
      <c r="EI61" s="153"/>
      <c r="EJ61" s="153"/>
      <c r="EK61" s="153"/>
      <c r="EL61" s="153"/>
      <c r="EM61" s="153"/>
      <c r="EN61" s="153"/>
      <c r="EO61" s="153"/>
      <c r="EP61" s="153"/>
      <c r="EQ61" s="153"/>
      <c r="ER61" s="153"/>
      <c r="ES61" s="153"/>
      <c r="ET61" s="153"/>
      <c r="EU61" s="153"/>
      <c r="EV61" s="153"/>
      <c r="EW61" s="153"/>
      <c r="EX61" s="153"/>
      <c r="EY61" s="153"/>
      <c r="EZ61" s="153"/>
      <c r="FA61" s="153"/>
      <c r="FB61" s="153"/>
      <c r="FC61" s="153"/>
      <c r="FD61" s="153"/>
      <c r="FE61" s="153"/>
      <c r="FF61" s="153"/>
      <c r="FG61" s="153"/>
      <c r="FH61" s="153"/>
      <c r="FI61" s="153"/>
      <c r="FJ61" s="153"/>
      <c r="FK61" s="153"/>
      <c r="FL61" s="153"/>
      <c r="FM61" s="153"/>
      <c r="FN61" s="153"/>
      <c r="FO61" s="153"/>
      <c r="FP61" s="153"/>
      <c r="FQ61" s="153"/>
      <c r="FR61" s="153"/>
      <c r="FS61" s="153"/>
      <c r="FT61" s="153"/>
      <c r="FU61" s="153"/>
      <c r="FV61" s="153"/>
      <c r="FW61" s="153"/>
      <c r="FX61" s="153"/>
      <c r="FY61" s="153"/>
      <c r="FZ61" s="153"/>
      <c r="GA61" s="153"/>
      <c r="GB61" s="153"/>
      <c r="GC61" s="153"/>
      <c r="GD61" s="153"/>
      <c r="GE61" s="153"/>
      <c r="GF61" s="153"/>
      <c r="GG61" s="153"/>
      <c r="GH61" s="153"/>
      <c r="GI61" s="153"/>
      <c r="GJ61" s="153"/>
      <c r="GK61" s="153"/>
      <c r="GL61" s="153"/>
      <c r="GM61" s="153"/>
      <c r="GN61" s="153"/>
      <c r="GO61" s="153"/>
      <c r="GP61" s="153"/>
      <c r="GQ61" s="153"/>
      <c r="GR61" s="153"/>
      <c r="GS61" s="153"/>
      <c r="GT61" s="153"/>
      <c r="GU61" s="153"/>
      <c r="GV61" s="153"/>
      <c r="GW61" s="153"/>
      <c r="GX61" s="153"/>
      <c r="GY61" s="153"/>
      <c r="GZ61" s="153"/>
      <c r="HA61" s="153"/>
      <c r="HB61" s="153"/>
      <c r="HC61" s="153"/>
      <c r="HD61" s="153"/>
      <c r="HE61" s="153"/>
      <c r="HF61" s="153"/>
      <c r="HG61" s="153"/>
      <c r="HH61" s="153"/>
      <c r="HI61" s="153"/>
      <c r="HJ61" s="153"/>
      <c r="HK61" s="153"/>
      <c r="HL61" s="153"/>
      <c r="HM61" s="153"/>
      <c r="HN61" s="153"/>
      <c r="HO61" s="153"/>
      <c r="HP61" s="153"/>
      <c r="HQ61" s="153"/>
      <c r="HR61" s="153"/>
      <c r="HS61" s="153"/>
      <c r="HT61" s="153"/>
      <c r="HU61" s="153"/>
      <c r="HV61" s="153"/>
      <c r="HW61" s="153"/>
      <c r="HX61" s="153"/>
      <c r="HY61" s="153"/>
      <c r="HZ61" s="153"/>
      <c r="IA61" s="153"/>
      <c r="IB61" s="153"/>
      <c r="IC61" s="153"/>
      <c r="ID61" s="153"/>
      <c r="IE61" s="153"/>
      <c r="IF61" s="153"/>
      <c r="IG61" s="153"/>
      <c r="IH61" s="153"/>
      <c r="II61" s="153"/>
      <c r="IJ61" s="153"/>
      <c r="IK61" s="153"/>
      <c r="IL61" s="153"/>
      <c r="IM61" s="153"/>
      <c r="IN61" s="153"/>
      <c r="IO61" s="153"/>
      <c r="IP61" s="153"/>
      <c r="IQ61" s="153"/>
      <c r="IR61" s="153"/>
      <c r="IS61" s="153"/>
      <c r="IT61" s="153"/>
      <c r="IU61" s="153"/>
      <c r="IV61" s="153"/>
      <c r="IW61" s="153"/>
    </row>
    <row r="62" customFormat="false" ht="12.75" hidden="false" customHeight="false" outlineLevel="0" collapsed="false">
      <c r="A62" s="153"/>
      <c r="B62" s="152" t="s">
        <v>74</v>
      </c>
      <c r="C62" s="116"/>
      <c r="D62" s="118" t="s">
        <v>14</v>
      </c>
      <c r="E62" s="118" t="s">
        <v>15</v>
      </c>
      <c r="F62" s="118" t="s">
        <v>16</v>
      </c>
      <c r="G62" s="118" t="s">
        <v>17</v>
      </c>
      <c r="H62" s="118" t="s">
        <v>18</v>
      </c>
      <c r="I62" s="118" t="s">
        <v>19</v>
      </c>
      <c r="J62" s="118" t="s">
        <v>20</v>
      </c>
      <c r="K62" s="118" t="s">
        <v>21</v>
      </c>
      <c r="L62" s="118" t="s">
        <v>68</v>
      </c>
      <c r="M62" s="118" t="s">
        <v>23</v>
      </c>
      <c r="N62" s="118" t="s">
        <v>24</v>
      </c>
      <c r="O62" s="119" t="s">
        <v>25</v>
      </c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3"/>
      <c r="BN62" s="153"/>
      <c r="BO62" s="153"/>
      <c r="BP62" s="153"/>
      <c r="BQ62" s="153"/>
      <c r="BR62" s="153"/>
      <c r="BS62" s="153"/>
      <c r="BT62" s="153"/>
      <c r="BU62" s="153"/>
      <c r="BV62" s="153"/>
      <c r="BW62" s="153"/>
      <c r="BX62" s="153"/>
      <c r="BY62" s="153"/>
      <c r="BZ62" s="153"/>
      <c r="CA62" s="153"/>
      <c r="CB62" s="153"/>
      <c r="CC62" s="153"/>
      <c r="CD62" s="153"/>
      <c r="CE62" s="153"/>
      <c r="CF62" s="153"/>
      <c r="CG62" s="153"/>
      <c r="CH62" s="153"/>
      <c r="CI62" s="153"/>
      <c r="CJ62" s="153"/>
      <c r="CK62" s="153"/>
      <c r="CL62" s="153"/>
      <c r="CM62" s="153"/>
      <c r="CN62" s="153"/>
      <c r="CO62" s="153"/>
      <c r="CP62" s="153"/>
      <c r="CQ62" s="153"/>
      <c r="CR62" s="153"/>
      <c r="CS62" s="153"/>
      <c r="CT62" s="153"/>
      <c r="CU62" s="153"/>
      <c r="CV62" s="153"/>
      <c r="CW62" s="153"/>
      <c r="CX62" s="153"/>
      <c r="CY62" s="153"/>
      <c r="CZ62" s="153"/>
      <c r="DA62" s="153"/>
      <c r="DB62" s="153"/>
      <c r="DC62" s="153"/>
      <c r="DD62" s="153"/>
      <c r="DE62" s="153"/>
      <c r="DF62" s="153"/>
      <c r="DG62" s="153"/>
      <c r="DH62" s="153"/>
      <c r="DI62" s="153"/>
      <c r="DJ62" s="153"/>
      <c r="DK62" s="153"/>
      <c r="DL62" s="153"/>
      <c r="DM62" s="153"/>
      <c r="DN62" s="153"/>
      <c r="DO62" s="153"/>
      <c r="DP62" s="153"/>
      <c r="DQ62" s="153"/>
      <c r="DR62" s="153"/>
      <c r="DS62" s="153"/>
      <c r="DT62" s="153"/>
      <c r="DU62" s="153"/>
      <c r="DV62" s="153"/>
      <c r="DW62" s="153"/>
      <c r="DX62" s="153"/>
      <c r="DY62" s="153"/>
      <c r="DZ62" s="153"/>
      <c r="EA62" s="153"/>
      <c r="EB62" s="153"/>
      <c r="EC62" s="153"/>
      <c r="ED62" s="153"/>
      <c r="EE62" s="153"/>
      <c r="EF62" s="153"/>
      <c r="EG62" s="153"/>
      <c r="EH62" s="153"/>
      <c r="EI62" s="153"/>
      <c r="EJ62" s="153"/>
      <c r="EK62" s="153"/>
      <c r="EL62" s="153"/>
      <c r="EM62" s="153"/>
      <c r="EN62" s="153"/>
      <c r="EO62" s="153"/>
      <c r="EP62" s="153"/>
      <c r="EQ62" s="153"/>
      <c r="ER62" s="153"/>
      <c r="ES62" s="153"/>
      <c r="ET62" s="153"/>
      <c r="EU62" s="153"/>
      <c r="EV62" s="153"/>
      <c r="EW62" s="153"/>
      <c r="EX62" s="153"/>
      <c r="EY62" s="153"/>
      <c r="EZ62" s="153"/>
      <c r="FA62" s="153"/>
      <c r="FB62" s="153"/>
      <c r="FC62" s="153"/>
      <c r="FD62" s="153"/>
      <c r="FE62" s="153"/>
      <c r="FF62" s="153"/>
      <c r="FG62" s="153"/>
      <c r="FH62" s="153"/>
      <c r="FI62" s="153"/>
      <c r="FJ62" s="153"/>
      <c r="FK62" s="153"/>
      <c r="FL62" s="153"/>
      <c r="FM62" s="153"/>
      <c r="FN62" s="153"/>
      <c r="FO62" s="153"/>
      <c r="FP62" s="153"/>
      <c r="FQ62" s="153"/>
      <c r="FR62" s="153"/>
      <c r="FS62" s="153"/>
      <c r="FT62" s="153"/>
      <c r="FU62" s="153"/>
      <c r="FV62" s="153"/>
      <c r="FW62" s="153"/>
      <c r="FX62" s="153"/>
      <c r="FY62" s="153"/>
      <c r="FZ62" s="153"/>
      <c r="GA62" s="153"/>
      <c r="GB62" s="153"/>
      <c r="GC62" s="153"/>
      <c r="GD62" s="153"/>
      <c r="GE62" s="153"/>
      <c r="GF62" s="153"/>
      <c r="GG62" s="153"/>
      <c r="GH62" s="153"/>
      <c r="GI62" s="153"/>
      <c r="GJ62" s="153"/>
      <c r="GK62" s="153"/>
      <c r="GL62" s="153"/>
      <c r="GM62" s="153"/>
      <c r="GN62" s="153"/>
      <c r="GO62" s="153"/>
      <c r="GP62" s="153"/>
      <c r="GQ62" s="153"/>
      <c r="GR62" s="153"/>
      <c r="GS62" s="153"/>
      <c r="GT62" s="153"/>
      <c r="GU62" s="153"/>
      <c r="GV62" s="153"/>
      <c r="GW62" s="153"/>
      <c r="GX62" s="153"/>
      <c r="GY62" s="153"/>
      <c r="GZ62" s="153"/>
      <c r="HA62" s="153"/>
      <c r="HB62" s="153"/>
      <c r="HC62" s="153"/>
      <c r="HD62" s="153"/>
      <c r="HE62" s="153"/>
      <c r="HF62" s="153"/>
      <c r="HG62" s="153"/>
      <c r="HH62" s="153"/>
      <c r="HI62" s="153"/>
      <c r="HJ62" s="153"/>
      <c r="HK62" s="153"/>
      <c r="HL62" s="153"/>
      <c r="HM62" s="153"/>
      <c r="HN62" s="153"/>
      <c r="HO62" s="153"/>
      <c r="HP62" s="153"/>
      <c r="HQ62" s="153"/>
      <c r="HR62" s="153"/>
      <c r="HS62" s="153"/>
      <c r="HT62" s="153"/>
      <c r="HU62" s="153"/>
      <c r="HV62" s="153"/>
      <c r="HW62" s="153"/>
      <c r="HX62" s="153"/>
      <c r="HY62" s="153"/>
      <c r="HZ62" s="153"/>
      <c r="IA62" s="153"/>
      <c r="IB62" s="153"/>
      <c r="IC62" s="153"/>
      <c r="ID62" s="153"/>
      <c r="IE62" s="153"/>
      <c r="IF62" s="153"/>
      <c r="IG62" s="153"/>
      <c r="IH62" s="153"/>
      <c r="II62" s="153"/>
      <c r="IJ62" s="153"/>
      <c r="IK62" s="153"/>
      <c r="IL62" s="153"/>
      <c r="IM62" s="153"/>
      <c r="IN62" s="153"/>
      <c r="IO62" s="153"/>
      <c r="IP62" s="153"/>
      <c r="IQ62" s="153"/>
      <c r="IR62" s="153"/>
      <c r="IS62" s="153"/>
      <c r="IT62" s="153"/>
      <c r="IU62" s="153"/>
      <c r="IV62" s="153"/>
      <c r="IW62" s="153"/>
    </row>
    <row r="63" customFormat="false" ht="12.75" hidden="false" customHeight="false" outlineLevel="0" collapsed="false">
      <c r="A63" s="153"/>
      <c r="B63" s="115" t="s">
        <v>75</v>
      </c>
      <c r="C63" s="116"/>
      <c r="D63" s="120" t="n">
        <v>0.311</v>
      </c>
      <c r="E63" s="120" t="n">
        <v>-0.705</v>
      </c>
      <c r="F63" s="120" t="n">
        <v>0.122</v>
      </c>
      <c r="G63" s="120" t="n">
        <v>-0.724</v>
      </c>
      <c r="H63" s="120" t="n">
        <v>-0.876</v>
      </c>
      <c r="I63" s="120" t="n">
        <v>3.515</v>
      </c>
      <c r="J63" s="120" t="n">
        <v>-1.008</v>
      </c>
      <c r="K63" s="120" t="n">
        <v>0.337</v>
      </c>
      <c r="L63" s="120" t="n">
        <v>-1.292</v>
      </c>
      <c r="M63" s="120" t="n">
        <v>0</v>
      </c>
      <c r="N63" s="120" t="n">
        <v>0</v>
      </c>
      <c r="O63" s="121" t="n">
        <v>0</v>
      </c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3"/>
      <c r="BN63" s="153"/>
      <c r="BO63" s="153"/>
      <c r="BP63" s="153"/>
      <c r="BQ63" s="153"/>
      <c r="BR63" s="153"/>
      <c r="BS63" s="153"/>
      <c r="BT63" s="153"/>
      <c r="BU63" s="153"/>
      <c r="BV63" s="153"/>
      <c r="BW63" s="153"/>
      <c r="BX63" s="153"/>
      <c r="BY63" s="153"/>
      <c r="BZ63" s="153"/>
      <c r="CA63" s="153"/>
      <c r="CB63" s="153"/>
      <c r="CC63" s="153"/>
      <c r="CD63" s="153"/>
      <c r="CE63" s="153"/>
      <c r="CF63" s="153"/>
      <c r="CG63" s="153"/>
      <c r="CH63" s="153"/>
      <c r="CI63" s="153"/>
      <c r="CJ63" s="153"/>
      <c r="CK63" s="153"/>
      <c r="CL63" s="153"/>
      <c r="CM63" s="153"/>
      <c r="CN63" s="153"/>
      <c r="CO63" s="153"/>
      <c r="CP63" s="153"/>
      <c r="CQ63" s="153"/>
      <c r="CR63" s="153"/>
      <c r="CS63" s="153"/>
      <c r="CT63" s="153"/>
      <c r="CU63" s="153"/>
      <c r="CV63" s="153"/>
      <c r="CW63" s="153"/>
      <c r="CX63" s="153"/>
      <c r="CY63" s="153"/>
      <c r="CZ63" s="153"/>
      <c r="DA63" s="153"/>
      <c r="DB63" s="153"/>
      <c r="DC63" s="153"/>
      <c r="DD63" s="153"/>
      <c r="DE63" s="153"/>
      <c r="DF63" s="153"/>
      <c r="DG63" s="153"/>
      <c r="DH63" s="153"/>
      <c r="DI63" s="153"/>
      <c r="DJ63" s="153"/>
      <c r="DK63" s="153"/>
      <c r="DL63" s="153"/>
      <c r="DM63" s="153"/>
      <c r="DN63" s="153"/>
      <c r="DO63" s="153"/>
      <c r="DP63" s="153"/>
      <c r="DQ63" s="153"/>
      <c r="DR63" s="153"/>
      <c r="DS63" s="153"/>
      <c r="DT63" s="153"/>
      <c r="DU63" s="153"/>
      <c r="DV63" s="153"/>
      <c r="DW63" s="153"/>
      <c r="DX63" s="153"/>
      <c r="DY63" s="153"/>
      <c r="DZ63" s="153"/>
      <c r="EA63" s="153"/>
      <c r="EB63" s="153"/>
      <c r="EC63" s="153"/>
      <c r="ED63" s="153"/>
      <c r="EE63" s="153"/>
      <c r="EF63" s="153"/>
      <c r="EG63" s="153"/>
      <c r="EH63" s="153"/>
      <c r="EI63" s="153"/>
      <c r="EJ63" s="153"/>
      <c r="EK63" s="153"/>
      <c r="EL63" s="153"/>
      <c r="EM63" s="153"/>
      <c r="EN63" s="153"/>
      <c r="EO63" s="153"/>
      <c r="EP63" s="153"/>
      <c r="EQ63" s="153"/>
      <c r="ER63" s="153"/>
      <c r="ES63" s="153"/>
      <c r="ET63" s="153"/>
      <c r="EU63" s="153"/>
      <c r="EV63" s="153"/>
      <c r="EW63" s="153"/>
      <c r="EX63" s="153"/>
      <c r="EY63" s="153"/>
      <c r="EZ63" s="153"/>
      <c r="FA63" s="153"/>
      <c r="FB63" s="153"/>
      <c r="FC63" s="153"/>
      <c r="FD63" s="153"/>
      <c r="FE63" s="153"/>
      <c r="FF63" s="153"/>
      <c r="FG63" s="153"/>
      <c r="FH63" s="153"/>
      <c r="FI63" s="153"/>
      <c r="FJ63" s="153"/>
      <c r="FK63" s="153"/>
      <c r="FL63" s="153"/>
      <c r="FM63" s="153"/>
      <c r="FN63" s="153"/>
      <c r="FO63" s="153"/>
      <c r="FP63" s="153"/>
      <c r="FQ63" s="153"/>
      <c r="FR63" s="153"/>
      <c r="FS63" s="153"/>
      <c r="FT63" s="153"/>
      <c r="FU63" s="153"/>
      <c r="FV63" s="153"/>
      <c r="FW63" s="153"/>
      <c r="FX63" s="153"/>
      <c r="FY63" s="153"/>
      <c r="FZ63" s="153"/>
      <c r="GA63" s="153"/>
      <c r="GB63" s="153"/>
      <c r="GC63" s="153"/>
      <c r="GD63" s="153"/>
      <c r="GE63" s="153"/>
      <c r="GF63" s="153"/>
      <c r="GG63" s="153"/>
      <c r="GH63" s="153"/>
      <c r="GI63" s="153"/>
      <c r="GJ63" s="153"/>
      <c r="GK63" s="153"/>
      <c r="GL63" s="153"/>
      <c r="GM63" s="153"/>
      <c r="GN63" s="153"/>
      <c r="GO63" s="153"/>
      <c r="GP63" s="153"/>
      <c r="GQ63" s="153"/>
      <c r="GR63" s="153"/>
      <c r="GS63" s="153"/>
      <c r="GT63" s="153"/>
      <c r="GU63" s="153"/>
      <c r="GV63" s="153"/>
      <c r="GW63" s="153"/>
      <c r="GX63" s="153"/>
      <c r="GY63" s="153"/>
      <c r="GZ63" s="153"/>
      <c r="HA63" s="153"/>
      <c r="HB63" s="153"/>
      <c r="HC63" s="153"/>
      <c r="HD63" s="153"/>
      <c r="HE63" s="153"/>
      <c r="HF63" s="153"/>
      <c r="HG63" s="153"/>
      <c r="HH63" s="153"/>
      <c r="HI63" s="153"/>
      <c r="HJ63" s="153"/>
      <c r="HK63" s="153"/>
      <c r="HL63" s="153"/>
      <c r="HM63" s="153"/>
      <c r="HN63" s="153"/>
      <c r="HO63" s="153"/>
      <c r="HP63" s="153"/>
      <c r="HQ63" s="153"/>
      <c r="HR63" s="153"/>
      <c r="HS63" s="153"/>
      <c r="HT63" s="153"/>
      <c r="HU63" s="153"/>
      <c r="HV63" s="153"/>
      <c r="HW63" s="153"/>
      <c r="HX63" s="153"/>
      <c r="HY63" s="153"/>
      <c r="HZ63" s="153"/>
      <c r="IA63" s="153"/>
      <c r="IB63" s="153"/>
      <c r="IC63" s="153"/>
      <c r="ID63" s="153"/>
      <c r="IE63" s="153"/>
      <c r="IF63" s="153"/>
      <c r="IG63" s="153"/>
      <c r="IH63" s="153"/>
      <c r="II63" s="153"/>
      <c r="IJ63" s="153"/>
      <c r="IK63" s="153"/>
      <c r="IL63" s="153"/>
      <c r="IM63" s="153"/>
      <c r="IN63" s="153"/>
      <c r="IO63" s="153"/>
      <c r="IP63" s="153"/>
      <c r="IQ63" s="153"/>
      <c r="IR63" s="153"/>
      <c r="IS63" s="153"/>
      <c r="IT63" s="153"/>
      <c r="IU63" s="153"/>
      <c r="IV63" s="153"/>
      <c r="IW63" s="153"/>
    </row>
    <row r="64" customFormat="false" ht="12.75" hidden="false" customHeight="false" outlineLevel="0" collapsed="false">
      <c r="B64" s="115" t="s">
        <v>76</v>
      </c>
      <c r="C64" s="116"/>
      <c r="D64" s="122" t="n">
        <f aca="false">SUM($C63:D63)</f>
        <v>0.311</v>
      </c>
      <c r="E64" s="122" t="n">
        <f aca="false">SUM($D63:E63)</f>
        <v>-0.394</v>
      </c>
      <c r="F64" s="122" t="n">
        <f aca="false">SUM($D63:F63)</f>
        <v>-0.272</v>
      </c>
      <c r="G64" s="122" t="n">
        <f aca="false">SUM($D63:G63)</f>
        <v>-0.996</v>
      </c>
      <c r="H64" s="122" t="n">
        <f aca="false">SUM($D63:H63)</f>
        <v>-1.872</v>
      </c>
      <c r="I64" s="122" t="n">
        <f aca="false">SUM($D63:I63)</f>
        <v>1.643</v>
      </c>
      <c r="J64" s="122" t="n">
        <f aca="false">SUM($D63:J63)</f>
        <v>0.635</v>
      </c>
      <c r="K64" s="122" t="n">
        <f aca="false">SUM($D63:K63)</f>
        <v>0.972</v>
      </c>
      <c r="L64" s="122" t="n">
        <f aca="false">SUM($D63:L63)</f>
        <v>-0.32</v>
      </c>
      <c r="M64" s="122" t="n">
        <v>0</v>
      </c>
      <c r="N64" s="122" t="n">
        <v>0</v>
      </c>
      <c r="O64" s="123" t="n">
        <v>0</v>
      </c>
    </row>
    <row r="65" customFormat="false" ht="12.75" hidden="false" customHeight="false" outlineLevel="0" collapsed="false">
      <c r="B65" s="115"/>
      <c r="C65" s="116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3"/>
    </row>
    <row r="66" customFormat="false" ht="12.75" hidden="false" customHeight="false" outlineLevel="0" collapsed="false">
      <c r="B66" s="152" t="s">
        <v>97</v>
      </c>
      <c r="C66" s="116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3"/>
    </row>
    <row r="67" customFormat="false" ht="12.75" hidden="false" customHeight="false" outlineLevel="0" collapsed="false">
      <c r="B67" s="115" t="s">
        <v>75</v>
      </c>
      <c r="C67" s="116"/>
      <c r="D67" s="120" t="n">
        <v>0.311</v>
      </c>
      <c r="E67" s="120" t="n">
        <v>-0.705</v>
      </c>
      <c r="F67" s="120" t="n">
        <v>0.122</v>
      </c>
      <c r="G67" s="120" t="n">
        <v>-0.724</v>
      </c>
      <c r="H67" s="120" t="n">
        <v>-0.876</v>
      </c>
      <c r="I67" s="120" t="n">
        <v>3.515</v>
      </c>
      <c r="J67" s="120" t="n">
        <v>-1.008</v>
      </c>
      <c r="K67" s="120" t="n">
        <v>0.337</v>
      </c>
      <c r="L67" s="120" t="n">
        <v>-1.292</v>
      </c>
      <c r="M67" s="120"/>
      <c r="N67" s="120"/>
      <c r="O67" s="121"/>
    </row>
    <row r="68" customFormat="false" ht="12.75" hidden="false" customHeight="false" outlineLevel="0" collapsed="false">
      <c r="B68" s="115" t="s">
        <v>76</v>
      </c>
      <c r="C68" s="116"/>
      <c r="D68" s="122" t="n">
        <f aca="false">SUM($C67:D67)</f>
        <v>0.311</v>
      </c>
      <c r="E68" s="122" t="n">
        <f aca="false">SUM($D67:E67)</f>
        <v>-0.394</v>
      </c>
      <c r="F68" s="122" t="n">
        <f aca="false">SUM($D67:F67)</f>
        <v>-0.272</v>
      </c>
      <c r="G68" s="122" t="n">
        <f aca="false">SUM($D67:G67)</f>
        <v>-0.996</v>
      </c>
      <c r="H68" s="122" t="n">
        <f aca="false">SUM($D67:H67)</f>
        <v>-1.872</v>
      </c>
      <c r="I68" s="122" t="n">
        <f aca="false">SUM($D67:I67)</f>
        <v>1.643</v>
      </c>
      <c r="J68" s="122" t="n">
        <f aca="false">SUM($D67:J67)</f>
        <v>0.635</v>
      </c>
      <c r="K68" s="122" t="n">
        <f aca="false">SUM($D67:K67)</f>
        <v>0.972</v>
      </c>
      <c r="L68" s="122" t="n">
        <f aca="false">SUM($D67:L67)</f>
        <v>-0.32</v>
      </c>
      <c r="M68" s="122"/>
      <c r="N68" s="122"/>
      <c r="O68" s="123"/>
    </row>
    <row r="69" customFormat="false" ht="13.5" hidden="false" customHeight="false" outlineLevel="0" collapsed="false"/>
    <row r="70" customFormat="false" ht="12.75" hidden="false" customHeight="false" outlineLevel="0" collapsed="false">
      <c r="B70" s="151" t="s">
        <v>33</v>
      </c>
      <c r="C70" s="112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4"/>
    </row>
    <row r="71" customFormat="false" ht="12.75" hidden="false" customHeight="false" outlineLevel="0" collapsed="false">
      <c r="B71" s="152" t="s">
        <v>74</v>
      </c>
      <c r="C71" s="116"/>
      <c r="D71" s="118" t="s">
        <v>14</v>
      </c>
      <c r="E71" s="118" t="s">
        <v>15</v>
      </c>
      <c r="F71" s="118" t="s">
        <v>16</v>
      </c>
      <c r="G71" s="118" t="s">
        <v>17</v>
      </c>
      <c r="H71" s="118" t="s">
        <v>18</v>
      </c>
      <c r="I71" s="118" t="s">
        <v>19</v>
      </c>
      <c r="J71" s="118" t="s">
        <v>20</v>
      </c>
      <c r="K71" s="118" t="s">
        <v>21</v>
      </c>
      <c r="L71" s="118" t="s">
        <v>68</v>
      </c>
      <c r="M71" s="118" t="s">
        <v>23</v>
      </c>
      <c r="N71" s="118" t="s">
        <v>24</v>
      </c>
      <c r="O71" s="119" t="s">
        <v>25</v>
      </c>
    </row>
    <row r="72" customFormat="false" ht="12.75" hidden="false" customHeight="false" outlineLevel="0" collapsed="false">
      <c r="B72" s="115" t="s">
        <v>75</v>
      </c>
      <c r="C72" s="116"/>
      <c r="D72" s="120" t="n">
        <v>3.061</v>
      </c>
      <c r="E72" s="120" t="n">
        <v>-11.233</v>
      </c>
      <c r="F72" s="120" t="n">
        <v>-25.214</v>
      </c>
      <c r="G72" s="120" t="n">
        <v>14.17</v>
      </c>
      <c r="H72" s="120" t="n">
        <v>-84.685</v>
      </c>
      <c r="I72" s="120" t="n">
        <v>22.888</v>
      </c>
      <c r="J72" s="120" t="n">
        <v>-51.071</v>
      </c>
      <c r="K72" s="120" t="n">
        <v>-11.631</v>
      </c>
      <c r="L72" s="120" t="n">
        <v>48.501</v>
      </c>
      <c r="M72" s="120" t="n">
        <v>0</v>
      </c>
      <c r="N72" s="120" t="n">
        <v>0</v>
      </c>
      <c r="O72" s="121" t="n">
        <v>0</v>
      </c>
    </row>
    <row r="73" customFormat="false" ht="12.75" hidden="false" customHeight="false" outlineLevel="0" collapsed="false">
      <c r="B73" s="115" t="s">
        <v>76</v>
      </c>
      <c r="C73" s="116"/>
      <c r="D73" s="122" t="n">
        <f aca="false">SUM($C72:D72)</f>
        <v>3.061</v>
      </c>
      <c r="E73" s="122" t="n">
        <f aca="false">SUM($D72:E72)</f>
        <v>-8.172</v>
      </c>
      <c r="F73" s="122" t="n">
        <f aca="false">SUM($D72:F72)</f>
        <v>-33.386</v>
      </c>
      <c r="G73" s="122" t="n">
        <f aca="false">SUM($D72:G72)</f>
        <v>-19.216</v>
      </c>
      <c r="H73" s="122" t="n">
        <f aca="false">SUM($D72:H72)</f>
        <v>-103.901</v>
      </c>
      <c r="I73" s="122" t="n">
        <f aca="false">SUM($D72:I72)</f>
        <v>-81.013</v>
      </c>
      <c r="J73" s="122" t="n">
        <f aca="false">SUM($D72:J72)</f>
        <v>-132.084</v>
      </c>
      <c r="K73" s="122" t="n">
        <f aca="false">SUM($D72:K72)</f>
        <v>-143.715</v>
      </c>
      <c r="L73" s="122" t="n">
        <f aca="false">SUM($D72:L72)</f>
        <v>-95.214</v>
      </c>
      <c r="M73" s="122" t="n">
        <v>0</v>
      </c>
      <c r="N73" s="122" t="n">
        <v>0</v>
      </c>
      <c r="O73" s="123" t="n">
        <v>0</v>
      </c>
    </row>
    <row r="74" customFormat="false" ht="12.75" hidden="false" customHeight="false" outlineLevel="0" collapsed="false">
      <c r="B74" s="115"/>
      <c r="C74" s="116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3"/>
    </row>
    <row r="75" customFormat="false" ht="12.75" hidden="false" customHeight="false" outlineLevel="0" collapsed="false">
      <c r="B75" s="152" t="s">
        <v>97</v>
      </c>
      <c r="C75" s="116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3"/>
    </row>
    <row r="76" customFormat="false" ht="12.75" hidden="false" customHeight="false" outlineLevel="0" collapsed="false">
      <c r="B76" s="115" t="s">
        <v>75</v>
      </c>
      <c r="C76" s="116"/>
      <c r="D76" s="120" t="n">
        <v>2.53</v>
      </c>
      <c r="E76" s="120" t="n">
        <v>-20.101</v>
      </c>
      <c r="F76" s="120" t="n">
        <v>-2.104</v>
      </c>
      <c r="G76" s="120" t="n">
        <v>12.176</v>
      </c>
      <c r="H76" s="120" t="n">
        <v>-82.956</v>
      </c>
      <c r="I76" s="120" t="n">
        <v>39.329</v>
      </c>
      <c r="J76" s="120" t="n">
        <v>-47.299</v>
      </c>
      <c r="K76" s="120" t="n">
        <v>-3.985</v>
      </c>
      <c r="L76" s="120" t="n">
        <v>0.449</v>
      </c>
      <c r="M76" s="120"/>
      <c r="N76" s="120"/>
      <c r="O76" s="121"/>
    </row>
    <row r="77" customFormat="false" ht="12.75" hidden="false" customHeight="false" outlineLevel="0" collapsed="false">
      <c r="B77" s="115" t="s">
        <v>76</v>
      </c>
      <c r="C77" s="116"/>
      <c r="D77" s="122" t="n">
        <f aca="false">SUM($C76:D76)</f>
        <v>2.53</v>
      </c>
      <c r="E77" s="122" t="n">
        <f aca="false">SUM($D76:E76)</f>
        <v>-17.571</v>
      </c>
      <c r="F77" s="122" t="n">
        <f aca="false">SUM($D76:F76)</f>
        <v>-19.675</v>
      </c>
      <c r="G77" s="122" t="n">
        <f aca="false">SUM($D76:G76)</f>
        <v>-7.499</v>
      </c>
      <c r="H77" s="122" t="n">
        <f aca="false">SUM($D76:H76)</f>
        <v>-90.455</v>
      </c>
      <c r="I77" s="122" t="n">
        <f aca="false">SUM($D76:I76)</f>
        <v>-51.126</v>
      </c>
      <c r="J77" s="122" t="n">
        <f aca="false">SUM($D76:J76)</f>
        <v>-98.425</v>
      </c>
      <c r="K77" s="122" t="n">
        <f aca="false">SUM($D76:K76)</f>
        <v>-102.41</v>
      </c>
      <c r="L77" s="122" t="n">
        <f aca="false">SUM($D76:L76)</f>
        <v>-101.961</v>
      </c>
      <c r="M77" s="122"/>
      <c r="N77" s="122"/>
      <c r="O77" s="123"/>
    </row>
    <row r="78" customFormat="false" ht="13.5" hidden="false" customHeight="false" outlineLevel="0" collapsed="false"/>
    <row r="79" customFormat="false" ht="12.75" hidden="false" customHeight="false" outlineLevel="0" collapsed="false">
      <c r="B79" s="151" t="s">
        <v>32</v>
      </c>
      <c r="C79" s="112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4"/>
    </row>
    <row r="80" customFormat="false" ht="12.75" hidden="false" customHeight="false" outlineLevel="0" collapsed="false">
      <c r="B80" s="152" t="s">
        <v>74</v>
      </c>
      <c r="C80" s="116"/>
      <c r="D80" s="118" t="s">
        <v>14</v>
      </c>
      <c r="E80" s="118" t="s">
        <v>15</v>
      </c>
      <c r="F80" s="118" t="s">
        <v>16</v>
      </c>
      <c r="G80" s="118" t="s">
        <v>17</v>
      </c>
      <c r="H80" s="118" t="s">
        <v>18</v>
      </c>
      <c r="I80" s="118" t="s">
        <v>19</v>
      </c>
      <c r="J80" s="118" t="s">
        <v>20</v>
      </c>
      <c r="K80" s="118" t="s">
        <v>21</v>
      </c>
      <c r="L80" s="118" t="s">
        <v>68</v>
      </c>
      <c r="M80" s="118" t="s">
        <v>23</v>
      </c>
      <c r="N80" s="118" t="s">
        <v>24</v>
      </c>
      <c r="O80" s="119" t="s">
        <v>25</v>
      </c>
    </row>
    <row r="81" customFormat="false" ht="12.75" hidden="false" customHeight="false" outlineLevel="0" collapsed="false">
      <c r="B81" s="115" t="s">
        <v>75</v>
      </c>
      <c r="C81" s="116"/>
      <c r="D81" s="120" t="n">
        <v>-0.103</v>
      </c>
      <c r="E81" s="120" t="n">
        <v>-0.186</v>
      </c>
      <c r="F81" s="120" t="n">
        <v>-1.771</v>
      </c>
      <c r="G81" s="120" t="n">
        <v>-1.53</v>
      </c>
      <c r="H81" s="120" t="n">
        <v>-1.783</v>
      </c>
      <c r="I81" s="120" t="n">
        <v>-1.793</v>
      </c>
      <c r="J81" s="120" t="n">
        <v>-1.751</v>
      </c>
      <c r="K81" s="120" t="n">
        <v>-1.972</v>
      </c>
      <c r="L81" s="120" t="n">
        <v>-2.053</v>
      </c>
      <c r="M81" s="120"/>
      <c r="N81" s="120" t="n">
        <v>0</v>
      </c>
      <c r="O81" s="121" t="n">
        <v>0</v>
      </c>
    </row>
    <row r="82" customFormat="false" ht="12.75" hidden="false" customHeight="false" outlineLevel="0" collapsed="false">
      <c r="B82" s="115" t="s">
        <v>76</v>
      </c>
      <c r="C82" s="116"/>
      <c r="D82" s="122" t="n">
        <f aca="false">SUM($C81:D81)</f>
        <v>-0.103</v>
      </c>
      <c r="E82" s="122" t="n">
        <f aca="false">SUM($D81:E81)</f>
        <v>-0.289</v>
      </c>
      <c r="F82" s="122" t="n">
        <f aca="false">SUM($D81:F81)</f>
        <v>-2.06</v>
      </c>
      <c r="G82" s="122" t="n">
        <f aca="false">SUM($D81:G81)</f>
        <v>-3.59</v>
      </c>
      <c r="H82" s="122" t="n">
        <f aca="false">SUM($D81:H81)</f>
        <v>-5.373</v>
      </c>
      <c r="I82" s="122" t="n">
        <f aca="false">SUM($D81:I81)</f>
        <v>-7.166</v>
      </c>
      <c r="J82" s="122" t="n">
        <f aca="false">SUM($D81:J81)</f>
        <v>-8.917</v>
      </c>
      <c r="K82" s="122" t="n">
        <f aca="false">SUM($D81:K81)</f>
        <v>-10.889</v>
      </c>
      <c r="L82" s="122" t="n">
        <f aca="false">SUM($D81:L81)</f>
        <v>-12.942</v>
      </c>
      <c r="M82" s="122" t="n">
        <v>0</v>
      </c>
      <c r="N82" s="122" t="n">
        <v>0</v>
      </c>
      <c r="O82" s="123" t="n">
        <v>0</v>
      </c>
    </row>
    <row r="83" customFormat="false" ht="12.75" hidden="false" customHeight="false" outlineLevel="0" collapsed="false">
      <c r="B83" s="115"/>
      <c r="C83" s="116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3"/>
    </row>
    <row r="84" customFormat="false" ht="12.75" hidden="false" customHeight="false" outlineLevel="0" collapsed="false">
      <c r="B84" s="152" t="s">
        <v>97</v>
      </c>
      <c r="C84" s="116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3"/>
    </row>
    <row r="85" customFormat="false" ht="12.75" hidden="false" customHeight="false" outlineLevel="0" collapsed="false">
      <c r="B85" s="115" t="s">
        <v>75</v>
      </c>
      <c r="C85" s="116"/>
      <c r="D85" s="120" t="n">
        <v>-0.103</v>
      </c>
      <c r="E85" s="120" t="n">
        <v>-0.186</v>
      </c>
      <c r="F85" s="120" t="n">
        <v>-14.027</v>
      </c>
      <c r="G85" s="120" t="n">
        <v>-1.993</v>
      </c>
      <c r="H85" s="120" t="n">
        <v>-1.925</v>
      </c>
      <c r="I85" s="120" t="n">
        <v>-1.925</v>
      </c>
      <c r="J85" s="120" t="n">
        <v>-1.143</v>
      </c>
      <c r="K85" s="120" t="n">
        <v>-1.922</v>
      </c>
      <c r="L85" s="120" t="n">
        <v>-1.968</v>
      </c>
      <c r="M85" s="120"/>
      <c r="N85" s="120"/>
      <c r="O85" s="121"/>
    </row>
    <row r="86" customFormat="false" ht="12.75" hidden="false" customHeight="false" outlineLevel="0" collapsed="false">
      <c r="B86" s="115" t="s">
        <v>76</v>
      </c>
      <c r="C86" s="116"/>
      <c r="D86" s="122" t="n">
        <f aca="false">SUM($C85:D85)</f>
        <v>-0.103</v>
      </c>
      <c r="E86" s="122" t="n">
        <f aca="false">SUM($D85:E85)</f>
        <v>-0.289</v>
      </c>
      <c r="F86" s="122" t="n">
        <f aca="false">SUM($D85:F85)</f>
        <v>-14.316</v>
      </c>
      <c r="G86" s="122" t="n">
        <f aca="false">SUM($D85:G85)</f>
        <v>-16.309</v>
      </c>
      <c r="H86" s="122" t="n">
        <f aca="false">SUM($D85:H85)</f>
        <v>-18.234</v>
      </c>
      <c r="I86" s="122" t="n">
        <f aca="false">SUM($D85:I85)</f>
        <v>-20.159</v>
      </c>
      <c r="J86" s="122" t="n">
        <f aca="false">SUM($D85:J85)</f>
        <v>-21.302</v>
      </c>
      <c r="K86" s="122" t="n">
        <f aca="false">SUM($D85:K85)</f>
        <v>-23.224</v>
      </c>
      <c r="L86" s="122" t="n">
        <f aca="false">SUM($D85:L85)</f>
        <v>-25.192</v>
      </c>
      <c r="M86" s="122"/>
      <c r="N86" s="122"/>
      <c r="O86" s="123"/>
    </row>
    <row r="87" customFormat="false" ht="13.5" hidden="false" customHeight="false" outlineLevel="0" collapsed="false"/>
    <row r="88" customFormat="false" ht="12.75" hidden="false" customHeight="false" outlineLevel="0" collapsed="false">
      <c r="B88" s="151" t="s">
        <v>44</v>
      </c>
      <c r="C88" s="112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4"/>
    </row>
    <row r="89" customFormat="false" ht="12.75" hidden="false" customHeight="false" outlineLevel="0" collapsed="false">
      <c r="B89" s="152" t="s">
        <v>74</v>
      </c>
      <c r="C89" s="116"/>
      <c r="D89" s="118" t="s">
        <v>14</v>
      </c>
      <c r="E89" s="118" t="s">
        <v>15</v>
      </c>
      <c r="F89" s="118" t="s">
        <v>16</v>
      </c>
      <c r="G89" s="118" t="s">
        <v>17</v>
      </c>
      <c r="H89" s="118" t="s">
        <v>18</v>
      </c>
      <c r="I89" s="118" t="s">
        <v>19</v>
      </c>
      <c r="J89" s="118" t="s">
        <v>20</v>
      </c>
      <c r="K89" s="118" t="s">
        <v>21</v>
      </c>
      <c r="L89" s="118" t="s">
        <v>68</v>
      </c>
      <c r="M89" s="118" t="s">
        <v>23</v>
      </c>
      <c r="N89" s="118" t="s">
        <v>24</v>
      </c>
      <c r="O89" s="119" t="s">
        <v>25</v>
      </c>
    </row>
    <row r="90" customFormat="false" ht="12.75" hidden="false" customHeight="false" outlineLevel="0" collapsed="false">
      <c r="B90" s="115" t="s">
        <v>75</v>
      </c>
      <c r="C90" s="116"/>
      <c r="D90" s="120" t="n">
        <v>0.36</v>
      </c>
      <c r="E90" s="120" t="n">
        <v>-0.431</v>
      </c>
      <c r="F90" s="120" t="n">
        <v>-1.264</v>
      </c>
      <c r="G90" s="120" t="n">
        <v>-1.671</v>
      </c>
      <c r="H90" s="120" t="n">
        <v>-4.112</v>
      </c>
      <c r="I90" s="120" t="n">
        <v>1.014</v>
      </c>
      <c r="J90" s="120" t="n">
        <v>-1.41</v>
      </c>
      <c r="K90" s="120" t="n">
        <v>-1.981</v>
      </c>
      <c r="L90" s="120" t="n">
        <v>-0.306</v>
      </c>
      <c r="M90" s="120"/>
      <c r="N90" s="120"/>
      <c r="O90" s="121"/>
    </row>
    <row r="91" customFormat="false" ht="12.75" hidden="false" customHeight="false" outlineLevel="0" collapsed="false">
      <c r="B91" s="115" t="s">
        <v>76</v>
      </c>
      <c r="C91" s="116"/>
      <c r="D91" s="122" t="n">
        <f aca="false">SUM($C90:D90)</f>
        <v>0.36</v>
      </c>
      <c r="E91" s="122" t="n">
        <f aca="false">SUM($D90:E90)</f>
        <v>-0.071</v>
      </c>
      <c r="F91" s="122" t="n">
        <f aca="false">SUM($D90:F90)</f>
        <v>-1.335</v>
      </c>
      <c r="G91" s="122" t="n">
        <f aca="false">SUM($D90:G90)</f>
        <v>-3.006</v>
      </c>
      <c r="H91" s="122" t="n">
        <f aca="false">SUM($D90:H90)</f>
        <v>-7.118</v>
      </c>
      <c r="I91" s="122" t="n">
        <f aca="false">SUM($D90:I90)</f>
        <v>-6.104</v>
      </c>
      <c r="J91" s="122" t="n">
        <f aca="false">SUM($D90:J90)</f>
        <v>-7.514</v>
      </c>
      <c r="K91" s="122" t="n">
        <f aca="false">SUM($D90:K90)</f>
        <v>-9.495</v>
      </c>
      <c r="L91" s="122" t="n">
        <f aca="false">SUM($D90:L90)</f>
        <v>-9.801</v>
      </c>
      <c r="M91" s="122" t="n">
        <v>0</v>
      </c>
      <c r="N91" s="122" t="n">
        <v>0</v>
      </c>
      <c r="O91" s="123" t="n">
        <v>0</v>
      </c>
    </row>
    <row r="92" customFormat="false" ht="12.75" hidden="false" customHeight="false" outlineLevel="0" collapsed="false">
      <c r="B92" s="115"/>
      <c r="C92" s="116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3"/>
    </row>
    <row r="93" customFormat="false" ht="12.75" hidden="false" customHeight="false" outlineLevel="0" collapsed="false">
      <c r="B93" s="152" t="s">
        <v>97</v>
      </c>
      <c r="C93" s="116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3"/>
    </row>
    <row r="94" customFormat="false" ht="12.75" hidden="false" customHeight="false" outlineLevel="0" collapsed="false">
      <c r="B94" s="115" t="s">
        <v>75</v>
      </c>
      <c r="C94" s="116"/>
      <c r="D94" s="120" t="n">
        <v>0.129</v>
      </c>
      <c r="E94" s="120" t="n">
        <v>-24.236</v>
      </c>
      <c r="F94" s="120" t="n">
        <v>11.357</v>
      </c>
      <c r="G94" s="120" t="n">
        <v>-1.88</v>
      </c>
      <c r="H94" s="120" t="n">
        <v>-11.257</v>
      </c>
      <c r="I94" s="120" t="n">
        <v>6.45</v>
      </c>
      <c r="J94" s="120" t="n">
        <v>-0.567</v>
      </c>
      <c r="K94" s="120" t="n">
        <v>-15.481</v>
      </c>
      <c r="L94" s="120" t="n">
        <v>14.911</v>
      </c>
      <c r="M94" s="120"/>
      <c r="N94" s="120"/>
      <c r="O94" s="121"/>
    </row>
    <row r="95" customFormat="false" ht="12.75" hidden="false" customHeight="false" outlineLevel="0" collapsed="false">
      <c r="B95" s="115" t="s">
        <v>76</v>
      </c>
      <c r="C95" s="116"/>
      <c r="D95" s="122" t="n">
        <f aca="false">SUM($C94:D94)</f>
        <v>0.129</v>
      </c>
      <c r="E95" s="122" t="n">
        <f aca="false">SUM($D94:E94)</f>
        <v>-24.107</v>
      </c>
      <c r="F95" s="122" t="n">
        <f aca="false">SUM($D94:F94)</f>
        <v>-12.75</v>
      </c>
      <c r="G95" s="122" t="n">
        <f aca="false">SUM($D94:G94)</f>
        <v>-14.63</v>
      </c>
      <c r="H95" s="122" t="n">
        <f aca="false">SUM($D94:H94)</f>
        <v>-25.887</v>
      </c>
      <c r="I95" s="122" t="n">
        <f aca="false">SUM($D94:I94)</f>
        <v>-19.437</v>
      </c>
      <c r="J95" s="122" t="n">
        <f aca="false">SUM($D94:J94)</f>
        <v>-20.004</v>
      </c>
      <c r="K95" s="122" t="n">
        <f aca="false">SUM($D94:K94)</f>
        <v>-35.485</v>
      </c>
      <c r="L95" s="122" t="n">
        <f aca="false">SUM($D94:L94)</f>
        <v>-20.574</v>
      </c>
      <c r="M95" s="122"/>
      <c r="N95" s="122"/>
      <c r="O95" s="123"/>
    </row>
    <row r="96" customFormat="false" ht="13.5" hidden="false" customHeight="false" outlineLevel="0" collapsed="false"/>
    <row r="97" customFormat="false" ht="12.75" hidden="false" customHeight="false" outlineLevel="0" collapsed="false">
      <c r="B97" s="151" t="s">
        <v>35</v>
      </c>
      <c r="C97" s="112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4"/>
    </row>
    <row r="98" customFormat="false" ht="12.75" hidden="false" customHeight="false" outlineLevel="0" collapsed="false">
      <c r="B98" s="152" t="s">
        <v>74</v>
      </c>
      <c r="C98" s="116"/>
      <c r="D98" s="118" t="s">
        <v>14</v>
      </c>
      <c r="E98" s="118" t="s">
        <v>15</v>
      </c>
      <c r="F98" s="118" t="s">
        <v>16</v>
      </c>
      <c r="G98" s="118" t="s">
        <v>17</v>
      </c>
      <c r="H98" s="118" t="s">
        <v>18</v>
      </c>
      <c r="I98" s="118" t="s">
        <v>19</v>
      </c>
      <c r="J98" s="118" t="s">
        <v>20</v>
      </c>
      <c r="K98" s="118" t="s">
        <v>21</v>
      </c>
      <c r="L98" s="118" t="s">
        <v>68</v>
      </c>
      <c r="M98" s="118" t="s">
        <v>23</v>
      </c>
      <c r="N98" s="118" t="s">
        <v>24</v>
      </c>
      <c r="O98" s="119" t="s">
        <v>25</v>
      </c>
    </row>
    <row r="99" customFormat="false" ht="12.75" hidden="false" customHeight="false" outlineLevel="0" collapsed="false">
      <c r="B99" s="115" t="s">
        <v>75</v>
      </c>
      <c r="C99" s="116"/>
      <c r="D99" s="120"/>
      <c r="E99" s="120"/>
      <c r="F99" s="120"/>
      <c r="G99" s="120"/>
      <c r="H99" s="120"/>
      <c r="I99" s="120"/>
      <c r="J99" s="120" t="n">
        <v>-1.573</v>
      </c>
      <c r="K99" s="120" t="n">
        <v>-0.99</v>
      </c>
      <c r="L99" s="120" t="n">
        <v>0.297</v>
      </c>
      <c r="M99" s="120"/>
      <c r="N99" s="120"/>
      <c r="O99" s="121"/>
    </row>
    <row r="100" customFormat="false" ht="12.75" hidden="false" customHeight="false" outlineLevel="0" collapsed="false">
      <c r="B100" s="115" t="s">
        <v>76</v>
      </c>
      <c r="C100" s="116"/>
      <c r="D100" s="122"/>
      <c r="E100" s="122"/>
      <c r="F100" s="122"/>
      <c r="G100" s="122"/>
      <c r="H100" s="122"/>
      <c r="I100" s="122"/>
      <c r="J100" s="122" t="n">
        <f aca="false">SUM($D99:J99)</f>
        <v>-1.573</v>
      </c>
      <c r="K100" s="122" t="n">
        <f aca="false">SUM($D99:K99)</f>
        <v>-2.563</v>
      </c>
      <c r="L100" s="122" t="n">
        <f aca="false">SUM($D99:L99)</f>
        <v>-2.266</v>
      </c>
      <c r="M100" s="122" t="n">
        <v>0</v>
      </c>
      <c r="N100" s="122" t="n">
        <v>0</v>
      </c>
      <c r="O100" s="123" t="n">
        <v>0</v>
      </c>
    </row>
    <row r="101" customFormat="false" ht="12.75" hidden="false" customHeight="false" outlineLevel="0" collapsed="false">
      <c r="B101" s="115"/>
      <c r="C101" s="116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3"/>
    </row>
    <row r="102" customFormat="false" ht="12.75" hidden="false" customHeight="false" outlineLevel="0" collapsed="false">
      <c r="B102" s="152" t="s">
        <v>97</v>
      </c>
      <c r="C102" s="116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3"/>
    </row>
    <row r="103" customFormat="false" ht="12.75" hidden="false" customHeight="false" outlineLevel="0" collapsed="false">
      <c r="B103" s="115" t="s">
        <v>75</v>
      </c>
      <c r="C103" s="116"/>
      <c r="D103" s="120"/>
      <c r="E103" s="120"/>
      <c r="F103" s="120"/>
      <c r="G103" s="120"/>
      <c r="H103" s="120"/>
      <c r="I103" s="120"/>
      <c r="J103" s="120" t="n">
        <v>-1.573</v>
      </c>
      <c r="K103" s="120" t="n">
        <v>-0.99</v>
      </c>
      <c r="L103" s="120" t="n">
        <v>0.125</v>
      </c>
      <c r="M103" s="120"/>
      <c r="N103" s="120"/>
      <c r="O103" s="121"/>
    </row>
    <row r="104" customFormat="false" ht="12.75" hidden="false" customHeight="false" outlineLevel="0" collapsed="false">
      <c r="B104" s="115" t="s">
        <v>76</v>
      </c>
      <c r="C104" s="116"/>
      <c r="D104" s="122"/>
      <c r="E104" s="122"/>
      <c r="F104" s="122"/>
      <c r="G104" s="122"/>
      <c r="H104" s="122"/>
      <c r="I104" s="122"/>
      <c r="J104" s="122" t="n">
        <f aca="false">SUM($D103:J103)</f>
        <v>-1.573</v>
      </c>
      <c r="K104" s="122" t="n">
        <f aca="false">SUM($D103:K103)</f>
        <v>-2.563</v>
      </c>
      <c r="L104" s="122" t="n">
        <f aca="false">SUM($D103:L103)</f>
        <v>-2.438</v>
      </c>
      <c r="M104" s="122"/>
      <c r="N104" s="122"/>
      <c r="O104" s="123"/>
    </row>
  </sheetData>
  <printOptions headings="false" gridLines="false" gridLinesSet="true" horizontalCentered="false" verticalCentered="false"/>
  <pageMargins left="0.279861111111111" right="0.290277777777778" top="0.340277777777778" bottom="0.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/>
      <c r="B2" s="168"/>
      <c r="C2" s="168"/>
      <c r="D2" s="168"/>
      <c r="E2" s="168"/>
      <c r="F2" s="168"/>
      <c r="G2" s="168"/>
      <c r="H2" s="168" t="s">
        <v>13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71" t="s">
        <v>105</v>
      </c>
      <c r="B2" s="168"/>
      <c r="C2" s="168"/>
      <c r="D2" s="168"/>
      <c r="E2" s="168"/>
      <c r="F2" s="168"/>
      <c r="G2" s="168"/>
      <c r="H2" s="168" t="s">
        <v>13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</sheetData>
  <mergeCells count="1">
    <mergeCell ref="A1:O1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customFormat="false" ht="20.25" hidden="false" customHeight="false" outlineLevel="0" collapsed="false">
      <c r="A2" s="168"/>
      <c r="B2" s="168"/>
      <c r="C2" s="168"/>
      <c r="D2" s="168"/>
      <c r="E2" s="168"/>
      <c r="F2" s="168"/>
      <c r="G2" s="168"/>
      <c r="H2" s="168" t="s">
        <v>106</v>
      </c>
      <c r="I2" s="168"/>
      <c r="J2" s="168"/>
      <c r="K2" s="168"/>
      <c r="L2" s="168"/>
      <c r="M2" s="168"/>
      <c r="N2" s="168"/>
      <c r="O2" s="169" t="s">
        <v>103</v>
      </c>
    </row>
    <row r="3" customFormat="false" ht="12.75" hidden="false" customHeight="false" outlineLevel="0" collapsed="false">
      <c r="A3" s="170" t="s">
        <v>104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2000-08-25T13:23:29Z</dcterms:created>
  <dc:creator>Patricia Anderson</dc:creator>
  <dc:description/>
  <dc:language>en-US</dc:language>
  <cp:lastModifiedBy>agreen3</cp:lastModifiedBy>
  <cp:lastPrinted>2001-11-16T19:34:07Z</cp:lastPrinted>
  <dcterms:modified xsi:type="dcterms:W3CDTF">2001-11-26T11:31:47Z</dcterms:modified>
  <cp:revision>0</cp:revision>
  <dc:subject/>
  <dc:title/>
</cp:coreProperties>
</file>