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7.xml.rels" ContentType="application/vnd.openxmlformats-package.relationships+xml"/>
  <Override PartName="/xl/worksheets/_rels/sheet12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_rels/sheet15.xml.rels" ContentType="application/vnd.openxmlformats-package.relationships+xml"/>
  <Override PartName="/xl/worksheets/_rels/sheet14.xml.rels" ContentType="application/vnd.openxmlformats-package.relationships+xml"/>
  <Override PartName="/xl/worksheets/_rels/sheet19.xml.rels" ContentType="application/vnd.openxmlformats-package.relationships+xml"/>
  <Override PartName="/xl/worksheets/_rels/sheet20.xml.rels" ContentType="application/vnd.openxmlformats-package.relationships+xml"/>
  <Override PartName="/xl/worksheets/_rels/sheet18.xml.rels" ContentType="application/vnd.openxmlformats-package.relationships+xml"/>
  <Override PartName="/xl/worksheets/_rels/sheet17.xml.rels" ContentType="application/vnd.openxmlformats-package.relationships+xml"/>
  <Override PartName="/xl/worksheets/_rels/sheet16.xml.rels" ContentType="application/vnd.openxmlformats-package.relationship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charts/_rels/chart24.xml.rels" ContentType="application/vnd.openxmlformats-package.relationships+xml"/>
  <Override PartName="/xl/charts/_rels/chart17.xml.rels" ContentType="application/vnd.openxmlformats-package.relationships+xml"/>
  <Override PartName="/xl/charts/_rels/chart3.xml.rels" ContentType="application/vnd.openxmlformats-package.relationships+xml"/>
  <Override PartName="/xl/charts/_rels/chart5.xml.rels" ContentType="application/vnd.openxmlformats-package.relationships+xml"/>
  <Override PartName="/xl/charts/_rels/chart38.xml.rels" ContentType="application/vnd.openxmlformats-package.relationships+xml"/>
  <Override PartName="/xl/charts/_rels/chart6.xml.rels" ContentType="application/vnd.openxmlformats-package.relationships+xml"/>
  <Override PartName="/xl/charts/_rels/chart11.xml.rels" ContentType="application/vnd.openxmlformats-package.relationships+xml"/>
  <Override PartName="/xl/charts/_rels/chart8.xml.rels" ContentType="application/vnd.openxmlformats-package.relationships+xml"/>
  <Override PartName="/xl/charts/_rels/chart34.xml.rels" ContentType="application/vnd.openxmlformats-package.relationships+xml"/>
  <Override PartName="/xl/charts/_rels/chart13.xml.rels" ContentType="application/vnd.openxmlformats-package.relationships+xml"/>
  <Override PartName="/xl/charts/chart56.xml" ContentType="application/vnd.openxmlformats-officedocument.drawingml.chart+xml"/>
  <Override PartName="/xl/charts/chart55.xml" ContentType="application/vnd.openxmlformats-officedocument.drawingml.chart+xml"/>
  <Override PartName="/xl/charts/chart54.xml" ContentType="application/vnd.openxmlformats-officedocument.drawingml.chart+xml"/>
  <Override PartName="/xl/charts/chart53.xml" ContentType="application/vnd.openxmlformats-officedocument.drawingml.chart+xml"/>
  <Override PartName="/xl/charts/chart52.xml" ContentType="application/vnd.openxmlformats-officedocument.drawingml.chart+xml"/>
  <Override PartName="/xl/charts/chart51.xml" ContentType="application/vnd.openxmlformats-officedocument.drawingml.chart+xml"/>
  <Override PartName="/xl/charts/chart50.xml" ContentType="application/vnd.openxmlformats-officedocument.drawingml.chart+xml"/>
  <Override PartName="/xl/charts/chart46.xml" ContentType="application/vnd.openxmlformats-officedocument.drawingml.chart+xml"/>
  <Override PartName="/xl/charts/chart45.xml" ContentType="application/vnd.openxmlformats-officedocument.drawingml.chart+xml"/>
  <Override PartName="/xl/charts/chart44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60.xml" ContentType="application/vnd.openxmlformats-officedocument.drawingml.chart+xml"/>
  <Override PartName="/xl/charts/chart20.xml" ContentType="application/vnd.openxmlformats-officedocument.drawingml.chart+xml"/>
  <Override PartName="/xl/charts/chart57.xml" ContentType="application/vnd.openxmlformats-officedocument.drawingml.chart+xml"/>
  <Override PartName="/xl/charts/chart19.xml" ContentType="application/vnd.openxmlformats-officedocument.drawingml.chart+xml"/>
  <Override PartName="/xl/charts/chart61.xml" ContentType="application/vnd.openxmlformats-officedocument.drawingml.chart+xml"/>
  <Override PartName="/xl/charts/chart21.xml" ContentType="application/vnd.openxmlformats-officedocument.drawingml.chart+xml"/>
  <Override PartName="/xl/charts/chart58.xml" ContentType="application/vnd.openxmlformats-officedocument.drawingml.chart+xml"/>
  <Override PartName="/xl/charts/chart22.xml" ContentType="application/vnd.openxmlformats-officedocument.drawingml.chart+xml"/>
  <Override PartName="/xl/charts/chart59.xml" ContentType="application/vnd.openxmlformats-officedocument.drawingml.chart+xml"/>
  <Override PartName="/xl/charts/chart69.xml" ContentType="application/vnd.openxmlformats-officedocument.drawingml.chart+xml"/>
  <Override PartName="/xl/charts/chart32.xml" ContentType="application/vnd.openxmlformats-officedocument.drawingml.chart+xml"/>
  <Override PartName="/xl/charts/chart68.xml" ContentType="application/vnd.openxmlformats-officedocument.drawingml.chart+xml"/>
  <Override PartName="/xl/charts/chart31.xml" ContentType="application/vnd.openxmlformats-officedocument.drawingml.chart+xml"/>
  <Override PartName="/xl/charts/chart67.xml" ContentType="application/vnd.openxmlformats-officedocument.drawingml.chart+xml"/>
  <Override PartName="/xl/charts/chart30.xml" ContentType="application/vnd.openxmlformats-officedocument.drawingml.chart+xml"/>
  <Override PartName="/xl/charts/chart66.xml" ContentType="application/vnd.openxmlformats-officedocument.drawingml.chart+xml"/>
  <Override PartName="/xl/charts/chart29.xml" ContentType="application/vnd.openxmlformats-officedocument.drawingml.chart+xml"/>
  <Override PartName="/xl/charts/chart26.xml" ContentType="application/vnd.openxmlformats-officedocument.drawingml.chart+xml"/>
  <Override PartName="/xl/charts/chart63.xml" ContentType="application/vnd.openxmlformats-officedocument.drawingml.chart+xml"/>
  <Override PartName="/xl/charts/chart65.xml" ContentType="application/vnd.openxmlformats-officedocument.drawingml.chart+xml"/>
  <Override PartName="/xl/charts/chart28.xml" ContentType="application/vnd.openxmlformats-officedocument.drawingml.chart+xml"/>
  <Override PartName="/xl/charts/chart25.xml" ContentType="application/vnd.openxmlformats-officedocument.drawingml.chart+xml"/>
  <Override PartName="/xl/charts/chart62.xml" ContentType="application/vnd.openxmlformats-officedocument.drawingml.chart+xml"/>
  <Override PartName="/xl/charts/chart64.xml" ContentType="application/vnd.openxmlformats-officedocument.drawingml.chart+xml"/>
  <Override PartName="/xl/charts/chart27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35.xml" ContentType="application/vnd.openxmlformats-officedocument.drawingml.chart+xml"/>
  <Override PartName="/xl/charts/chart3.xml" ContentType="application/vnd.openxmlformats-officedocument.drawingml.chart+xml"/>
  <Override PartName="/xl/charts/chart36.xml" ContentType="application/vnd.openxmlformats-officedocument.drawingml.chart+xml"/>
  <Override PartName="/xl/charts/chart4.xml" ContentType="application/vnd.openxmlformats-officedocument.drawingml.chart+xml"/>
  <Override PartName="/xl/charts/chart37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47.xml" ContentType="application/vnd.openxmlformats-officedocument.drawingml.chart+xml"/>
  <Override PartName="/xl/charts/chart38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48.xml" ContentType="application/vnd.openxmlformats-officedocument.drawingml.chart+xml"/>
  <Override PartName="/xl/charts/chart39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49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1.xml" ContentType="application/vnd.openxmlformats-officedocument.drawingml.chart+xml"/>
  <Override PartName="/xl/charts/chart33.xml" ContentType="application/vnd.openxmlformats-officedocument.drawingml.chart+xml"/>
  <Override PartName="/xl/charts/chart2.xml" ContentType="application/vnd.openxmlformats-officedocument.drawingml.chart+xml"/>
  <Override PartName="/xl/charts/chart34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_rels/drawing26.xml.rels" ContentType="application/vnd.openxmlformats-package.relationships+xml"/>
  <Override PartName="/xl/drawings/_rels/drawing19.xml.rels" ContentType="application/vnd.openxmlformats-package.relationships+xml"/>
  <Override PartName="/xl/drawings/_rels/drawing22.xml.rels" ContentType="application/vnd.openxmlformats-package.relationships+xml"/>
  <Override PartName="/xl/drawings/_rels/drawing6.xml.rels" ContentType="application/vnd.openxmlformats-package.relationships+xml"/>
  <Override PartName="/xl/drawings/_rels/drawing20.xml.rels" ContentType="application/vnd.openxmlformats-package.relationships+xml"/>
  <Override PartName="/xl/drawings/_rels/drawing8.xml.rels" ContentType="application/vnd.openxmlformats-package.relationships+xml"/>
  <Override PartName="/xl/drawings/_rels/drawing25.xml.rels" ContentType="application/vnd.openxmlformats-package.relationships+xml"/>
  <Override PartName="/xl/drawings/_rels/drawing13.xml.rels" ContentType="application/vnd.openxmlformats-package.relationships+xml"/>
  <Override PartName="/xl/drawings/_rels/drawing17.xml.rels" ContentType="application/vnd.openxmlformats-package.relationships+xml"/>
  <Override PartName="/xl/drawings/_rels/drawing11.xml.rels" ContentType="application/vnd.openxmlformats-package.relationships+xml"/>
  <Override PartName="/xl/drawings/_rels/drawing23.xml.rels" ContentType="application/vnd.openxmlformats-package.relationships+xml"/>
  <Override PartName="/xl/drawings/_rels/drawing28.xml.rels" ContentType="application/vnd.openxmlformats-package.relationships+xml"/>
  <Override PartName="/xl/drawings/_rels/drawing16.xml.rels" ContentType="application/vnd.openxmlformats-package.relationships+xml"/>
  <Override PartName="/xl/drawings/_rels/drawing2.xml.rels" ContentType="application/vnd.openxmlformats-package.relationships+xml"/>
  <Override PartName="/xl/drawings/_rels/drawing27.xml.rels" ContentType="application/vnd.openxmlformats-package.relationships+xml"/>
  <Override PartName="/xl/drawings/_rels/drawing14.xml.rels" ContentType="application/vnd.openxmlformats-package.relationships+xml"/>
  <Override PartName="/xl/drawings/_rels/drawing24.xml.rels" ContentType="application/vnd.openxmlformats-package.relationships+xml"/>
  <Override PartName="/xl/drawings/drawing4.xml" ContentType="application/vnd.openxmlformats-officedocument.drawingml.chartshapes+xml"/>
  <Override PartName="/xl/drawings/drawing13.xml" ContentType="application/vnd.openxmlformats-officedocument.drawing+xml"/>
  <Override PartName="/xl/drawings/drawing19.xml" ContentType="application/vnd.openxmlformats-officedocument.drawing+xml"/>
  <Override PartName="/xl/drawings/drawing21.xml" ContentType="application/vnd.openxmlformats-officedocument.drawingml.chartshapes+xml"/>
  <Override PartName="/xl/drawings/drawing5.xml" ContentType="application/vnd.openxmlformats-officedocument.drawingml.chartshapes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15.xml" ContentType="application/vnd.openxmlformats-officedocument.drawingml.chartshapes+xml"/>
  <Override PartName="/xl/drawings/drawing6.xml" ContentType="application/vnd.openxmlformats-officedocument.drawing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16.xml" ContentType="application/vnd.openxmlformats-officedocument.drawing+xml"/>
  <Override PartName="/xl/drawings/drawing7.xml" ContentType="application/vnd.openxmlformats-officedocument.drawingml.chartshapes+xml"/>
  <Override PartName="/xl/drawings/drawing2.xml" ContentType="application/vnd.openxmlformats-officedocument.drawing+xml"/>
  <Override PartName="/xl/drawings/drawing11.xml" ContentType="application/vnd.openxmlformats-officedocument.drawing+xml"/>
  <Override PartName="/xl/drawings/drawing17.xml" ContentType="application/vnd.openxmlformats-officedocument.drawing+xml"/>
  <Override PartName="/xl/drawings/drawing8.xml" ContentType="application/vnd.openxmlformats-officedocument.drawing+xml"/>
  <Override PartName="/xl/drawings/drawing3.xml" ContentType="application/vnd.openxmlformats-officedocument.drawingml.chartshapes+xml"/>
  <Override PartName="/xl/drawings/drawing12.xml" ContentType="application/vnd.openxmlformats-officedocument.drawingml.chartshapes+xml"/>
  <Override PartName="/xl/drawings/vmlDrawing1.vml" ContentType="application/vnd.openxmlformats-officedocument.vmlDrawing"/>
  <Override PartName="/xl/drawings/drawing20.xml" ContentType="application/vnd.openxmlformats-officedocument.drawing+xml"/>
  <Override PartName="/xl/drawings/drawing18.xml" ContentType="application/vnd.openxmlformats-officedocument.drawingml.chartshapes+xml"/>
  <Override PartName="/xl/drawings/drawing9.xml" ContentType="application/vnd.openxmlformats-officedocument.drawingml.chartshap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IS Input" sheetId="1" state="hidden" r:id="rId3"/>
    <sheet name="volumes Input" sheetId="2" state="hidden" r:id="rId4"/>
    <sheet name="Funds Flow-Cap Employed" sheetId="3" state="hidden" r:id="rId5"/>
    <sheet name="EGM Summary" sheetId="4" state="visible" r:id="rId6"/>
    <sheet name="EGM Summary (EBIT)" sheetId="5" state="visible" r:id="rId7"/>
    <sheet name="Crude &amp; Products" sheetId="6" state="visible" r:id="rId8"/>
    <sheet name="Crude &amp; Products volumes " sheetId="7" state="visible" r:id="rId9"/>
    <sheet name="Coal" sheetId="8" state="visible" r:id="rId10"/>
    <sheet name="Emissions" sheetId="9" state="hidden" r:id="rId11"/>
    <sheet name="Coal volumes" sheetId="10" state="visible" r:id="rId12"/>
    <sheet name="Weather" sheetId="11" state="visible" r:id="rId13"/>
    <sheet name="Weather volumes" sheetId="12" state="visible" r:id="rId14"/>
    <sheet name="Global Risk Mkts" sheetId="13" state="visible" r:id="rId15"/>
    <sheet name="Financial Trading" sheetId="14" state="visible" r:id="rId16"/>
    <sheet name="PR" sheetId="15" state="hidden" r:id="rId17"/>
    <sheet name="Freight" sheetId="16" state="visible" r:id="rId18"/>
    <sheet name="Freight volumes" sheetId="17" state="visible" r:id="rId19"/>
    <sheet name="LNG" sheetId="18" state="visible" r:id="rId20"/>
    <sheet name="Japan" sheetId="19" state="visible" r:id="rId21"/>
    <sheet name="Middle East" sheetId="20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function="false" hidden="false" localSheetId="5" name="_xlnm.Print_Area" vbProcedure="false">'Crude &amp; Products'!$A$1:$O$43</definedName>
    <definedName function="false" hidden="false" localSheetId="6" name="_xlnm.Print_Area" vbProcedure="false">'Crude &amp; Products volumes '!$A$1:$O$43</definedName>
    <definedName function="false" hidden="false" localSheetId="3" name="_xlnm.Print_Area" vbProcedure="false">'EGM Summary'!$A$1:$O$42</definedName>
    <definedName function="false" hidden="false" localSheetId="4" name="_xlnm.Print_Area" vbProcedure="false">'EGM Summary (EBIT)'!$A$1:$O$42</definedName>
    <definedName function="false" hidden="false" localSheetId="2" name="_xlnm.Print_Area" vbProcedure="false">'Funds Flow-Cap Employed'!$A$1:$P$65</definedName>
    <definedName function="false" hidden="false" localSheetId="0" name="_xlnm.Print_Area" vbProcedure="false">'IS Input'!$AK$16:$AV$31</definedName>
    <definedName function="false" hidden="false" localSheetId="10" name="_xlnm.Print_Area" vbProcedure="false">Weather!$A$1:$O$43</definedName>
    <definedName function="false" hidden="false" localSheetId="11" name="_xlnm.Print_Area" vbProcedure="false">'Weather volumes'!$A$1:$O$43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K12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Office of the Chairman, Group and Finance &amp; Structuring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16</xdr:colOff>
                <xdr:row>10</xdr:row>
                <xdr:rowOff>9</xdr:rowOff>
              </xdr:from>
              <xdr:to>
                <xdr:col>39</xdr:col>
                <xdr:colOff>0</xdr:colOff>
                <xdr:row>14</xdr:row>
                <xdr:rowOff>1</xdr:rowOff>
              </xdr:to>
            </anchor>
          </commentPr>
        </mc:Choice>
        <mc:Fallback/>
      </mc:AlternateContent>
    </comment>
    <comment ref="AK30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Office of the Chairman, Group and Finance &amp; Structuring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24</xdr:colOff>
                <xdr:row>28</xdr:row>
                <xdr:rowOff>3</xdr:rowOff>
              </xdr:from>
              <xdr:to>
                <xdr:col>37</xdr:col>
                <xdr:colOff>-77</xdr:colOff>
                <xdr:row>31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<sst xmlns="http://schemas.openxmlformats.org/spreadsheetml/2006/main" count="665" uniqueCount="105">
  <si>
    <t xml:space="preserve">1Q</t>
  </si>
  <si>
    <t xml:space="preserve">2Q</t>
  </si>
  <si>
    <t xml:space="preserve">3Q</t>
  </si>
  <si>
    <t xml:space="preserve">4Q</t>
  </si>
  <si>
    <t xml:space="preserve">YTD</t>
  </si>
  <si>
    <t xml:space="preserve">Headcount</t>
  </si>
  <si>
    <t xml:space="preserve">Gr Margin</t>
  </si>
  <si>
    <t xml:space="preserve">Dir Exp</t>
  </si>
  <si>
    <t xml:space="preserve">Actual EBIT</t>
  </si>
  <si>
    <t xml:space="preserve">Plan EBIT</t>
  </si>
  <si>
    <t xml:space="preserve">Exp</t>
  </si>
  <si>
    <t xml:space="preserve">Actual</t>
  </si>
  <si>
    <t xml:space="preserve">Plan</t>
  </si>
  <si>
    <t xml:space="preserve">Crude &amp; Products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</si>
  <si>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</si>
  <si>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</si>
  <si>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</si>
  <si>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</si>
  <si>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</si>
  <si>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</si>
  <si>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</si>
  <si>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</si>
  <si>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</si>
  <si>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</si>
  <si>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</si>
  <si>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</si>
  <si>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Coal / Emissions</t>
  </si>
  <si>
    <t xml:space="preserve">Weather</t>
  </si>
  <si>
    <t xml:space="preserve">Coal/Emissions</t>
  </si>
  <si>
    <t xml:space="preserve">Risk Markets</t>
  </si>
  <si>
    <t xml:space="preserve">Fin Trading</t>
  </si>
  <si>
    <t xml:space="preserve">Global Risk Markets</t>
  </si>
  <si>
    <t xml:space="preserve">Freight</t>
  </si>
  <si>
    <t xml:space="preserve">Financial Trading</t>
  </si>
  <si>
    <t xml:space="preserve">LNG / Puerto Rico</t>
  </si>
  <si>
    <t xml:space="preserve">Japan</t>
  </si>
  <si>
    <t xml:space="preserve">LNG/Middle East/Puerto Rico</t>
  </si>
  <si>
    <t xml:space="preserve">Finance / Chair / ME / Other /Drift</t>
  </si>
  <si>
    <t xml:space="preserve">Finance/Office of Chair/Drift</t>
  </si>
  <si>
    <t xml:space="preserve">Total</t>
  </si>
  <si>
    <t xml:space="preserve">Other</t>
  </si>
  <si>
    <t xml:space="preserve">Total Monthly Headcount</t>
  </si>
  <si>
    <t xml:space="preserve">Coal</t>
  </si>
  <si>
    <t xml:space="preserve">Emissions</t>
  </si>
  <si>
    <t xml:space="preserve">LNG</t>
  </si>
  <si>
    <t xml:space="preserve">Puerto Rico</t>
  </si>
  <si>
    <t xml:space="preserve">Middle East</t>
  </si>
  <si>
    <t xml:space="preserve">ACTUALS</t>
  </si>
  <si>
    <t xml:space="preserve">PLAN</t>
  </si>
  <si>
    <t xml:space="preserve">GROSS MARGIN</t>
  </si>
  <si>
    <t xml:space="preserve">2Q YTD</t>
  </si>
  <si>
    <t xml:space="preserve">3Q YTD</t>
  </si>
  <si>
    <t xml:space="preserve">4Q YTD </t>
  </si>
  <si>
    <t xml:space="preserve">Headcount Forecast</t>
  </si>
  <si>
    <t xml:space="preserve">  </t>
  </si>
  <si>
    <t xml:space="preserve">Finance / Office of Chair</t>
  </si>
  <si>
    <t xml:space="preserve">Total Gross Margin</t>
  </si>
  <si>
    <t xml:space="preserve">EARNINGS BEFORE TAX</t>
  </si>
  <si>
    <t xml:space="preserve">Total Earnings before Tax</t>
  </si>
  <si>
    <t xml:space="preserve">2000 act</t>
  </si>
  <si>
    <t xml:space="preserve">2000 GROSS MARGIN</t>
  </si>
  <si>
    <t xml:space="preserve">DIRECT EXPENSES</t>
  </si>
  <si>
    <r>
      <rPr>
        <b val="true"/>
        <u val="single"/>
        <sz val="10"/>
        <rFont val="Tahoma"/>
        <family val="2"/>
      </rPr>
      <t xml:space="preserve">EBIT</t>
    </r>
    <r>
      <rPr>
        <u val="single"/>
        <sz val="10"/>
        <rFont val="Tahoma"/>
        <family val="2"/>
      </rPr>
      <t xml:space="preserve"> (GM less Direct Exp)</t>
    </r>
  </si>
  <si>
    <t xml:space="preserve">Phy Volume</t>
  </si>
  <si>
    <t xml:space="preserve">Fin Volume</t>
  </si>
  <si>
    <t xml:space="preserve">Deal Count</t>
  </si>
  <si>
    <t xml:space="preserve">EOL Count</t>
  </si>
  <si>
    <t xml:space="preserve"> </t>
  </si>
  <si>
    <t xml:space="preserve">Sep</t>
  </si>
  <si>
    <t xml:space="preserve">ENRON GLOBAL MARKETS</t>
  </si>
  <si>
    <t xml:space="preserve">FUNDS FLOW AND CAPITAL EMPLOYED/ROIC DATA</t>
  </si>
  <si>
    <t xml:space="preserve">MONTHLY 2001</t>
  </si>
  <si>
    <t xml:space="preserve">Actual Data </t>
  </si>
  <si>
    <t xml:space="preserve">(Millions of Dollars)</t>
  </si>
  <si>
    <t xml:space="preserve">Funds Flow</t>
  </si>
  <si>
    <t xml:space="preserve">Actual - Monthly</t>
  </si>
  <si>
    <t xml:space="preserve">Actual - Cumulative</t>
  </si>
  <si>
    <t xml:space="preserve">Plan - Monthly</t>
  </si>
  <si>
    <t xml:space="preserve">Plan - Cumulative</t>
  </si>
  <si>
    <t xml:space="preserve">Capital Employed/ROIC</t>
  </si>
  <si>
    <t xml:space="preserve">Net Income Before Capital Charge - YTD</t>
  </si>
  <si>
    <t xml:space="preserve">Annualized Net Income - Before Capital Charge</t>
  </si>
  <si>
    <t xml:space="preserve">Net Income - YTD</t>
  </si>
  <si>
    <t xml:space="preserve">Annualized Net Income</t>
  </si>
  <si>
    <t xml:space="preserve">Net Income Before Interest - YTD</t>
  </si>
  <si>
    <t xml:space="preserve">Annualized Net Income Before Interest</t>
  </si>
  <si>
    <t xml:space="preserve">Capital Employed As Reported in B/S Package</t>
  </si>
  <si>
    <t xml:space="preserve">Debt</t>
  </si>
  <si>
    <t xml:space="preserve">Equity</t>
  </si>
  <si>
    <t xml:space="preserve">Average Capital Employed</t>
  </si>
  <si>
    <t xml:space="preserve">Average Equity</t>
  </si>
  <si>
    <t xml:space="preserve">Capital Employed w/ Corp Adjustment- YTD Balance</t>
  </si>
  <si>
    <t xml:space="preserve">Average Capital Employed - Corp Credit For Prepay</t>
  </si>
  <si>
    <t xml:space="preserve">ROIC %</t>
  </si>
  <si>
    <t xml:space="preserve">ROIC % Used for Graph</t>
  </si>
  <si>
    <t xml:space="preserve">ROE %</t>
  </si>
  <si>
    <t xml:space="preserve">ROE % Used For Graph</t>
  </si>
  <si>
    <t xml:space="preserve">Enron Global Markets</t>
  </si>
  <si>
    <t xml:space="preserve">as of October 19, 2001</t>
  </si>
  <si>
    <t xml:space="preserve">($ millions)</t>
  </si>
  <si>
    <t xml:space="preserve">Confidential</t>
  </si>
  <si>
    <t xml:space="preserve">Coal / Vessel</t>
  </si>
  <si>
    <t xml:space="preserve">as of April 27, 2001</t>
  </si>
  <si>
    <t xml:space="preserve">as of July 6, 2001</t>
  </si>
  <si>
    <t xml:space="preserve">as of April 12, 2001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</si>
</sst>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_(* #,##0.0_);_(* \(#,##0.0\);_(* \-??_);_(@_)"/>
    <numFmt numFmtId="167" formatCode="[$-409]mmm\-yy"/>
    <numFmt numFmtId="168" formatCode="0.0"/>
    <numFmt numFmtId="169" formatCode="_(* #,##0_);_(* \(#,##0\);_(* \-??_);_(@_)"/>
    <numFmt numFmtId="170" formatCode="mm/dd/yy_)"/>
    <numFmt numFmtId="171" formatCode="hh:mm\ AM/PM_)"/>
    <numFmt numFmtId="172" formatCode="0%"/>
    <numFmt numFmtId="173" formatCode="0.00%"/>
    <numFmt numFmtId="174" formatCode="[$-409]#,##0_);\(#,##0\)"/>
    <numFmt numFmtId="175" formatCode="#,##0.0_);\(#,##0.0\)"/>
  </numFmts>
  <fonts count="60">
    <font>
      <sz val="10"/>
      <name val="Tahom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sz val="12"/>
      <name val="Tahoma"/>
      <family val="2"/>
    </font>
    <font>
      <b val="true"/>
      <sz val="10"/>
      <name val="Tahoma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FF0000"/>
      <name val="Tahoma"/>
      <family val="2"/>
    </font>
    <font>
      <b val="true"/>
      <u val="single"/>
      <sz val="10"/>
      <name val="Tahoma"/>
      <family val="2"/>
    </font>
    <font>
      <b val="true"/>
      <sz val="10"/>
      <color rgb="FF0000FF"/>
      <name val="Tahoma"/>
      <family val="2"/>
    </font>
    <font>
      <u val="single"/>
      <sz val="1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"/>
      <family val="2"/>
    </font>
    <font>
      <b val="true"/>
      <sz val="10"/>
      <name val="Arial"/>
      <family val="2"/>
    </font>
    <font>
      <sz val="7"/>
      <name val="Arial"/>
      <family val="2"/>
    </font>
    <font>
      <u val="single"/>
      <sz val="10"/>
      <name val="Arial"/>
      <family val="2"/>
    </font>
    <font>
      <sz val="10"/>
      <color rgb="FF0000FF"/>
      <name val="Arial"/>
      <family val="2"/>
    </font>
    <font>
      <sz val="10"/>
      <color rgb="FFFFFFFF"/>
      <name val="Arial"/>
      <family val="2"/>
    </font>
    <font>
      <b val="true"/>
      <sz val="14.5"/>
      <color rgb="FF000000"/>
      <name val="Arial"/>
      <family val="2"/>
    </font>
    <font>
      <sz val="9.75"/>
      <color rgb="FF000000"/>
      <name val="Arial"/>
      <family val="2"/>
    </font>
    <font>
      <sz val="8"/>
      <color rgb="FF000000"/>
      <name val="Arial Narrow"/>
      <family val="2"/>
    </font>
    <font>
      <b val="true"/>
      <sz val="9.75"/>
      <color rgb="FF000000"/>
      <name val="Arial"/>
      <family val="2"/>
    </font>
    <font>
      <sz val="9"/>
      <color rgb="FF000000"/>
      <name val="Arial Narrow"/>
      <family val="2"/>
    </font>
    <font>
      <b val="true"/>
      <sz val="14.25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20"/>
      <color rgb="FFFFFFFF"/>
      <name val="Arial"/>
      <family val="2"/>
    </font>
    <font>
      <b val="true"/>
      <sz val="16"/>
      <color rgb="FFFFFFFF"/>
      <name val="Arial"/>
      <family val="2"/>
    </font>
    <font>
      <b val="true"/>
      <i val="true"/>
      <sz val="9"/>
      <name val="Tahoma"/>
      <family val="2"/>
    </font>
    <font>
      <sz val="8"/>
      <name val="Arial Narrow"/>
      <family val="2"/>
    </font>
    <font>
      <b val="true"/>
      <sz val="8"/>
      <color rgb="FF000000"/>
      <name val="Arial Narrow"/>
      <family val="2"/>
    </font>
    <font>
      <b val="true"/>
      <sz val="14.75"/>
      <color rgb="FF000000"/>
      <name val="Arial"/>
      <family val="2"/>
    </font>
    <font>
      <sz val="6.75"/>
      <color rgb="FF000000"/>
      <name val="Arial Narrow"/>
      <family val="2"/>
    </font>
    <font>
      <b val="true"/>
      <sz val="8.25"/>
      <color rgb="FF000000"/>
      <name val="Arial Narrow"/>
      <family val="2"/>
    </font>
    <font>
      <i val="true"/>
      <sz val="30"/>
      <color rgb="FFFF0000"/>
      <name val="Tahoma"/>
      <family val="2"/>
    </font>
    <font>
      <b val="true"/>
      <sz val="14"/>
      <color rgb="FF000000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5"/>
      <color rgb="FF000000"/>
      <name val="Arial Narrow"/>
      <family val="2"/>
    </font>
    <font>
      <sz val="8.5"/>
      <color rgb="FF000000"/>
      <name val="Arial Narrow"/>
      <family val="2"/>
    </font>
    <font>
      <sz val="9"/>
      <color rgb="FF000000"/>
      <name val="Arial"/>
      <family val="2"/>
    </font>
    <font>
      <b val="true"/>
      <i val="true"/>
      <sz val="16"/>
      <color rgb="FFFFFFFF"/>
      <name val="Arial"/>
      <family val="2"/>
    </font>
    <font>
      <b val="true"/>
      <sz val="10"/>
      <color rgb="FF000000"/>
      <name val="Arial Narrow"/>
      <family val="2"/>
    </font>
    <font>
      <b val="true"/>
      <sz val="9.75"/>
      <color rgb="FF000000"/>
      <name val="Arial Narrow"/>
      <family val="2"/>
    </font>
    <font>
      <sz val="8.25"/>
      <color rgb="FF000000"/>
      <name val="Arial Narrow"/>
      <family val="2"/>
    </font>
    <font>
      <b val="true"/>
      <sz val="5.5"/>
      <color rgb="FF000000"/>
      <name val="Arial Narrow"/>
      <family val="2"/>
    </font>
    <font>
      <b val="true"/>
      <sz val="8.5"/>
      <color rgb="FF000000"/>
      <name val="Arial Narrow"/>
      <family val="2"/>
    </font>
    <font>
      <sz val="9.75"/>
      <color rgb="FF000000"/>
      <name val="Arial Narrow"/>
      <family val="2"/>
    </font>
    <font>
      <sz val="8"/>
      <color rgb="FFFFFFFF"/>
      <name val="Arial Narrow"/>
      <family val="2"/>
    </font>
    <font>
      <b val="true"/>
      <sz val="10.25"/>
      <color rgb="FF000000"/>
      <name val="Arial Narrow"/>
      <family val="2"/>
    </font>
    <font>
      <b val="true"/>
      <sz val="9.25"/>
      <color rgb="FF000000"/>
      <name val="Arial Narrow"/>
      <family val="2"/>
    </font>
    <font>
      <sz val="5.75"/>
      <color rgb="FF000000"/>
      <name val="Arial Narrow"/>
      <family val="2"/>
    </font>
    <font>
      <b val="true"/>
      <sz val="11.25"/>
      <color rgb="FF000000"/>
      <name val="Arial Narrow"/>
      <family val="2"/>
    </font>
    <font>
      <b val="true"/>
      <sz val="9.5"/>
      <color rgb="FF000000"/>
      <name val="Arial Narrow"/>
      <family val="2"/>
    </font>
    <font>
      <b val="true"/>
      <sz val="9"/>
      <color rgb="FF000000"/>
      <name val="Arial Narrow"/>
      <family val="2"/>
    </font>
    <font>
      <sz val="9.25"/>
      <color rgb="FF000000"/>
      <name val="Arial Narrow"/>
      <family val="2"/>
    </font>
    <font>
      <b val="true"/>
      <sz val="5.75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000080"/>
        <bgColor rgb="FF000080"/>
      </patternFill>
    </fill>
    <fill>
      <patternFill patternType="solid">
        <fgColor rgb="FFFFFF99"/>
        <bgColor rgb="FFFF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2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8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18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7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7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0" fillId="0" borderId="2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Funds Flow and ROE Graph Template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externalLink" Target="externalLinks/externalLink1.xml"/><Relationship Id="rId24" Type="http://schemas.openxmlformats.org/officeDocument/2006/relationships/externalLink" Target="externalLinks/externalLink2.xml"/><Relationship Id="rId25" Type="http://schemas.openxmlformats.org/officeDocument/2006/relationships/externalLink" Target="externalLinks/externalLink3.xml"/><Relationship Id="rId26" Type="http://schemas.openxmlformats.org/officeDocument/2006/relationships/externalLink" Target="externalLinks/externalLink4.xml"/><Relationship Id="rId27" Type="http://schemas.openxmlformats.org/officeDocument/2006/relationships/externalLink" Target="externalLinks/externalLink5.xml"/><Relationship Id="rId28" Type="http://schemas.openxmlformats.org/officeDocument/2006/relationships/externalLink" Target="externalLinks/externalLink6.xml"/><Relationship Id="rId29" Type="http://schemas.openxmlformats.org/officeDocument/2006/relationships/externalLink" Target="externalLinks/externalLink7.xml"/><Relationship Id="rId30" Type="http://schemas.openxmlformats.org/officeDocument/2006/relationships/sharedStrings" Target="sharedStrings.xml"/>
</Relationships>
</file>

<file path=xl/charts/_rels/chart11.xml.rels><?xml version="1.0" encoding="UTF-8"?>
<Relationships xmlns="http://schemas.openxmlformats.org/package/2006/relationships"><Relationship Id="rId1" Type="http://schemas.openxmlformats.org/officeDocument/2006/relationships/chartUserShapes" Target="../drawings/drawing9.xml"/>
</Relationships>
</file>

<file path=xl/charts/_rels/chart13.xml.rels><?xml version="1.0" encoding="UTF-8"?>
<Relationships xmlns="http://schemas.openxmlformats.org/package/2006/relationships"><Relationship Id="rId1" Type="http://schemas.openxmlformats.org/officeDocument/2006/relationships/chartUserShapes" Target="../drawings/drawing10.xml"/>
</Relationships>
</file>

<file path=xl/charts/_rels/chart17.xml.rels><?xml version="1.0" encoding="UTF-8"?>
<Relationships xmlns="http://schemas.openxmlformats.org/package/2006/relationships"><Relationship Id="rId1" Type="http://schemas.openxmlformats.org/officeDocument/2006/relationships/chartUserShapes" Target="../drawings/drawing12.xml"/>
</Relationships>
</file>

<file path=xl/charts/_rels/chart24.xml.rels><?xml version="1.0" encoding="UTF-8"?>
<Relationships xmlns="http://schemas.openxmlformats.org/package/2006/relationships"><Relationship Id="rId1" Type="http://schemas.openxmlformats.org/officeDocument/2006/relationships/chartUserShapes" Target="../drawings/drawing15.xml"/>
</Relationships>
</file>

<file path=xl/charts/_rels/chart3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_rels/chart34.xml.rels><?xml version="1.0" encoding="UTF-8"?>
<Relationships xmlns="http://schemas.openxmlformats.org/package/2006/relationships"><Relationship Id="rId1" Type="http://schemas.openxmlformats.org/officeDocument/2006/relationships/chartUserShapes" Target="../drawings/drawing18.xml"/>
</Relationships>
</file>

<file path=xl/charts/_rels/chart38.xml.rels><?xml version="1.0" encoding="UTF-8"?>
<Relationships xmlns="http://schemas.openxmlformats.org/package/2006/relationships"><Relationship Id="rId1" Type="http://schemas.openxmlformats.org/officeDocument/2006/relationships/chartUserShapes" Target="../drawings/drawing21.xml"/>
</Relationships>
</file>

<file path=xl/charts/_rels/chart5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_rels/chart6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_rels/chart8.xml.rels><?xml version="1.0" encoding="UTF-8"?>
<Relationships xmlns="http://schemas.openxmlformats.org/package/2006/relationships"><Relationship Id="rId1" Type="http://schemas.openxmlformats.org/officeDocument/2006/relationships/chartUserShapes" Target="../drawings/drawing7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Funds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1761932822628"/>
          <c:y val="0.0730180282115109"/>
          <c:w val="0.936240424278138"/>
          <c:h val="0.861582560156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"Monthly Actual"</c:f>
              <c:strCache>
                <c:ptCount val="1"/>
                <c:pt idx="0">
                  <c:v>Monthly Actual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Employed'!$D$10:$O$10</c:f>
              <c:numCache>
                <c:formatCode>_(* #,##0.0_);_(* \(#,##0.0\);_(* \-??_);_(@_)</c:formatCode>
                <c:ptCount val="12"/>
                <c:pt idx="0">
                  <c:v>-149.726</c:v>
                </c:pt>
                <c:pt idx="1">
                  <c:v>5.85900000000001</c:v>
                </c:pt>
                <c:pt idx="2">
                  <c:v>-9.8</c:v>
                </c:pt>
                <c:pt idx="3">
                  <c:v>4.00900000000001</c:v>
                </c:pt>
                <c:pt idx="4">
                  <c:v>-70.4</c:v>
                </c:pt>
                <c:pt idx="5">
                  <c:v>-61.3</c:v>
                </c:pt>
                <c:pt idx="6">
                  <c:v>-82.9</c:v>
                </c:pt>
                <c:pt idx="7">
                  <c:v>19.042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55953405"/>
        <c:axId val="48465311"/>
      </c:barChart>
      <c:lineChart>
        <c:grouping val="standard"/>
        <c:varyColors val="0"/>
        <c:ser>
          <c:idx val="1"/>
          <c:order val="1"/>
          <c:tx>
            <c:strRef>
              <c:f>"YTD Plan"</c:f>
              <c:strCache>
                <c:ptCount val="1"/>
                <c:pt idx="0">
                  <c:v>YTD 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Employed'!$D$13:$O$13</c:f>
              <c:numCache>
                <c:formatCode>_(* #,##0.0_);_(* \(#,##0.0\);_(* \-??_);_(@_)</c:formatCode>
                <c:ptCount val="12"/>
                <c:pt idx="0">
                  <c:v>0.7</c:v>
                </c:pt>
                <c:pt idx="1">
                  <c:v>1.3</c:v>
                </c:pt>
                <c:pt idx="2">
                  <c:v>10.7</c:v>
                </c:pt>
                <c:pt idx="3">
                  <c:v>23.6</c:v>
                </c:pt>
                <c:pt idx="4">
                  <c:v>23.3</c:v>
                </c:pt>
                <c:pt idx="5">
                  <c:v>31.7</c:v>
                </c:pt>
                <c:pt idx="6">
                  <c:v>32.8</c:v>
                </c:pt>
                <c:pt idx="7">
                  <c:v>33.8</c:v>
                </c:pt>
                <c:pt idx="8">
                  <c:v>51.1</c:v>
                </c:pt>
                <c:pt idx="9">
                  <c:v>67.4</c:v>
                </c:pt>
                <c:pt idx="10">
                  <c:v>71.8</c:v>
                </c:pt>
                <c:pt idx="11">
                  <c:v>150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"YTD Actual"</c:f>
              <c:strCache>
                <c:ptCount val="1"/>
                <c:pt idx="0">
                  <c:v>YTD Actual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triangle"/>
            <c:size val="3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Employed'!$D$11:$G$11</c:f>
              <c:numCache>
                <c:formatCode>_(* #,##0.0_);_(* \(#,##0.0\);_(* \-??_);_(@_)</c:formatCode>
                <c:ptCount val="4"/>
                <c:pt idx="0">
                  <c:v>-149.726</c:v>
                </c:pt>
                <c:pt idx="1">
                  <c:v>-143.867</c:v>
                </c:pt>
                <c:pt idx="2">
                  <c:v>-153.667</c:v>
                </c:pt>
                <c:pt idx="3">
                  <c:v>-149.658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953405"/>
        <c:axId val="48465311"/>
      </c:lineChart>
      <c:catAx>
        <c:axId val="5595340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465311"/>
        <c:crossesAt val="0"/>
        <c:auto val="1"/>
        <c:lblAlgn val="ctr"/>
        <c:lblOffset val="100"/>
        <c:noMultiLvlLbl val="0"/>
      </c:catAx>
      <c:valAx>
        <c:axId val="484653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595340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00383028874484384"/>
          <c:y val="0.956626687787584"/>
          <c:w val="0.821154979375368"/>
          <c:h val="0.045259108395564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Funds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933245362105"/>
          <c:y val="0.107116564417178"/>
          <c:w val="0.923154544748894"/>
          <c:h val="0.819386503067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"Monthly Actual"</c:f>
              <c:strCache>
                <c:ptCount val="1"/>
                <c:pt idx="0">
                  <c:v>Monthly Actual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Employed'!$D$10:$O$10</c:f>
              <c:numCache>
                <c:formatCode>_(* #,##0.0_);_(* \(#,##0.0\);_(* \-??_);_(@_)</c:formatCode>
                <c:ptCount val="12"/>
                <c:pt idx="0">
                  <c:v>-149.726</c:v>
                </c:pt>
                <c:pt idx="1">
                  <c:v>5.85900000000001</c:v>
                </c:pt>
                <c:pt idx="2">
                  <c:v>-9.8</c:v>
                </c:pt>
                <c:pt idx="3">
                  <c:v>4.00900000000001</c:v>
                </c:pt>
                <c:pt idx="4">
                  <c:v>-70.4</c:v>
                </c:pt>
                <c:pt idx="5">
                  <c:v>-61.3</c:v>
                </c:pt>
                <c:pt idx="6">
                  <c:v>-82.9</c:v>
                </c:pt>
                <c:pt idx="7">
                  <c:v>19.042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71425874"/>
        <c:axId val="42598502"/>
      </c:barChart>
      <c:lineChart>
        <c:grouping val="standard"/>
        <c:varyColors val="0"/>
        <c:ser>
          <c:idx val="1"/>
          <c:order val="1"/>
          <c:tx>
            <c:strRef>
              <c:f>"YTD Plan"</c:f>
              <c:strCache>
                <c:ptCount val="1"/>
                <c:pt idx="0">
                  <c:v>YTD 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Employed'!$D$13:$O$13</c:f>
              <c:numCache>
                <c:formatCode>_(* #,##0.0_);_(* \(#,##0.0\);_(* \-??_);_(@_)</c:formatCode>
                <c:ptCount val="12"/>
                <c:pt idx="0">
                  <c:v>0.7</c:v>
                </c:pt>
                <c:pt idx="1">
                  <c:v>1.3</c:v>
                </c:pt>
                <c:pt idx="2">
                  <c:v>10.7</c:v>
                </c:pt>
                <c:pt idx="3">
                  <c:v>23.6</c:v>
                </c:pt>
                <c:pt idx="4">
                  <c:v>23.3</c:v>
                </c:pt>
                <c:pt idx="5">
                  <c:v>31.7</c:v>
                </c:pt>
                <c:pt idx="6">
                  <c:v>32.8</c:v>
                </c:pt>
                <c:pt idx="7">
                  <c:v>33.8</c:v>
                </c:pt>
                <c:pt idx="8">
                  <c:v>51.1</c:v>
                </c:pt>
                <c:pt idx="9">
                  <c:v>67.4</c:v>
                </c:pt>
                <c:pt idx="10">
                  <c:v>71.8</c:v>
                </c:pt>
                <c:pt idx="11">
                  <c:v>150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"YTD Actual"</c:f>
              <c:strCache>
                <c:ptCount val="1"/>
                <c:pt idx="0">
                  <c:v>YTD Actual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993300"/>
              </a:solidFill>
              <a:round/>
            </a:ln>
          </c:spPr>
          <c:marker>
            <c:symbol val="triangle"/>
            <c:size val="5"/>
            <c:spPr>
              <a:solidFill>
                <a:srgbClr val="9933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Employed'!$D$11:$K$11</c:f>
              <c:numCache>
                <c:formatCode>_(* #,##0.0_);_(* \(#,##0.0\);_(* \-??_);_(@_)</c:formatCode>
                <c:ptCount val="8"/>
                <c:pt idx="0">
                  <c:v>-149.726</c:v>
                </c:pt>
                <c:pt idx="1">
                  <c:v>-143.867</c:v>
                </c:pt>
                <c:pt idx="2">
                  <c:v>-153.667</c:v>
                </c:pt>
                <c:pt idx="3">
                  <c:v>-149.658</c:v>
                </c:pt>
                <c:pt idx="4">
                  <c:v>-220.1</c:v>
                </c:pt>
                <c:pt idx="5">
                  <c:v>-281.4</c:v>
                </c:pt>
                <c:pt idx="6">
                  <c:v>-364.3</c:v>
                </c:pt>
                <c:pt idx="7">
                  <c:v>-345.258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425874"/>
        <c:axId val="42598502"/>
      </c:lineChart>
      <c:catAx>
        <c:axId val="7142587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2598502"/>
        <c:crossesAt val="0"/>
        <c:auto val="1"/>
        <c:lblAlgn val="ctr"/>
        <c:lblOffset val="100"/>
        <c:noMultiLvlLbl val="0"/>
      </c:catAx>
      <c:valAx>
        <c:axId val="425985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142587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46006364977102"/>
          <c:y val="0.89398773006135"/>
          <c:w val="0.761235737017775"/>
          <c:h val="0.07361963190184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7330870468714"/>
          <c:y val="0.120745745745746"/>
          <c:w val="0.874009081813284"/>
          <c:h val="0.760635635635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Input'!$B$3,'IS Input'!$I$3,'IS Input'!$P$3,'IS Input'!$W$3,'IS Input'!$AD$3</c:f>
              <c:numCache>
                <c:formatCode>_(* #,##0.0_);_(* \(#,##0.0\);_(* \-??_);_(@_)</c:formatCode>
                <c:ptCount val="5"/>
                <c:pt idx="0">
                  <c:v>61.971161</c:v>
                </c:pt>
                <c:pt idx="1">
                  <c:v>32.796825</c:v>
                </c:pt>
                <c:pt idx="2">
                  <c:v>28.864211</c:v>
                </c:pt>
                <c:pt idx="3">
                  <c:v>-7.726</c:v>
                </c:pt>
                <c:pt idx="4">
                  <c:v>115.906197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Input'!$E$3,'IS Input'!$L$3,'IS Input'!$S$3,'IS Input'!$Z$3,'IS Input'!$AG$3</c:f>
              <c:numCache>
                <c:formatCode>_(* #,##0.0_);_(* \(#,##0.0\);_(* \-??_);_(@_)</c:formatCode>
                <c:ptCount val="5"/>
                <c:pt idx="0">
                  <c:v>40</c:v>
                </c:pt>
                <c:pt idx="1">
                  <c:v>32.5</c:v>
                </c:pt>
                <c:pt idx="2">
                  <c:v>32.5</c:v>
                </c:pt>
                <c:pt idx="3">
                  <c:v>45</c:v>
                </c:pt>
                <c:pt idx="4">
                  <c:v>150</c:v>
                </c:pt>
              </c:numCache>
            </c:numRef>
          </c:val>
        </c:ser>
        <c:gapWidth val="150"/>
        <c:overlap val="0"/>
        <c:axId val="35614710"/>
        <c:axId val="28361853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Input'!$B$71:$F$71</c:f>
              <c:numCache>
                <c:formatCode>_(* #,##0.0_);_(* \(#,##0.0\);_(* \-??_);_(@_)</c:formatCode>
                <c:ptCount val="5"/>
                <c:pt idx="0">
                  <c:v>27.4</c:v>
                </c:pt>
                <c:pt idx="1">
                  <c:v>14.5</c:v>
                </c:pt>
                <c:pt idx="2">
                  <c:v>-2.909</c:v>
                </c:pt>
                <c:pt idx="3">
                  <c:v>16.412</c:v>
                </c:pt>
                <c:pt idx="4">
                  <c:v>55.403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5614710"/>
        <c:axId val="28361853"/>
      </c:lineChart>
      <c:catAx>
        <c:axId val="356147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8361853"/>
        <c:crossesAt val="0"/>
        <c:auto val="1"/>
        <c:lblAlgn val="ctr"/>
        <c:lblOffset val="100"/>
        <c:noMultiLvlLbl val="0"/>
      </c:catAx>
      <c:valAx>
        <c:axId val="28361853"/>
        <c:scaling>
          <c:orientation val="minMax"/>
          <c:min val="-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306556556556557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5614710"/>
        <c:crossesAt val="1"/>
        <c:crossBetween val="midCat"/>
        <c:majorUnit val="5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252751481567"/>
          <c:y val="0.862987987987988"/>
          <c:w val="0.602786115600708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2066869300912"/>
          <c:y val="0.150286854577201"/>
          <c:w val="0.877811550151976"/>
          <c:h val="0.6956847094038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Input'!$C$3,'IS Input'!$J$3,'IS Input'!$Q$3,'IS Input'!$X$3,'IS Input'!$AE$3</c:f>
              <c:numCache>
                <c:formatCode>_(* #,##0.0_);_(* \(#,##0.0\);_(* \-??_);_(@_)</c:formatCode>
                <c:ptCount val="5"/>
                <c:pt idx="0">
                  <c:v>7.068216</c:v>
                </c:pt>
                <c:pt idx="1">
                  <c:v>6.834695</c:v>
                </c:pt>
                <c:pt idx="2">
                  <c:v>7.980981</c:v>
                </c:pt>
                <c:pt idx="3">
                  <c:v>6.903119</c:v>
                </c:pt>
                <c:pt idx="4">
                  <c:v>28.787011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Input'!$F$3,'IS Input'!$M$3,'IS Input'!$T$3,'IS Input'!$AA$3,'IS Input'!$AH$3</c:f>
              <c:numCache>
                <c:formatCode>_(* #,##0.0_);_(* \(#,##0.0\);_(* \-??_);_(@_)</c:formatCode>
                <c:ptCount val="5"/>
                <c:pt idx="0">
                  <c:v>6.76777</c:v>
                </c:pt>
                <c:pt idx="1">
                  <c:v>6.994313</c:v>
                </c:pt>
                <c:pt idx="2">
                  <c:v>6.913332</c:v>
                </c:pt>
                <c:pt idx="3">
                  <c:v>6.903119</c:v>
                </c:pt>
                <c:pt idx="4">
                  <c:v>27.578534</c:v>
                </c:pt>
              </c:numCache>
            </c:numRef>
          </c:val>
        </c:ser>
        <c:gapWidth val="150"/>
        <c:overlap val="0"/>
        <c:axId val="90643881"/>
        <c:axId val="96126816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Input'!$B$89:$F$89</c:f>
              <c:numCache>
                <c:formatCode>_(* #,##0.0_);_(* \(#,##0.0\);_(* \-??_);_(@_)</c:formatCode>
                <c:ptCount val="5"/>
                <c:pt idx="0">
                  <c:v>5.469</c:v>
                </c:pt>
                <c:pt idx="1">
                  <c:v>11.058</c:v>
                </c:pt>
                <c:pt idx="2">
                  <c:v>13.844</c:v>
                </c:pt>
                <c:pt idx="3">
                  <c:v>6.483</c:v>
                </c:pt>
                <c:pt idx="4">
                  <c:v>36.854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643881"/>
        <c:axId val="96126816"/>
      </c:lineChart>
      <c:catAx>
        <c:axId val="906438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6126816"/>
        <c:crossesAt val="0"/>
        <c:auto val="1"/>
        <c:lblAlgn val="ctr"/>
        <c:lblOffset val="100"/>
        <c:noMultiLvlLbl val="0"/>
      </c:catAx>
      <c:valAx>
        <c:axId val="96126816"/>
        <c:scaling>
          <c:orientation val="minMax"/>
          <c:max val="4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89969604863222"/>
              <c:y val="0.286480419057121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0643881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34726443768997"/>
          <c:y val="0.853205288101771"/>
          <c:w val="0.584422492401216"/>
          <c:h val="0.1056373160389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08019702916955"/>
          <c:y val="0.146646646646647"/>
          <c:w val="0.860309397367813"/>
          <c:h val="0.689314314314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Input'!$AL$4,'IS Input'!$AN$4,'IS Input'!$AP$4,'IS Input'!$AR$4,'IS Input'!$AT$4,'IS Input'!$AV$4,'IS Input'!$AX$4,'IS Input'!$AZ$4,'IS Input'!$BB$4,'IS Input'!$BD$4,'IS Input'!$BF$4,'IS Input'!$BH$4</c:f>
              <c:numCache>
                <c:formatCode>General</c:formatCode>
                <c:ptCount val="12"/>
                <c:pt idx="0">
                  <c:v>112</c:v>
                </c:pt>
                <c:pt idx="1">
                  <c:v>111</c:v>
                </c:pt>
                <c:pt idx="2">
                  <c:v>111.5</c:v>
                </c:pt>
                <c:pt idx="3">
                  <c:v>110.5</c:v>
                </c:pt>
                <c:pt idx="4">
                  <c:v>105</c:v>
                </c:pt>
                <c:pt idx="5">
                  <c:v>111</c:v>
                </c:pt>
                <c:pt idx="6">
                  <c:v>126</c:v>
                </c:pt>
                <c:pt idx="7">
                  <c:v>131</c:v>
                </c:pt>
                <c:pt idx="8">
                  <c:v>132</c:v>
                </c:pt>
              </c:numCache>
            </c:numRef>
          </c:val>
        </c:ser>
        <c:gapWidth val="150"/>
        <c:overlap val="100"/>
        <c:axId val="37439469"/>
        <c:axId val="99686411"/>
      </c:barChart>
      <c:lineChart>
        <c:grouping val="stacked"/>
        <c:varyColors val="0"/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6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7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9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Input'!$AM$4,'IS Input'!$AO$4,'IS Input'!$AQ$4,'IS Input'!$AS$4,'IS Input'!$AU$4,'IS Input'!$AW$4,'IS Input'!$AY$4,'IS Input'!$BA$4,'IS Input'!$BC$4,'IS Input'!$BE$4,'IS Input'!$BG$4,'IS Input'!$BI$4</c:f>
              <c:numCache>
                <c:formatCode>General</c:formatCode>
                <c:ptCount val="12"/>
                <c:pt idx="0">
                  <c:v>117</c:v>
                </c:pt>
                <c:pt idx="1">
                  <c:v>117</c:v>
                </c:pt>
                <c:pt idx="2">
                  <c:v>117</c:v>
                </c:pt>
                <c:pt idx="3">
                  <c:v>118</c:v>
                </c:pt>
                <c:pt idx="4">
                  <c:v>118</c:v>
                </c:pt>
                <c:pt idx="5">
                  <c:v>118</c:v>
                </c:pt>
                <c:pt idx="6">
                  <c:v>119</c:v>
                </c:pt>
                <c:pt idx="7">
                  <c:v>119</c:v>
                </c:pt>
                <c:pt idx="8">
                  <c:v>119</c:v>
                </c:pt>
                <c:pt idx="9">
                  <c:v>119</c:v>
                </c:pt>
                <c:pt idx="10">
                  <c:v>119</c:v>
                </c:pt>
                <c:pt idx="11">
                  <c:v>119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7439469"/>
        <c:axId val="99686411"/>
      </c:lineChart>
      <c:catAx>
        <c:axId val="374394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9686411"/>
        <c:crossesAt val="0"/>
        <c:auto val="1"/>
        <c:lblAlgn val="ctr"/>
        <c:lblOffset val="100"/>
        <c:noMultiLvlLbl val="0"/>
      </c:catAx>
      <c:valAx>
        <c:axId val="9968641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83658658658659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743946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8396829061803"/>
          <c:y val="0.880630630630631"/>
          <c:w val="0.361117524821057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686930091185"/>
          <c:y val="0.120745745745746"/>
          <c:w val="0.867933130699088"/>
          <c:h val="0.760635635635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2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Input'!$D$3,'IS Input'!$K$3,'IS Input'!$R$3,'IS Input'!$Y$3,'IS Input'!$AF$3</c:f>
              <c:numCache>
                <c:formatCode>_(* #,##0.0_);_(* \(#,##0.0\);_(* \-??_);_(@_)</c:formatCode>
                <c:ptCount val="5"/>
                <c:pt idx="0">
                  <c:v>46.3071115</c:v>
                </c:pt>
                <c:pt idx="1">
                  <c:v>17.788538</c:v>
                </c:pt>
                <c:pt idx="2">
                  <c:v>13.858068</c:v>
                </c:pt>
                <c:pt idx="3">
                  <c:v>-24.647743</c:v>
                </c:pt>
                <c:pt idx="4">
                  <c:v>53.3059745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Input'!$G$3,'IS Input'!$N$3,'IS Input'!$U$3,'IS Input'!$AB$3,'IS Input'!$AI$3</c:f>
              <c:numCache>
                <c:formatCode>_(* #,##0.0_);_(* \(#,##0.0\);_(* \-??_);_(@_)</c:formatCode>
                <c:ptCount val="5"/>
                <c:pt idx="0">
                  <c:v>23.249788</c:v>
                </c:pt>
                <c:pt idx="1">
                  <c:v>15.526516</c:v>
                </c:pt>
                <c:pt idx="2">
                  <c:v>15.606718</c:v>
                </c:pt>
                <c:pt idx="3">
                  <c:v>28.078257</c:v>
                </c:pt>
                <c:pt idx="4">
                  <c:v>82.461279</c:v>
                </c:pt>
              </c:numCache>
            </c:numRef>
          </c:val>
        </c:ser>
        <c:gapWidth val="150"/>
        <c:overlap val="0"/>
        <c:axId val="56319002"/>
        <c:axId val="13616980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Input'!$B$107:$F$107</c:f>
              <c:numCache>
                <c:formatCode>_(* #,##0.0_);_(* \(#,##0.0\);_(* \-??_);_(@_)</c:formatCode>
                <c:ptCount val="5"/>
                <c:pt idx="0">
                  <c:v>19.7</c:v>
                </c:pt>
                <c:pt idx="1">
                  <c:v>-7.201</c:v>
                </c:pt>
                <c:pt idx="2">
                  <c:v>-22.509</c:v>
                </c:pt>
                <c:pt idx="3">
                  <c:v>-1.51</c:v>
                </c:pt>
                <c:pt idx="4">
                  <c:v>-11.52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319002"/>
        <c:axId val="13616980"/>
      </c:lineChart>
      <c:catAx>
        <c:axId val="5631900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3616980"/>
        <c:crossesAt val="0"/>
        <c:auto val="1"/>
        <c:lblAlgn val="ctr"/>
        <c:lblOffset val="100"/>
        <c:noMultiLvlLbl val="0"/>
      </c:catAx>
      <c:valAx>
        <c:axId val="13616980"/>
        <c:scaling>
          <c:orientation val="minMax"/>
          <c:min val="-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89969604863222"/>
              <c:y val="0.287287287287287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6319002"/>
        <c:crossesAt val="1"/>
        <c:crossBetween val="midCat"/>
        <c:majorUnit val="25"/>
        <c:minorUnit val="2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21504559270517"/>
          <c:y val="0.847097097097097"/>
          <c:w val="0.5790273556231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Physical Sales 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7330870468714"/>
          <c:y val="0.120745745745746"/>
          <c:w val="0.873778188255214"/>
          <c:h val="0.760635635635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Input'!$B$11,'volumes Input'!$G$11,'volumes Input'!$L$11,'volumes Input'!$Q$11,'volumes Input'!$V$11,'volumes Input'!$AA$11,'volumes Input'!$AF$11,'volumes Input'!$AK$11,'volumes Input'!$AP$11,'volumes Input'!$AU$11,'volumes Input'!$AZ$11,'volumes Input'!$BE$11</c:f>
              <c:numCache>
                <c:formatCode>_(* #,##0_);_(* \(#,##0\);_(* \-??_);_(@_)</c:formatCode>
                <c:ptCount val="12"/>
                <c:pt idx="0">
                  <c:v>35889.035</c:v>
                </c:pt>
                <c:pt idx="1">
                  <c:v>38708.028</c:v>
                </c:pt>
                <c:pt idx="2">
                  <c:v>37305.792</c:v>
                </c:pt>
                <c:pt idx="3">
                  <c:v>51131.207</c:v>
                </c:pt>
                <c:pt idx="4">
                  <c:v>60815.774</c:v>
                </c:pt>
                <c:pt idx="5">
                  <c:v>52706.376</c:v>
                </c:pt>
                <c:pt idx="6">
                  <c:v>50733.235</c:v>
                </c:pt>
                <c:pt idx="7">
                  <c:v>59849.841</c:v>
                </c:pt>
                <c:pt idx="8">
                  <c:v>46513.448</c:v>
                </c:pt>
              </c:numCache>
            </c:numRef>
          </c:val>
        </c:ser>
        <c:gapWidth val="150"/>
        <c:overlap val="0"/>
        <c:axId val="66863842"/>
        <c:axId val="92438034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Input'!$B$19,'volumes Input'!$G$19,'volumes Input'!$L$19,'volumes Input'!$Q$19,'volumes Input'!$V$19,'volumes Input'!$AA$19,'volumes Input'!$AF$19,'volumes Input'!$AK$19,'volumes Input'!$AP$19,'volumes Input'!$AU$19,'volumes Input'!$AZ$19,'volumes Input'!$BE$19</c:f>
              <c:numCache>
                <c:formatCode>_(* #,##0_);_(* \(#,##0\);_(* \-??_);_(@_)</c:formatCode>
                <c:ptCount val="12"/>
                <c:pt idx="0">
                  <c:v>50965.918</c:v>
                </c:pt>
                <c:pt idx="1">
                  <c:v>39570.202</c:v>
                </c:pt>
                <c:pt idx="2">
                  <c:v>38112.879</c:v>
                </c:pt>
                <c:pt idx="3">
                  <c:v>28915.627</c:v>
                </c:pt>
                <c:pt idx="4">
                  <c:v>41715.71</c:v>
                </c:pt>
                <c:pt idx="5">
                  <c:v>36391.863</c:v>
                </c:pt>
                <c:pt idx="6">
                  <c:v>37776.136</c:v>
                </c:pt>
                <c:pt idx="7">
                  <c:v>43826.926</c:v>
                </c:pt>
                <c:pt idx="8">
                  <c:v>42724.757</c:v>
                </c:pt>
                <c:pt idx="9">
                  <c:v>52145.502</c:v>
                </c:pt>
                <c:pt idx="10">
                  <c:v>66226.272</c:v>
                </c:pt>
                <c:pt idx="11">
                  <c:v>43836.365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863842"/>
        <c:axId val="92438034"/>
      </c:lineChart>
      <c:catAx>
        <c:axId val="668638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2438034"/>
        <c:crossesAt val="0"/>
        <c:auto val="1"/>
        <c:lblAlgn val="ctr"/>
        <c:lblOffset val="100"/>
        <c:noMultiLvlLbl val="0"/>
      </c:catAx>
      <c:valAx>
        <c:axId val="92438034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(000's BBLs)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063188188188188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686384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57215423689679"/>
          <c:y val="0.848473473473474"/>
          <c:w val="0.602786115600708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Total 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9787234042553"/>
          <c:y val="0.142055375405338"/>
          <c:w val="0.877811550151976"/>
          <c:h val="0.7039161885757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Input'!$D$11,'volumes Input'!$I$11,'volumes Input'!$N$11,'volumes Input'!$S$11,'volumes Input'!$X$11,'volumes Input'!$AC$11,'volumes Input'!$AH$11,'volumes Input'!$AM$11,'volumes Input'!$AR$11,'volumes Input'!$AW$11,'volumes Input'!$BB$11,'volumes Input'!$BG$11</c:f>
              <c:numCache>
                <c:formatCode>_(* #,##0_);_(* \(#,##0\);_(* \-??_);_(@_)</c:formatCode>
                <c:ptCount val="12"/>
                <c:pt idx="0">
                  <c:v>10780</c:v>
                </c:pt>
                <c:pt idx="1">
                  <c:v>9908</c:v>
                </c:pt>
                <c:pt idx="2">
                  <c:v>10584</c:v>
                </c:pt>
                <c:pt idx="3">
                  <c:v>8289</c:v>
                </c:pt>
                <c:pt idx="4">
                  <c:v>12021</c:v>
                </c:pt>
                <c:pt idx="5">
                  <c:v>9375</c:v>
                </c:pt>
                <c:pt idx="6">
                  <c:v>10180</c:v>
                </c:pt>
                <c:pt idx="7">
                  <c:v>12418</c:v>
                </c:pt>
                <c:pt idx="8">
                  <c:v>11062</c:v>
                </c:pt>
              </c:numCache>
            </c:numRef>
          </c:val>
        </c:ser>
        <c:gapWidth val="150"/>
        <c:overlap val="0"/>
        <c:axId val="11240370"/>
        <c:axId val="88108655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Input'!$D$19,'volumes Input'!$I$19,'volumes Input'!$N$19,'volumes Input'!$S$19,'volumes Input'!$X$19,'volumes Input'!$AC$19,'volumes Input'!$AH$19,'volumes Input'!$AM$19,'volumes Input'!$AR$19,'volumes Input'!$AW$19,'volumes Input'!$BB$19,'volumes Input'!$BG$19</c:f>
              <c:numCache>
                <c:formatCode>_(* #,##0_);_(* \(#,##0\);_(* \-??_);_(@_)</c:formatCode>
                <c:ptCount val="12"/>
                <c:pt idx="0">
                  <c:v>3050</c:v>
                </c:pt>
                <c:pt idx="1">
                  <c:v>2694</c:v>
                </c:pt>
                <c:pt idx="2">
                  <c:v>3172</c:v>
                </c:pt>
                <c:pt idx="3">
                  <c:v>2620</c:v>
                </c:pt>
                <c:pt idx="4">
                  <c:v>5180</c:v>
                </c:pt>
                <c:pt idx="5">
                  <c:v>6303</c:v>
                </c:pt>
                <c:pt idx="6">
                  <c:v>3683</c:v>
                </c:pt>
                <c:pt idx="7">
                  <c:v>4563</c:v>
                </c:pt>
                <c:pt idx="8">
                  <c:v>5556</c:v>
                </c:pt>
                <c:pt idx="9">
                  <c:v>6026</c:v>
                </c:pt>
                <c:pt idx="10">
                  <c:v>5283</c:v>
                </c:pt>
                <c:pt idx="11">
                  <c:v>5326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1240370"/>
        <c:axId val="88108655"/>
      </c:lineChart>
      <c:catAx>
        <c:axId val="112403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8108655"/>
        <c:crossesAt val="0"/>
        <c:auto val="1"/>
        <c:lblAlgn val="ctr"/>
        <c:lblOffset val="100"/>
        <c:noMultiLvlLbl val="0"/>
      </c:catAx>
      <c:valAx>
        <c:axId val="88108655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124037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53495440729483"/>
          <c:y val="0.853205288101771"/>
          <c:w val="0.584422492401216"/>
          <c:h val="0.1056373160389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EOL 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03401831755561"/>
          <c:y val="0.146646646646647"/>
          <c:w val="0.860771184483953"/>
          <c:h val="0.689314314314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Input'!$E$11,'volumes Input'!$J$11,'volumes Input'!$O$11,'volumes Input'!$T$11,'volumes Input'!$Y$11,'volumes Input'!$AD$11,'volumes Input'!$AI$11,'volumes Input'!$AN$11,'volumes Input'!$AS$11,'volumes Input'!$AX$11,'volumes Input'!$BC$11,'volumes Input'!$BH$11</c:f>
              <c:numCache>
                <c:formatCode>_(* #,##0_);_(* \(#,##0\);_(* \-??_);_(@_)</c:formatCode>
                <c:ptCount val="12"/>
                <c:pt idx="0">
                  <c:v>6293</c:v>
                </c:pt>
                <c:pt idx="1">
                  <c:v>5954</c:v>
                </c:pt>
                <c:pt idx="2">
                  <c:v>5560</c:v>
                </c:pt>
                <c:pt idx="3">
                  <c:v>3845</c:v>
                </c:pt>
                <c:pt idx="4">
                  <c:v>6451</c:v>
                </c:pt>
                <c:pt idx="5">
                  <c:v>7138</c:v>
                </c:pt>
                <c:pt idx="6">
                  <c:v>7574</c:v>
                </c:pt>
                <c:pt idx="7">
                  <c:v>7543</c:v>
                </c:pt>
                <c:pt idx="8">
                  <c:v>4994</c:v>
                </c:pt>
              </c:numCache>
            </c:numRef>
          </c:val>
        </c:ser>
        <c:gapWidth val="150"/>
        <c:overlap val="100"/>
        <c:axId val="90225311"/>
        <c:axId val="65667097"/>
      </c:barChart>
      <c:lineChart>
        <c:grouping val="stacke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Input'!$E$19,'volumes Input'!$J$19,'volumes Input'!$O$19,'volumes Input'!$T$19,'volumes Input'!$Y$19,'volumes Input'!$AD$19,'volumes Input'!$AI$19,'volumes Input'!$AN$19,'volumes Input'!$AS$19,'volumes Input'!$AX$19,'volumes Input'!$BC$19,'volumes Input'!$BH$19</c:f>
              <c:numCache>
                <c:formatCode>_(* #,##0_);_(* \(#,##0\);_(* \-??_);_(@_)</c:formatCode>
                <c:ptCount val="12"/>
                <c:pt idx="0">
                  <c:v>176</c:v>
                </c:pt>
                <c:pt idx="1">
                  <c:v>270</c:v>
                </c:pt>
                <c:pt idx="2">
                  <c:v>221</c:v>
                </c:pt>
                <c:pt idx="3">
                  <c:v>570</c:v>
                </c:pt>
                <c:pt idx="4">
                  <c:v>2106</c:v>
                </c:pt>
                <c:pt idx="5">
                  <c:v>1631</c:v>
                </c:pt>
                <c:pt idx="6">
                  <c:v>1141</c:v>
                </c:pt>
                <c:pt idx="7">
                  <c:v>1308</c:v>
                </c:pt>
                <c:pt idx="8">
                  <c:v>2131</c:v>
                </c:pt>
                <c:pt idx="9">
                  <c:v>2575</c:v>
                </c:pt>
                <c:pt idx="10">
                  <c:v>2565</c:v>
                </c:pt>
                <c:pt idx="11">
                  <c:v>2470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225311"/>
        <c:axId val="65667097"/>
      </c:lineChart>
      <c:catAx>
        <c:axId val="9022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5667097"/>
        <c:crossesAt val="0"/>
        <c:auto val="1"/>
        <c:lblAlgn val="ctr"/>
        <c:lblOffset val="100"/>
        <c:noMultiLvlLbl val="0"/>
      </c:catAx>
      <c:valAx>
        <c:axId val="65667097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022531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7093819749096"/>
          <c:y val="0.880880880880881"/>
          <c:w val="0.361117524821057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Financial Sales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5410334346505"/>
          <c:y val="0.117742742742743"/>
          <c:w val="0.848936170212766"/>
          <c:h val="0.760885885885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Input'!$C$11,'volumes Input'!$H$11,'volumes Input'!$M$11,'volumes Input'!$R$11,'volumes Input'!$W$11,'volumes Input'!$AB$11,'volumes Input'!$AG$11,'volumes Input'!$AL$11,'volumes Input'!$AQ$11,'volumes Input'!$AV$11,'volumes Input'!$BA$11,'volumes Input'!$BF$11</c:f>
              <c:numCache>
                <c:formatCode>_(* #,##0_);_(* \(#,##0\);_(* \-??_);_(@_)</c:formatCode>
                <c:ptCount val="12"/>
                <c:pt idx="0">
                  <c:v>314627.526</c:v>
                </c:pt>
                <c:pt idx="1">
                  <c:v>325890.158</c:v>
                </c:pt>
                <c:pt idx="2">
                  <c:v>415352.166</c:v>
                </c:pt>
                <c:pt idx="3">
                  <c:v>390818.951</c:v>
                </c:pt>
                <c:pt idx="4">
                  <c:v>422219.235</c:v>
                </c:pt>
                <c:pt idx="5">
                  <c:v>405347.087</c:v>
                </c:pt>
                <c:pt idx="6">
                  <c:v>385803</c:v>
                </c:pt>
                <c:pt idx="7">
                  <c:v>443047</c:v>
                </c:pt>
                <c:pt idx="8">
                  <c:v>413870</c:v>
                </c:pt>
              </c:numCache>
            </c:numRef>
          </c:val>
        </c:ser>
        <c:gapWidth val="150"/>
        <c:overlap val="0"/>
        <c:axId val="63223298"/>
        <c:axId val="90306888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Input'!$C$19,'volumes Input'!$H$19,'volumes Input'!$M$19,'volumes Input'!$R$19,'volumes Input'!$W$19,'volumes Input'!$AB$19,'volumes Input'!$AG$19,'volumes Input'!$AL$19,'volumes Input'!$AQ$19,'volumes Input'!$AV$19,'volumes Input'!$BA$19,'volumes Input'!$BF$19</c:f>
              <c:numCache>
                <c:formatCode>_(* #,##0_);_(* \(#,##0\);_(* \-??_);_(@_)</c:formatCode>
                <c:ptCount val="12"/>
                <c:pt idx="0">
                  <c:v>199515.983</c:v>
                </c:pt>
                <c:pt idx="1">
                  <c:v>171546.618</c:v>
                </c:pt>
                <c:pt idx="2">
                  <c:v>193331.081</c:v>
                </c:pt>
                <c:pt idx="3">
                  <c:v>150072.627</c:v>
                </c:pt>
                <c:pt idx="4">
                  <c:v>245942.075</c:v>
                </c:pt>
                <c:pt idx="5">
                  <c:v>308437.321</c:v>
                </c:pt>
                <c:pt idx="6">
                  <c:v>253779.674</c:v>
                </c:pt>
                <c:pt idx="7">
                  <c:v>308730.992</c:v>
                </c:pt>
                <c:pt idx="8">
                  <c:v>285951.801</c:v>
                </c:pt>
                <c:pt idx="9">
                  <c:v>310339.722</c:v>
                </c:pt>
                <c:pt idx="10">
                  <c:v>311093.028</c:v>
                </c:pt>
                <c:pt idx="11">
                  <c:v>297885.808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3223298"/>
        <c:axId val="90306888"/>
      </c:lineChart>
      <c:catAx>
        <c:axId val="632232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0306888"/>
        <c:crossesAt val="0"/>
        <c:auto val="1"/>
        <c:lblAlgn val="ctr"/>
        <c:lblOffset val="100"/>
        <c:noMultiLvlLbl val="0"/>
      </c:catAx>
      <c:valAx>
        <c:axId val="90306888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(000's BBLs)</a:t>
                </a:r>
              </a:p>
            </c:rich>
          </c:tx>
          <c:layout>
            <c:manualLayout>
              <c:xMode val="edge"/>
              <c:yMode val="edge"/>
              <c:x val="0.0190729483282675"/>
              <c:y val="0.0540540540540541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322329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57066869300912"/>
          <c:y val="0.847097097097097"/>
          <c:w val="0.5790273556231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47433233279458"/>
          <c:y val="0.118272841051314"/>
          <c:w val="0.87208496882937"/>
          <c:h val="0.7763454317897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Input'!$B$4,'IS Input'!$I$4,'IS Input'!$P$4,'IS Input'!$W$4,'IS Input'!$AD$4</c:f>
              <c:numCache>
                <c:formatCode>_(* #,##0.0_);_(* \(#,##0.0\);_(* \-??_);_(@_)</c:formatCode>
                <c:ptCount val="5"/>
                <c:pt idx="0">
                  <c:v>14.04090233</c:v>
                </c:pt>
                <c:pt idx="1">
                  <c:v>26.21452352</c:v>
                </c:pt>
                <c:pt idx="2">
                  <c:v>32.464047</c:v>
                </c:pt>
                <c:pt idx="3">
                  <c:v>1.120246</c:v>
                </c:pt>
                <c:pt idx="4">
                  <c:v>73.83971885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Input'!$E$4,'IS Input'!$L$4,'IS Input'!$S$4,'IS Input'!$Z$4,'IS Input'!$AG$4</c:f>
              <c:numCache>
                <c:formatCode>_(* #,##0.0_);_(* \(#,##0.0\);_(* \-??_);_(@_)</c:formatCode>
                <c:ptCount val="5"/>
                <c:pt idx="0">
                  <c:v>18.75</c:v>
                </c:pt>
                <c:pt idx="1">
                  <c:v>18.75</c:v>
                </c:pt>
                <c:pt idx="2">
                  <c:v>18.75</c:v>
                </c:pt>
                <c:pt idx="3">
                  <c:v>18.75</c:v>
                </c:pt>
                <c:pt idx="4">
                  <c:v>75</c:v>
                </c:pt>
              </c:numCache>
            </c:numRef>
          </c:val>
        </c:ser>
        <c:gapWidth val="150"/>
        <c:overlap val="0"/>
        <c:axId val="33344980"/>
        <c:axId val="95368467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Input'!$B$72:$F$72</c:f>
              <c:numCache>
                <c:formatCode>_(* #,##0.0_);_(* \(#,##0.0\);_(* \-??_);_(@_)</c:formatCode>
                <c:ptCount val="5"/>
                <c:pt idx="0">
                  <c:v>6.033</c:v>
                </c:pt>
                <c:pt idx="1">
                  <c:v>-2.909</c:v>
                </c:pt>
                <c:pt idx="2">
                  <c:v>1.4</c:v>
                </c:pt>
                <c:pt idx="3">
                  <c:v>52.971</c:v>
                </c:pt>
                <c:pt idx="4">
                  <c:v>57.495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344980"/>
        <c:axId val="95368467"/>
      </c:lineChart>
      <c:catAx>
        <c:axId val="333449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5368467"/>
        <c:crossesAt val="0"/>
        <c:auto val="1"/>
        <c:lblAlgn val="ctr"/>
        <c:lblOffset val="100"/>
        <c:noMultiLvlLbl val="0"/>
      </c:catAx>
      <c:valAx>
        <c:axId val="95368467"/>
        <c:scaling>
          <c:orientation val="minMax"/>
          <c:max val="80"/>
          <c:min val="-2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252315394242804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3344980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63449549757562"/>
          <c:y val="0.863078848560701"/>
          <c:w val="0.496882936966059"/>
          <c:h val="0.0838548185231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Capital Employed / ROIC / ROE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241491869673"/>
          <c:y val="0.0718111186542959"/>
          <c:w val="0.933748413226138"/>
          <c:h val="0.8618088556988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"Equity"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Employed'!$D$27:$F$27</c:f>
              <c:numCache>
                <c:formatCode>_(* #,##0.0_);_(* \(#,##0.0\);_(* \-??_);_(@_)</c:formatCode>
                <c:ptCount val="3"/>
                <c:pt idx="0">
                  <c:v>566.7825</c:v>
                </c:pt>
                <c:pt idx="1">
                  <c:v>343.8805</c:v>
                </c:pt>
                <c:pt idx="2">
                  <c:v>492.5645</c:v>
                </c:pt>
              </c:numCache>
            </c:numRef>
          </c:val>
        </c:ser>
        <c:ser>
          <c:idx val="1"/>
          <c:order val="1"/>
          <c:tx>
            <c:strRef>
              <c:f>"Debt"</c:f>
              <c:strCache>
                <c:ptCount val="1"/>
                <c:pt idx="0">
                  <c:v>Debt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Employed'!$D$26:$F$26</c:f>
              <c:numCache>
                <c:formatCode>_(* #,##0.0_);_(* \(#,##0.0\);_(* \-??_);_(@_)</c:formatCode>
                <c:ptCount val="3"/>
                <c:pt idx="0">
                  <c:v>566.7825</c:v>
                </c:pt>
                <c:pt idx="1">
                  <c:v>343.8805</c:v>
                </c:pt>
                <c:pt idx="2">
                  <c:v>492.5645</c:v>
                </c:pt>
              </c:numCache>
            </c:numRef>
          </c:val>
        </c:ser>
        <c:gapWidth val="150"/>
        <c:overlap val="100"/>
        <c:axId val="4744389"/>
        <c:axId val="18542649"/>
      </c:barChart>
      <c:lineChart>
        <c:grouping val="stacked"/>
        <c:varyColors val="0"/>
        <c:ser>
          <c:idx val="2"/>
          <c:order val="2"/>
          <c:tx>
            <c:strRef>
              <c:f>"ROIC"</c:f>
              <c:strCache>
                <c:ptCount val="1"/>
                <c:pt idx="0">
                  <c:v>ROIC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3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Employed'!$D$34:$O$34</c:f>
              <c:numCache>
                <c:formatCode>0.00%</c:formatCode>
                <c:ptCount val="12"/>
                <c:pt idx="0">
                  <c:v>0.0683615246307524</c:v>
                </c:pt>
                <c:pt idx="1">
                  <c:v>0.0683615246307524</c:v>
                </c:pt>
                <c:pt idx="2">
                  <c:v>0.0683615246307524</c:v>
                </c:pt>
                <c:pt idx="3">
                  <c:v>0.0683615246307524</c:v>
                </c:pt>
                <c:pt idx="4">
                  <c:v>0.0683615246307524</c:v>
                </c:pt>
                <c:pt idx="5">
                  <c:v>0.0683615246307524</c:v>
                </c:pt>
                <c:pt idx="6">
                  <c:v>0.0683615246307524</c:v>
                </c:pt>
                <c:pt idx="7">
                  <c:v>0.0683615246307524</c:v>
                </c:pt>
                <c:pt idx="8">
                  <c:v>0.0683615246307524</c:v>
                </c:pt>
                <c:pt idx="9">
                  <c:v>0.0683615246307524</c:v>
                </c:pt>
                <c:pt idx="10">
                  <c:v>0.0683615246307524</c:v>
                </c:pt>
                <c:pt idx="11">
                  <c:v>0.0683615246307524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"ROE"</c:f>
              <c:strCache>
                <c:ptCount val="1"/>
                <c:pt idx="0">
                  <c:v>ROE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triangle"/>
            <c:size val="3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Employed'!$D$37:$O$37</c:f>
              <c:numCache>
                <c:formatCode>0.00%</c:formatCode>
                <c:ptCount val="12"/>
                <c:pt idx="0">
                  <c:v>0.104654581246517</c:v>
                </c:pt>
                <c:pt idx="1">
                  <c:v>0.104654581246517</c:v>
                </c:pt>
                <c:pt idx="2">
                  <c:v>0.104654581246517</c:v>
                </c:pt>
                <c:pt idx="3">
                  <c:v>0.104654581246517</c:v>
                </c:pt>
                <c:pt idx="4">
                  <c:v>0.104654581246517</c:v>
                </c:pt>
                <c:pt idx="5">
                  <c:v>0.104654581246517</c:v>
                </c:pt>
                <c:pt idx="6">
                  <c:v>0.104654581246517</c:v>
                </c:pt>
                <c:pt idx="7">
                  <c:v>0.104654581246517</c:v>
                </c:pt>
                <c:pt idx="8">
                  <c:v>0.104654581246517</c:v>
                </c:pt>
                <c:pt idx="9">
                  <c:v>0.104654581246517</c:v>
                </c:pt>
                <c:pt idx="10">
                  <c:v>0.104654581246517</c:v>
                </c:pt>
                <c:pt idx="11">
                  <c:v>0.104654581246517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4984939"/>
        <c:axId val="20871239"/>
      </c:lineChart>
      <c:catAx>
        <c:axId val="47443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542649"/>
        <c:crossesAt val="0"/>
        <c:auto val="1"/>
        <c:lblAlgn val="ctr"/>
        <c:lblOffset val="100"/>
        <c:noMultiLvlLbl val="0"/>
      </c:catAx>
      <c:valAx>
        <c:axId val="185426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744389"/>
        <c:crossesAt val="1"/>
        <c:crossBetween val="midCat"/>
      </c:valAx>
      <c:catAx>
        <c:axId val="14984939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871239"/>
        <c:auto val="1"/>
        <c:lblAlgn val="ctr"/>
        <c:lblOffset val="100"/>
        <c:noMultiLvlLbl val="0"/>
      </c:catAx>
      <c:valAx>
        <c:axId val="20871239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984939"/>
        <c:crosses val="max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-0.129299401559572"/>
          <c:y val="0.953684845741872"/>
          <c:w val="0.842350238771686"/>
          <c:h val="0.047899223051972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7629179331307"/>
          <c:y val="0.142055375405338"/>
          <c:w val="0.880015197568389"/>
          <c:h val="0.7519331504115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Input'!$C$4,'IS Input'!$J$4,'IS Input'!$Q$4,'IS Input'!$X$4,'IS Input'!$AE$4</c:f>
              <c:numCache>
                <c:formatCode>_(* #,##0.0_);_(* \(#,##0.0\);_(* \-??_);_(@_)</c:formatCode>
                <c:ptCount val="5"/>
                <c:pt idx="0">
                  <c:v>4.155486</c:v>
                </c:pt>
                <c:pt idx="1">
                  <c:v>4.315036</c:v>
                </c:pt>
                <c:pt idx="2">
                  <c:v>5.139563</c:v>
                </c:pt>
                <c:pt idx="3">
                  <c:v>5.458742</c:v>
                </c:pt>
                <c:pt idx="4">
                  <c:v>19.068827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Input'!$F$4,'IS Input'!$M$4,'IS Input'!$T$4,'IS Input'!$AA$4,'IS Input'!$AH$4</c:f>
              <c:numCache>
                <c:formatCode>_(* #,##0.0_);_(* \(#,##0.0\);_(* \-??_);_(@_)</c:formatCode>
                <c:ptCount val="5"/>
                <c:pt idx="0">
                  <c:v>5.226712</c:v>
                </c:pt>
                <c:pt idx="1">
                  <c:v>5.360991</c:v>
                </c:pt>
                <c:pt idx="2">
                  <c:v>5.45285</c:v>
                </c:pt>
                <c:pt idx="3">
                  <c:v>5.458742</c:v>
                </c:pt>
                <c:pt idx="4">
                  <c:v>21.499295</c:v>
                </c:pt>
              </c:numCache>
            </c:numRef>
          </c:val>
        </c:ser>
        <c:gapWidth val="150"/>
        <c:overlap val="0"/>
        <c:axId val="44322982"/>
        <c:axId val="12423689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Input'!$B$90:$F$90</c:f>
              <c:numCache>
                <c:formatCode>_(* #,##0.0_);_(* \(#,##0.0\);_(* \-??_);_(@_)</c:formatCode>
                <c:ptCount val="5"/>
                <c:pt idx="0">
                  <c:v>4.573</c:v>
                </c:pt>
                <c:pt idx="1">
                  <c:v>2.811</c:v>
                </c:pt>
                <c:pt idx="2">
                  <c:v>3.983</c:v>
                </c:pt>
                <c:pt idx="3">
                  <c:v>4.473</c:v>
                </c:pt>
                <c:pt idx="4">
                  <c:v>15.84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4322982"/>
        <c:axId val="12423689"/>
      </c:lineChart>
      <c:catAx>
        <c:axId val="443229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2423689"/>
        <c:crossesAt val="0"/>
        <c:auto val="1"/>
        <c:lblAlgn val="ctr"/>
        <c:lblOffset val="100"/>
        <c:noMultiLvlLbl val="0"/>
      </c:catAx>
      <c:valAx>
        <c:axId val="12423689"/>
        <c:scaling>
          <c:orientation val="minMax"/>
          <c:max val="25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89969604863222"/>
              <c:y val="0.312047892242455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4322982"/>
        <c:crossesAt val="1"/>
        <c:crossBetween val="midCat"/>
        <c:majorUnit val="5"/>
        <c:minorUnit val="5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242401215805471"/>
          <c:y val="0.884010975305563"/>
          <c:w val="0.530775075987842"/>
          <c:h val="0.07919680718383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35780805048873"/>
          <c:y val="0.120745745745746"/>
          <c:w val="0.884861079042561"/>
          <c:h val="0.7767767767767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Input'!$AL$5,'IS Input'!$AN$5,'IS Input'!$AP$5,'IS Input'!$AR$5,'IS Input'!$AT$5,'IS Input'!$AV$5,'IS Input'!$AX$5,'IS Input'!$AZ$5,'IS Input'!$BB$5,'IS Input'!$BD$5,'IS Input'!$BF$5,'IS Input'!$BH$5</c:f>
              <c:numCache>
                <c:formatCode>General</c:formatCode>
                <c:ptCount val="12"/>
                <c:pt idx="0">
                  <c:v>66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71</c:v>
                </c:pt>
                <c:pt idx="5">
                  <c:v>68</c:v>
                </c:pt>
                <c:pt idx="6">
                  <c:v>73</c:v>
                </c:pt>
                <c:pt idx="7">
                  <c:v>81</c:v>
                </c:pt>
                <c:pt idx="8">
                  <c:v>82</c:v>
                </c:pt>
              </c:numCache>
            </c:numRef>
          </c:val>
        </c:ser>
        <c:gapWidth val="150"/>
        <c:overlap val="100"/>
        <c:axId val="80033146"/>
        <c:axId val="88792253"/>
      </c:barChart>
      <c:lineChart>
        <c:grouping val="stacke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Input'!$AM$5,'IS Input'!$AO$5,'IS Input'!$AQ$5,'IS Input'!$AS$5,'IS Input'!$AU$5,'IS Input'!$AW$5,'IS Input'!$AY$5,'IS Input'!$BA$5,'IS Input'!$BC$5,'IS Input'!$BE$5,'IS Input'!$BG$5,'IS Input'!$BI$5</c:f>
              <c:numCache>
                <c:formatCode>General</c:formatCode>
                <c:ptCount val="12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87</c:v>
                </c:pt>
                <c:pt idx="4">
                  <c:v>86</c:v>
                </c:pt>
                <c:pt idx="5">
                  <c:v>87</c:v>
                </c:pt>
                <c:pt idx="6">
                  <c:v>88</c:v>
                </c:pt>
                <c:pt idx="7">
                  <c:v>88</c:v>
                </c:pt>
                <c:pt idx="8">
                  <c:v>88</c:v>
                </c:pt>
                <c:pt idx="9">
                  <c:v>88</c:v>
                </c:pt>
                <c:pt idx="10">
                  <c:v>88</c:v>
                </c:pt>
                <c:pt idx="11">
                  <c:v>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033146"/>
        <c:axId val="88792253"/>
      </c:lineChart>
      <c:catAx>
        <c:axId val="8003314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8792253"/>
        <c:crossesAt val="0"/>
        <c:auto val="1"/>
        <c:lblAlgn val="ctr"/>
        <c:lblOffset val="100"/>
        <c:noMultiLvlLbl val="0"/>
      </c:catAx>
      <c:valAx>
        <c:axId val="8879225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0033146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8479181097514"/>
          <c:y val="0.885760760760761"/>
          <c:w val="0.35026552759178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16619803936469"/>
          <c:y val="0.115365365365365"/>
          <c:w val="0.884565696481496"/>
          <c:h val="0.7263513513513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Input'!$D$4,'IS Input'!$K$4,'IS Input'!$R$4,'IS Input'!$Y$4,'IS Input'!$AF$4</c:f>
              <c:numCache>
                <c:formatCode>_(* #,##0.0_);_(* \(#,##0.0\);_(* \-??_);_(@_)</c:formatCode>
                <c:ptCount val="5"/>
                <c:pt idx="0">
                  <c:v>5.95682733</c:v>
                </c:pt>
                <c:pt idx="1">
                  <c:v>17.96685752</c:v>
                </c:pt>
                <c:pt idx="2">
                  <c:v>21.846978</c:v>
                </c:pt>
                <c:pt idx="3">
                  <c:v>-8.502515</c:v>
                </c:pt>
                <c:pt idx="4">
                  <c:v>37.26814785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Input'!$G$4,'IS Input'!$N$4,'IS Input'!$U$4,'IS Input'!$AB$4,'IS Input'!$AI$4</c:f>
              <c:numCache>
                <c:formatCode>_(* #,##0.0_);_(* \(#,##0.0\);_(* \-??_);_(@_)</c:formatCode>
                <c:ptCount val="5"/>
                <c:pt idx="0">
                  <c:v>9.252878</c:v>
                </c:pt>
                <c:pt idx="1">
                  <c:v>9.221984</c:v>
                </c:pt>
                <c:pt idx="2">
                  <c:v>9.126459</c:v>
                </c:pt>
                <c:pt idx="3">
                  <c:v>9.127239</c:v>
                </c:pt>
                <c:pt idx="4">
                  <c:v>36.72856</c:v>
                </c:pt>
              </c:numCache>
            </c:numRef>
          </c:val>
        </c:ser>
        <c:gapWidth val="150"/>
        <c:overlap val="0"/>
        <c:axId val="20316898"/>
        <c:axId val="54925404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Input'!$B$108:$F$108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-7.9</c:v>
                </c:pt>
                <c:pt idx="2">
                  <c:v>-4.7</c:v>
                </c:pt>
                <c:pt idx="3">
                  <c:v>42.9</c:v>
                </c:pt>
                <c:pt idx="4">
                  <c:v>30.3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316898"/>
        <c:axId val="54925404"/>
      </c:lineChart>
      <c:catAx>
        <c:axId val="203168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4925404"/>
        <c:crossesAt val="0"/>
        <c:auto val="1"/>
        <c:lblAlgn val="ctr"/>
        <c:lblOffset val="100"/>
        <c:noMultiLvlLbl val="0"/>
      </c:catAx>
      <c:valAx>
        <c:axId val="54925404"/>
        <c:scaling>
          <c:orientation val="minMax"/>
          <c:max val="60"/>
          <c:min val="-2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5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0316898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77300706740634"/>
          <c:y val="0.859484484484484"/>
          <c:w val="0.471844365073334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56345724621"/>
          <c:y val="0.120525657071339"/>
          <c:w val="0.866081736319557"/>
          <c:h val="0.770713391739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Input'!$B$18,'IS Input'!$I$18,'IS Input'!$P$18,'IS Input'!$W$18,'IS Input'!$AD$18</c:f>
              <c:numCache>
                <c:formatCode>_(* #,##0.0_);_(* \(#,##0.0\);_(* \-??_);_(@_)</c:formatCode>
                <c:ptCount val="5"/>
                <c:pt idx="0">
                  <c:v>-6.238153</c:v>
                </c:pt>
                <c:pt idx="1">
                  <c:v>0</c:v>
                </c:pt>
                <c:pt idx="4">
                  <c:v>-6.238153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Input'!$E$18,'IS Input'!$L$18,'IS Input'!$S$18,'IS Input'!$Z$18,'IS Input'!$AG$18</c:f>
              <c:numCache>
                <c:formatCode>_(* #,##0.0_);_(* \(#,##0.0\);_(* \-??_);_(@_)</c:formatCode>
                <c:ptCount val="5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gapWidth val="150"/>
        <c:overlap val="0"/>
        <c:axId val="15437438"/>
        <c:axId val="31044302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Input'!$B$73:$F$73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437438"/>
        <c:axId val="31044302"/>
      </c:lineChart>
      <c:catAx>
        <c:axId val="154374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1044302"/>
        <c:crossesAt val="0"/>
        <c:auto val="1"/>
        <c:lblAlgn val="ctr"/>
        <c:lblOffset val="100"/>
        <c:noMultiLvlLbl val="0"/>
      </c:catAx>
      <c:valAx>
        <c:axId val="31044302"/>
        <c:scaling>
          <c:orientation val="minMax"/>
          <c:max val="20"/>
          <c:min val="-1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83479349186483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5437438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4317709535904"/>
          <c:y val="0.875719649561953"/>
          <c:w val="0.415454475486801"/>
          <c:h val="0.0838548185231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67477203647417"/>
          <c:y val="0.139685707158893"/>
          <c:w val="0.859346504559271"/>
          <c:h val="0.6753554502369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Input'!$C$18,'IS Input'!$J$18,'IS Input'!$Q$18,'IS Input'!$X$18,'IS Input'!$AE$18</c:f>
              <c:numCache>
                <c:formatCode>_(* #,##0.0_);_(* \(#,##0.0\);_(* \-??_);_(@_)</c:formatCode>
                <c:ptCount val="5"/>
                <c:pt idx="0">
                  <c:v>0.570503</c:v>
                </c:pt>
                <c:pt idx="1">
                  <c:v>0</c:v>
                </c:pt>
                <c:pt idx="4">
                  <c:v>0.570503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Input'!$F$18,'IS Input'!$M$18,'IS Input'!$T$18,'IS Input'!$AA$18,'IS Input'!$AH$18</c:f>
              <c:numCache>
                <c:formatCode>_(* #,##0.0_);_(* \(#,##0.0\);_(* \-??_);_(@_)</c:formatCode>
                <c:ptCount val="5"/>
                <c:pt idx="0">
                  <c:v>1.213619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1.213619</c:v>
                </c:pt>
              </c:numCache>
            </c:numRef>
          </c:val>
        </c:ser>
        <c:gapWidth val="150"/>
        <c:overlap val="0"/>
        <c:axId val="35539891"/>
        <c:axId val="65859501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Input'!$B$91:$F$91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5539891"/>
        <c:axId val="65859501"/>
      </c:lineChart>
      <c:catAx>
        <c:axId val="355398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5859501"/>
        <c:crossesAt val="0"/>
        <c:auto val="1"/>
        <c:lblAlgn val="ctr"/>
        <c:lblOffset val="100"/>
        <c:noMultiLvlLbl val="0"/>
      </c:catAx>
      <c:valAx>
        <c:axId val="65859501"/>
        <c:scaling>
          <c:orientation val="minMax"/>
          <c:max val="6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89969604863222"/>
              <c:y val="0.270266899476179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5539891"/>
        <c:crossesAt val="1"/>
        <c:crossBetween val="midCat"/>
        <c:majorUnit val="3"/>
        <c:minorUnit val="3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09498480243161"/>
          <c:y val="0.851583936143677"/>
          <c:w val="0.418161094224924"/>
          <c:h val="0.1011474183088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1157546371123"/>
          <c:y val="0.100850850850851"/>
          <c:w val="0.862002616793658"/>
          <c:h val="0.743993993993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Input'!$AL$21,'IS Input'!$AN$21,'IS Input'!$AP$21,'IS Input'!$AR$21,'IS Input'!$AT$21,'IS Input'!$AV$21,'IS Input'!$AX$21,'IS Input'!$AZ$21,'IS Input'!$BB$21,'IS Input'!$BD$21,'IS Input'!$BF$21,'IS Input'!$BH$21</c:f>
              <c:numCache>
                <c:formatCode>General</c:formatCode>
                <c:ptCount val="12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7.5</c:v>
                </c:pt>
                <c:pt idx="4">
                  <c:v>9</c:v>
                </c:pt>
                <c:pt idx="5">
                  <c:v>9</c:v>
                </c:pt>
                <c:pt idx="6">
                  <c:v>8</c:v>
                </c:pt>
                <c:pt idx="7">
                  <c:v>7</c:v>
                </c:pt>
                <c:pt idx="8">
                  <c:v>11</c:v>
                </c:pt>
              </c:numCache>
            </c:numRef>
          </c:val>
        </c:ser>
        <c:gapWidth val="150"/>
        <c:overlap val="0"/>
        <c:axId val="20413216"/>
        <c:axId val="76078940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Input'!$AM$21,'IS Input'!$AO$21,'IS Input'!$AQ$21,'IS Input'!$AS$21,'IS Input'!$AU$21,'IS Input'!$AW$21,'IS Input'!$AY$21,'IS Input'!$BA$21,'IS Input'!$BC$21,'IS Input'!$BE$21,'IS Input'!$BG$21,'IS Input'!$BI$21</c:f>
              <c:numCache>
                <c:formatCode>General</c:formatCode>
                <c:ptCount val="12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413216"/>
        <c:axId val="76078940"/>
      </c:lineChart>
      <c:catAx>
        <c:axId val="2041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6078940"/>
        <c:crossesAt val="0"/>
        <c:auto val="1"/>
        <c:lblAlgn val="ctr"/>
        <c:lblOffset val="100"/>
        <c:noMultiLvlLbl val="0"/>
      </c:catAx>
      <c:valAx>
        <c:axId val="7607894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0413216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9331178326791"/>
          <c:y val="0.88038038038038"/>
          <c:w val="0.325790810436389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7987377818826"/>
          <c:y val="0.091966966966967"/>
          <c:w val="0.899484337720311"/>
          <c:h val="0.750250250250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Input'!$D$18,'IS Input'!$K$18,'IS Input'!$R$18,'IS Input'!$Y$18,'IS Input'!$AF$18</c:f>
              <c:numCache>
                <c:formatCode>_(* #,##0.0_);_(* \(#,##0.0\);_(* \-??_);_(@_)</c:formatCode>
                <c:ptCount val="5"/>
                <c:pt idx="0">
                  <c:v>-7.560353</c:v>
                </c:pt>
                <c:pt idx="1">
                  <c:v>0</c:v>
                </c:pt>
                <c:pt idx="4">
                  <c:v>-7.560353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Input'!$G$18,'IS Input'!$N$18,'IS Input'!$U$18,'IS Input'!$AB$18,'IS Input'!$AI$18</c:f>
              <c:numCache>
                <c:formatCode>_(* #,##0.0_);_(* \(#,##0.0\);_(* \-??_);_(@_)</c:formatCode>
                <c:ptCount val="5"/>
                <c:pt idx="0">
                  <c:v>2.915624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2.915624</c:v>
                </c:pt>
              </c:numCache>
            </c:numRef>
          </c:val>
        </c:ser>
        <c:gapWidth val="150"/>
        <c:overlap val="0"/>
        <c:axId val="14364193"/>
        <c:axId val="15538284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Input'!$B$109:$F$109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4364193"/>
        <c:axId val="15538284"/>
      </c:lineChart>
      <c:catAx>
        <c:axId val="143641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5538284"/>
        <c:crossesAt val="0"/>
        <c:auto val="1"/>
        <c:lblAlgn val="ctr"/>
        <c:lblOffset val="100"/>
        <c:noMultiLvlLbl val="0"/>
      </c:catAx>
      <c:valAx>
        <c:axId val="15538284"/>
        <c:scaling>
          <c:orientation val="minMax"/>
          <c:max val="15"/>
          <c:min val="-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5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4364193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90387131532364"/>
          <c:y val="0.859234234234234"/>
          <c:w val="0.429000230893558"/>
          <c:h val="0.097097097097097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Physical Sales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47433233279458"/>
          <c:y val="0.118272841051314"/>
          <c:w val="0.87208496882937"/>
          <c:h val="0.7763454317897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Input'!$B$12,'volumes Input'!$G$12,'volumes Input'!$L$12,'volumes Input'!$Q$12,'volumes Input'!$V$12,'volumes Input'!$AA$12,'volumes Input'!$AF$12,'volumes Input'!$AK$12,'volumes Input'!$AP$12,'volumes Input'!$AU$12,'volumes Input'!$AZ$12,'volumes Input'!$BE$12</c:f>
              <c:numCache>
                <c:formatCode>_(* #,##0_);_(* \(#,##0\);_(* \-??_);_(@_)</c:formatCode>
                <c:ptCount val="12"/>
                <c:pt idx="0">
                  <c:v>6936.721</c:v>
                </c:pt>
                <c:pt idx="1">
                  <c:v>6270.981</c:v>
                </c:pt>
                <c:pt idx="2">
                  <c:v>6325.113</c:v>
                </c:pt>
                <c:pt idx="3">
                  <c:v>8004.107</c:v>
                </c:pt>
                <c:pt idx="4">
                  <c:v>5662.816</c:v>
                </c:pt>
                <c:pt idx="5">
                  <c:v>8026.946</c:v>
                </c:pt>
                <c:pt idx="6">
                  <c:v>7527.629</c:v>
                </c:pt>
                <c:pt idx="7">
                  <c:v>7200.54</c:v>
                </c:pt>
                <c:pt idx="8">
                  <c:v>7909.201</c:v>
                </c:pt>
              </c:numCache>
            </c:numRef>
          </c:val>
        </c:ser>
        <c:gapWidth val="150"/>
        <c:overlap val="0"/>
        <c:axId val="51841182"/>
        <c:axId val="30080361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Input'!$B$20,'volumes Input'!$G$20,'volumes Input'!$L$20,'volumes Input'!$Q$20,'volumes Input'!$V$20,'volumes Input'!$AA$20,'volumes Input'!$AF$20,'volumes Input'!$AK$20,'volumes Input'!$AP$20,'volumes Input'!$AU$20,'volumes Input'!$AZ$20,'volumes Input'!$BE$20</c:f>
              <c:numCache>
                <c:formatCode>_(* #,##0_);_(* \(#,##0\);_(* \-??_);_(@_)</c:formatCode>
                <c:ptCount val="12"/>
                <c:pt idx="0">
                  <c:v>2692.75</c:v>
                </c:pt>
                <c:pt idx="1">
                  <c:v>2549.831</c:v>
                </c:pt>
                <c:pt idx="2">
                  <c:v>2692.487</c:v>
                </c:pt>
                <c:pt idx="3">
                  <c:v>2809.562</c:v>
                </c:pt>
                <c:pt idx="4">
                  <c:v>2954.256</c:v>
                </c:pt>
                <c:pt idx="5">
                  <c:v>3265.875</c:v>
                </c:pt>
                <c:pt idx="6">
                  <c:v>2893.06</c:v>
                </c:pt>
                <c:pt idx="7">
                  <c:v>3103.223</c:v>
                </c:pt>
                <c:pt idx="8">
                  <c:v>3022.793</c:v>
                </c:pt>
                <c:pt idx="9">
                  <c:v>4236.09</c:v>
                </c:pt>
                <c:pt idx="10">
                  <c:v>5082.321</c:v>
                </c:pt>
                <c:pt idx="11">
                  <c:v>5140.719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841182"/>
        <c:axId val="30080361"/>
      </c:lineChart>
      <c:catAx>
        <c:axId val="518411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0080361"/>
        <c:crossesAt val="0"/>
        <c:auto val="1"/>
        <c:lblAlgn val="ctr"/>
        <c:lblOffset val="100"/>
        <c:noMultiLvlLbl val="0"/>
      </c:catAx>
      <c:valAx>
        <c:axId val="30080361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(000's Tonnes)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00638297872340426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184118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74532440544909"/>
          <c:y val="0.863078848560701"/>
          <c:w val="0.496882936966059"/>
          <c:h val="0.0838548185231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2188449848024"/>
          <c:y val="0.134322773759042"/>
          <c:w val="0.879787234042553"/>
          <c:h val="0.759915190820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Input'!$D$12,'volumes Input'!$I$12,'volumes Input'!$N$12,'volumes Input'!$S$12,'volumes Input'!$X$12,'volumes Input'!$AC$12,'volumes Input'!$AH$12,'volumes Input'!$AM$12,'volumes Input'!$AR$12,'volumes Input'!$AW$12,'volumes Input'!$BB$12,'volumes Input'!$BG$12</c:f>
              <c:numCache>
                <c:formatCode>_(* #,##0_);_(* \(#,##0\);_(* \-??_);_(@_)</c:formatCode>
                <c:ptCount val="12"/>
                <c:pt idx="0">
                  <c:v>331</c:v>
                </c:pt>
                <c:pt idx="1">
                  <c:v>220</c:v>
                </c:pt>
                <c:pt idx="2">
                  <c:v>189</c:v>
                </c:pt>
                <c:pt idx="3">
                  <c:v>116</c:v>
                </c:pt>
                <c:pt idx="4">
                  <c:v>144</c:v>
                </c:pt>
                <c:pt idx="5">
                  <c:v>125</c:v>
                </c:pt>
                <c:pt idx="6">
                  <c:v>372</c:v>
                </c:pt>
                <c:pt idx="7">
                  <c:v>909</c:v>
                </c:pt>
                <c:pt idx="8">
                  <c:v>468</c:v>
                </c:pt>
              </c:numCache>
            </c:numRef>
          </c:val>
        </c:ser>
        <c:gapWidth val="150"/>
        <c:overlap val="0"/>
        <c:axId val="94811912"/>
        <c:axId val="86761252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Input'!$D$20,'volumes Input'!$I$20,'volumes Input'!$N$20,'volumes Input'!$S$20,'volumes Input'!$X$20,'volumes Input'!$AC$20,'volumes Input'!$AH$20,'volumes Input'!$AM$20,'volumes Input'!$AR$20,'volumes Input'!$AW$20,'volumes Input'!$BB$20,'volumes Input'!$BG$20</c:f>
              <c:numCache>
                <c:formatCode>_(* #,##0_);_(* \(#,##0\);_(* \-??_);_(@_)</c:formatCode>
                <c:ptCount val="12"/>
                <c:pt idx="0">
                  <c:v>93</c:v>
                </c:pt>
                <c:pt idx="1">
                  <c:v>92</c:v>
                </c:pt>
                <c:pt idx="2">
                  <c:v>81</c:v>
                </c:pt>
                <c:pt idx="3">
                  <c:v>96</c:v>
                </c:pt>
                <c:pt idx="4">
                  <c:v>90</c:v>
                </c:pt>
                <c:pt idx="5">
                  <c:v>71</c:v>
                </c:pt>
                <c:pt idx="6">
                  <c:v>106</c:v>
                </c:pt>
                <c:pt idx="7">
                  <c:v>473</c:v>
                </c:pt>
                <c:pt idx="8">
                  <c:v>473</c:v>
                </c:pt>
                <c:pt idx="9">
                  <c:v>955</c:v>
                </c:pt>
                <c:pt idx="10">
                  <c:v>421</c:v>
                </c:pt>
                <c:pt idx="11">
                  <c:v>332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4811912"/>
        <c:axId val="86761252"/>
      </c:lineChart>
      <c:catAx>
        <c:axId val="94811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6761252"/>
        <c:crossesAt val="0"/>
        <c:auto val="1"/>
        <c:lblAlgn val="ctr"/>
        <c:lblOffset val="100"/>
        <c:noMultiLvlLbl val="0"/>
      </c:catAx>
      <c:valAx>
        <c:axId val="86761252"/>
        <c:scaling>
          <c:orientation val="minMax"/>
          <c:min val="0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4811912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25661094224924"/>
          <c:y val="0.884010975305563"/>
          <c:w val="0.530775075987842"/>
          <c:h val="0.07919680718383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EOL 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33471869468175"/>
          <c:y val="0.120620620620621"/>
          <c:w val="0.885553759716771"/>
          <c:h val="0.7772772772772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Input'!$E$12,'volumes Input'!$J$12,'volumes Input'!$O$12,'volumes Input'!$T$12,'volumes Input'!$Y$12,'volumes Input'!$AD$12,'volumes Input'!$AI$12,'volumes Input'!$AN$12,'volumes Input'!$AS$12,'volumes Input'!$AX$12,'volumes Input'!$BC$12,'volumes Input'!$BH$12</c:f>
              <c:numCache>
                <c:formatCode>_(* #,##0_);_(* \(#,##0\);_(* \-??_);_(@_)</c:formatCode>
                <c:ptCount val="12"/>
                <c:pt idx="0">
                  <c:v>130</c:v>
                </c:pt>
                <c:pt idx="1">
                  <c:v>46</c:v>
                </c:pt>
                <c:pt idx="2">
                  <c:v>11</c:v>
                </c:pt>
                <c:pt idx="3">
                  <c:v>15</c:v>
                </c:pt>
                <c:pt idx="4">
                  <c:v>10</c:v>
                </c:pt>
                <c:pt idx="5">
                  <c:v>6</c:v>
                </c:pt>
                <c:pt idx="6">
                  <c:v>43</c:v>
                </c:pt>
                <c:pt idx="7">
                  <c:v>203</c:v>
                </c:pt>
                <c:pt idx="8">
                  <c:v>116</c:v>
                </c:pt>
              </c:numCache>
            </c:numRef>
          </c:val>
        </c:ser>
        <c:gapWidth val="150"/>
        <c:overlap val="100"/>
        <c:axId val="7505683"/>
        <c:axId val="96056789"/>
      </c:barChart>
      <c:lineChart>
        <c:grouping val="stacke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Input'!$E$20,'volumes Input'!$J$20,'volumes Input'!$O$20,'volumes Input'!$T$20,'volumes Input'!$Y$20,'volumes Input'!$AD$20,'volumes Input'!$AI$20,'volumes Input'!$AN$20,'volumes Input'!$AS$20,'volumes Input'!$AX$20,'volumes Input'!$BC$20,'volumes Input'!$BH$20</c:f>
              <c:numCache>
                <c:formatCode>_(* #,##0_);_(* \(#,##0\);_(* \-??_);_(@_)</c:formatCode>
                <c:ptCount val="12"/>
                <c:pt idx="0">
                  <c:v>38</c:v>
                </c:pt>
                <c:pt idx="1">
                  <c:v>26</c:v>
                </c:pt>
                <c:pt idx="2">
                  <c:v>20</c:v>
                </c:pt>
                <c:pt idx="3">
                  <c:v>31</c:v>
                </c:pt>
                <c:pt idx="4">
                  <c:v>13</c:v>
                </c:pt>
                <c:pt idx="5">
                  <c:v>15</c:v>
                </c:pt>
                <c:pt idx="6">
                  <c:v>79</c:v>
                </c:pt>
                <c:pt idx="7">
                  <c:v>380</c:v>
                </c:pt>
                <c:pt idx="8">
                  <c:v>385</c:v>
                </c:pt>
                <c:pt idx="9">
                  <c:v>817</c:v>
                </c:pt>
                <c:pt idx="10">
                  <c:v>208</c:v>
                </c:pt>
                <c:pt idx="11">
                  <c:v>164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05683"/>
        <c:axId val="96056789"/>
      </c:lineChart>
      <c:catAx>
        <c:axId val="75056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6056789"/>
        <c:crossesAt val="0"/>
        <c:auto val="1"/>
        <c:lblAlgn val="ctr"/>
        <c:lblOffset val="100"/>
        <c:noMultiLvlLbl val="0"/>
      </c:catAx>
      <c:valAx>
        <c:axId val="96056789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50568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8479181097514"/>
          <c:y val="0.886261261261261"/>
          <c:w val="0.35026552759178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YTD Current 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3439544370045"/>
          <c:y val="0.146396396396396"/>
          <c:w val="0.930501039021011"/>
          <c:h val="0.6136136136136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"Actual-to-Date"</c:f>
              <c:strCache>
                <c:ptCount val="1"/>
                <c:pt idx="0">
                  <c:v>Actual-to-Date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'IS Input'!$E$35:$E$44</c:f>
              <c:numCache>
                <c:formatCode>_(* #,##0.0_);_(* \(#,##0.0\);_(* \-??_);_(@_)</c:formatCode>
                <c:ptCount val="10"/>
                <c:pt idx="0">
                  <c:v>115.906197</c:v>
                </c:pt>
                <c:pt idx="1">
                  <c:v>73.83971885</c:v>
                </c:pt>
                <c:pt idx="2">
                  <c:v>27.94</c:v>
                </c:pt>
                <c:pt idx="3">
                  <c:v>5.26551028</c:v>
                </c:pt>
                <c:pt idx="4">
                  <c:v>40.678207</c:v>
                </c:pt>
                <c:pt idx="5">
                  <c:v>2.917579</c:v>
                </c:pt>
                <c:pt idx="6">
                  <c:v>5.503734</c:v>
                </c:pt>
                <c:pt idx="7">
                  <c:v>0.000849</c:v>
                </c:pt>
                <c:pt idx="8">
                  <c:v>-24.927075</c:v>
                </c:pt>
                <c:pt idx="9">
                  <c:v>247.12472013</c:v>
                </c:pt>
              </c:numCache>
            </c:numRef>
          </c:val>
        </c:ser>
        <c:ser>
          <c:idx val="1"/>
          <c:order val="1"/>
          <c:tx>
            <c:strRef>
              <c:f>"Plan thru Qtr End"</c:f>
              <c:strCache>
                <c:ptCount val="1"/>
                <c:pt idx="0">
                  <c:v>Plan thru Qtr End</c:v>
                </c:pt>
              </c:strCache>
            </c:strRef>
          </c:tx>
          <c:spPr>
            <a:solidFill>
              <a:srgbClr val="80008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'IS Input'!$L$35:$L$44</c:f>
              <c:numCache>
                <c:formatCode>_(* #,##0.0_);_(* \(#,##0.0\);_(* \-??_);_(@_)</c:formatCode>
                <c:ptCount val="10"/>
                <c:pt idx="0">
                  <c:v>150</c:v>
                </c:pt>
                <c:pt idx="1">
                  <c:v>75</c:v>
                </c:pt>
                <c:pt idx="2">
                  <c:v>33.000002</c:v>
                </c:pt>
                <c:pt idx="3">
                  <c:v>37.5</c:v>
                </c:pt>
                <c:pt idx="4">
                  <c:v>104.415</c:v>
                </c:pt>
                <c:pt idx="5">
                  <c:v>20.8215</c:v>
                </c:pt>
                <c:pt idx="6">
                  <c:v>60.513998</c:v>
                </c:pt>
                <c:pt idx="7">
                  <c:v>7.5</c:v>
                </c:pt>
                <c:pt idx="8">
                  <c:v>19.276197</c:v>
                </c:pt>
                <c:pt idx="9">
                  <c:v>508.026697</c:v>
                </c:pt>
              </c:numCache>
            </c:numRef>
          </c:val>
        </c:ser>
        <c:gapWidth val="150"/>
        <c:overlap val="0"/>
        <c:axId val="10746732"/>
        <c:axId val="98615363"/>
      </c:barChart>
      <c:catAx>
        <c:axId val="107467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98615363"/>
        <c:crossesAt val="0"/>
        <c:auto val="1"/>
        <c:lblAlgn val="ctr"/>
        <c:lblOffset val="100"/>
        <c:noMultiLvlLbl val="0"/>
      </c:catAx>
      <c:valAx>
        <c:axId val="9861536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71396396396396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074673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54806434233818"/>
          <c:y val="0.872372372372372"/>
          <c:w val="0.35026552759178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Financial Sales 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43217569724143"/>
          <c:y val="0.152402402402402"/>
          <c:w val="0.885781594346075"/>
          <c:h val="0.7271021021021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Input'!$C$12,'volumes Input'!$H$12,'volumes Input'!$M$12,'volumes Input'!$R$12,'volumes Input'!$W$12,'volumes Input'!$AB$12,'volumes Input'!$AG$12,'volumes Input'!$AL$12,'volumes Input'!$AQ$12,'volumes Input'!$AV$12,'volumes Input'!$BA$12,'volumes Input'!$BF$12</c:f>
              <c:numCache>
                <c:formatCode>_(* #,##0_);_(* \(#,##0\);_(* \-??_);_(@_)</c:formatCode>
                <c:ptCount val="12"/>
                <c:pt idx="0">
                  <c:v>767.6</c:v>
                </c:pt>
                <c:pt idx="1">
                  <c:v>1460</c:v>
                </c:pt>
                <c:pt idx="2">
                  <c:v>1795.8</c:v>
                </c:pt>
                <c:pt idx="3">
                  <c:v>240</c:v>
                </c:pt>
                <c:pt idx="4">
                  <c:v>2170.012</c:v>
                </c:pt>
                <c:pt idx="5">
                  <c:v>2483.6</c:v>
                </c:pt>
                <c:pt idx="6">
                  <c:v>287.5</c:v>
                </c:pt>
                <c:pt idx="7">
                  <c:v>277.5</c:v>
                </c:pt>
                <c:pt idx="8">
                  <c:v>277.5</c:v>
                </c:pt>
              </c:numCache>
            </c:numRef>
          </c:val>
        </c:ser>
        <c:gapWidth val="150"/>
        <c:overlap val="0"/>
        <c:axId val="82703459"/>
        <c:axId val="99741113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Input'!$C$20,'volumes Input'!$H$20,'volumes Input'!$M$20,'volumes Input'!$R$20,'volumes Input'!$W$20,'volumes Input'!$AB$20,'volumes Input'!$AG$20,'volumes Input'!$AL$20,'volumes Input'!$AQ$20,'volumes Input'!$AV$20,'volumes Input'!$BA$20,'volumes Input'!$BF$20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1980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2703459"/>
        <c:axId val="99741113"/>
      </c:lineChart>
      <c:catAx>
        <c:axId val="827034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9741113"/>
        <c:crossesAt val="0"/>
        <c:auto val="1"/>
        <c:lblAlgn val="ctr"/>
        <c:lblOffset val="100"/>
        <c:noMultiLvlLbl val="0"/>
      </c:catAx>
      <c:valAx>
        <c:axId val="99741113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(000's Tonnes)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270345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88623755604529"/>
          <c:y val="0.858983983983984"/>
          <c:w val="0.471844365073334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3439544370045"/>
          <c:y val="0.127723894697065"/>
          <c:w val="0.901408450704225"/>
          <c:h val="0.7267917873787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Input'!$B$5,'IS Input'!$I$5,'IS Input'!$P$5,'IS Input'!$W$5,'IS Input'!$AD$5</c:f>
              <c:numCache>
                <c:formatCode>_(* #,##0.0_);_(* \(#,##0.0\);_(* \-??_);_(@_)</c:formatCode>
                <c:ptCount val="5"/>
                <c:pt idx="0">
                  <c:v>8.725</c:v>
                </c:pt>
                <c:pt idx="1">
                  <c:v>8.858</c:v>
                </c:pt>
                <c:pt idx="2">
                  <c:v>8.926</c:v>
                </c:pt>
                <c:pt idx="3">
                  <c:v>1.431</c:v>
                </c:pt>
                <c:pt idx="4">
                  <c:v>27.94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Input'!$E$5,'IS Input'!$L$5,'IS Input'!$S$5,'IS Input'!$Z$5,'IS Input'!$AG$5</c:f>
              <c:numCache>
                <c:formatCode>_(* #,##0.0_);_(* \(#,##0.0\);_(* \-??_);_(@_)</c:formatCode>
                <c:ptCount val="5"/>
                <c:pt idx="0">
                  <c:v>8.509251</c:v>
                </c:pt>
                <c:pt idx="1">
                  <c:v>7.078819</c:v>
                </c:pt>
                <c:pt idx="2">
                  <c:v>8.659352</c:v>
                </c:pt>
                <c:pt idx="3">
                  <c:v>8.75258</c:v>
                </c:pt>
                <c:pt idx="4">
                  <c:v>33.000002</c:v>
                </c:pt>
              </c:numCache>
            </c:numRef>
          </c:val>
        </c:ser>
        <c:gapWidth val="150"/>
        <c:overlap val="0"/>
        <c:axId val="4411721"/>
        <c:axId val="42494856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Input'!$B$74:$F$74</c:f>
              <c:numCache>
                <c:formatCode>_(* #,##0.0_);_(* \(#,##0.0\);_(* \-??_);_(@_)</c:formatCode>
                <c:ptCount val="5"/>
                <c:pt idx="0">
                  <c:v>5.666</c:v>
                </c:pt>
                <c:pt idx="1">
                  <c:v>3.794</c:v>
                </c:pt>
                <c:pt idx="2">
                  <c:v>3.436</c:v>
                </c:pt>
                <c:pt idx="3">
                  <c:v>6.215</c:v>
                </c:pt>
                <c:pt idx="4">
                  <c:v>19.111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411721"/>
        <c:axId val="42494856"/>
      </c:lineChart>
      <c:catAx>
        <c:axId val="44117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2494856"/>
        <c:crossesAt val="0"/>
        <c:auto val="1"/>
        <c:lblAlgn val="ctr"/>
        <c:lblOffset val="100"/>
        <c:noMultiLvlLbl val="0"/>
      </c:catAx>
      <c:valAx>
        <c:axId val="42494856"/>
        <c:scaling>
          <c:orientation val="minMax"/>
          <c:max val="40"/>
          <c:min val="-1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227862451190326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411721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7555606865235"/>
          <c:y val="0.818994835621615"/>
          <c:w val="0.409989994612484"/>
          <c:h val="0.079984884746189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layout>
        <c:manualLayout>
          <c:xMode val="edge"/>
          <c:yMode val="edge"/>
          <c:x val="0.338905775075988"/>
          <c:y val="0.059740583686704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4164133738602"/>
          <c:y val="0.139436268396109"/>
          <c:w val="0.885258358662614"/>
          <c:h val="0.7233724120728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Input'!$C$5,'IS Input'!$J$5,'IS Input'!$Q$5,'IS Input'!$X$5,'IS Input'!$AE$5</c:f>
              <c:numCache>
                <c:formatCode>_(* #,##0.0_);_(* \(#,##0.0\);_(* \-??_);_(@_)</c:formatCode>
                <c:ptCount val="5"/>
                <c:pt idx="0">
                  <c:v>1.721372</c:v>
                </c:pt>
                <c:pt idx="1">
                  <c:v>1.489305</c:v>
                </c:pt>
                <c:pt idx="2">
                  <c:v>2.560499</c:v>
                </c:pt>
                <c:pt idx="3">
                  <c:v>1.860081</c:v>
                </c:pt>
                <c:pt idx="4">
                  <c:v>7.631257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Input'!$F$5,'IS Input'!$M$5,'IS Input'!$T$5,'IS Input'!$AA$5,'IS Input'!$AH$5</c:f>
              <c:numCache>
                <c:formatCode>_(* #,##0.0_);_(* \(#,##0.0\);_(* \-??_);_(@_)</c:formatCode>
                <c:ptCount val="5"/>
                <c:pt idx="0">
                  <c:v>1.808523</c:v>
                </c:pt>
                <c:pt idx="1">
                  <c:v>1.463007</c:v>
                </c:pt>
                <c:pt idx="2">
                  <c:v>1.527724</c:v>
                </c:pt>
                <c:pt idx="3">
                  <c:v>1.560081</c:v>
                </c:pt>
                <c:pt idx="4">
                  <c:v>6.359335</c:v>
                </c:pt>
              </c:numCache>
            </c:numRef>
          </c:val>
        </c:ser>
        <c:gapWidth val="150"/>
        <c:overlap val="0"/>
        <c:axId val="74017338"/>
        <c:axId val="58750894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Input'!$B$92:$F$92</c:f>
              <c:numCache>
                <c:formatCode>_(* #,##0.0_);_(* \(#,##0.0\);_(* \-??_);_(@_)</c:formatCode>
                <c:ptCount val="5"/>
                <c:pt idx="0">
                  <c:v>1.927</c:v>
                </c:pt>
                <c:pt idx="1">
                  <c:v>0.688</c:v>
                </c:pt>
                <c:pt idx="2">
                  <c:v>0.642</c:v>
                </c:pt>
                <c:pt idx="3">
                  <c:v>1.131</c:v>
                </c:pt>
                <c:pt idx="4">
                  <c:v>4.388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017338"/>
        <c:axId val="58750894"/>
      </c:lineChart>
      <c:catAx>
        <c:axId val="740173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8750894"/>
        <c:crossesAt val="0"/>
        <c:auto val="1"/>
        <c:lblAlgn val="ctr"/>
        <c:lblOffset val="100"/>
        <c:noMultiLvlLbl val="0"/>
      </c:catAx>
      <c:valAx>
        <c:axId val="58750894"/>
        <c:scaling>
          <c:orientation val="minMax"/>
          <c:max val="8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89969604863222"/>
              <c:y val="0.289598403591918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4017338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92933130699088"/>
          <c:y val="0.93389872786231"/>
          <c:w val="0.412841945288754"/>
          <c:h val="0.092417061611374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9672131147541"/>
          <c:y val="0.127393317482167"/>
          <c:w val="0.839913799738321"/>
          <c:h val="0.7783756726317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Input'!$AL$6,'IS Input'!$AN$6,'IS Input'!$AP$6,'IS Input'!$AR$6,'IS Input'!$AT$6,'IS Input'!$AV$6,'IS Input'!$AX$6,'IS Input'!$AZ$6,'IS Input'!$BB$6,'IS Input'!$BD$6,'IS Input'!$BF$6,'IS Input'!$BH$6</c:f>
              <c:numCache>
                <c:formatCode>General</c:formatCode>
                <c:ptCount val="12"/>
                <c:pt idx="0">
                  <c:v>27</c:v>
                </c:pt>
                <c:pt idx="1">
                  <c:v>19</c:v>
                </c:pt>
                <c:pt idx="2">
                  <c:v>21</c:v>
                </c:pt>
                <c:pt idx="3">
                  <c:v>23</c:v>
                </c:pt>
                <c:pt idx="4">
                  <c:v>27</c:v>
                </c:pt>
                <c:pt idx="5">
                  <c:v>25</c:v>
                </c:pt>
                <c:pt idx="6">
                  <c:v>31</c:v>
                </c:pt>
                <c:pt idx="7">
                  <c:v>34</c:v>
                </c:pt>
                <c:pt idx="8">
                  <c:v>40</c:v>
                </c:pt>
              </c:numCache>
            </c:numRef>
          </c:val>
        </c:ser>
        <c:gapWidth val="150"/>
        <c:overlap val="0"/>
        <c:axId val="53222166"/>
        <c:axId val="80487423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5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6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7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9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Input'!$AM$6,'IS Input'!$AO$6,'IS Input'!$AQ$6,'IS Input'!$AS$6,'IS Input'!$AU$6,'IS Input'!$AW$6,'IS Input'!$AY$6,'IS Input'!$BA$6,'IS Input'!$BC$6,'IS Input'!$BE$6,'IS Input'!$BG$6,'IS Input'!$BI$6</c:f>
              <c:numCache>
                <c:formatCode>General</c:formatCode>
                <c:ptCount val="12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26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3222166"/>
        <c:axId val="80487423"/>
      </c:lineChart>
      <c:catAx>
        <c:axId val="532221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0487423"/>
        <c:crossesAt val="0"/>
        <c:auto val="1"/>
        <c:lblAlgn val="ctr"/>
        <c:lblOffset val="100"/>
        <c:noMultiLvlLbl val="0"/>
      </c:catAx>
      <c:valAx>
        <c:axId val="80487423"/>
        <c:scaling>
          <c:orientation val="minMax"/>
          <c:max val="4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3222166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3558839375048"/>
          <c:y val="0.958578400700788"/>
          <c:w val="0.35026552759178"/>
          <c:h val="0.07508447002878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29113154495022"/>
          <c:y val="0.134134134134134"/>
          <c:w val="0.809787977809864"/>
          <c:h val="0.776276276276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numFmt formatCode="#,##0.0_);\(#,##0.0\)" sourceLinked="1"/>
            <c:dLbl>
              <c:idx val="1"/>
              <c:numFmt formatCode="#,##0.0_);\(#,##0.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#,##0.0_);\(#,##0.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Input'!$D$5,'IS Input'!$K$5,'IS Input'!$R$5,'IS Input'!$Y$5,'IS Input'!$AF$5</c:f>
              <c:numCache>
                <c:formatCode>_(* #,##0.0_);_(* \(#,##0.0\);_(* \-??_);_(@_)</c:formatCode>
                <c:ptCount val="5"/>
                <c:pt idx="0">
                  <c:v>5.839069</c:v>
                </c:pt>
                <c:pt idx="1">
                  <c:v>6.646931</c:v>
                </c:pt>
                <c:pt idx="2">
                  <c:v>5.161736</c:v>
                </c:pt>
                <c:pt idx="3">
                  <c:v>-2.205833</c:v>
                </c:pt>
                <c:pt idx="4">
                  <c:v>15.441903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Input'!$G$5,'IS Input'!$N$5,'IS Input'!$U$5,'IS Input'!$AB$5,'IS Input'!$AI$5</c:f>
              <c:numCache>
                <c:formatCode>_(* #,##0.0_);_(* \(#,##0.0\);_(* \-??_);_(@_)</c:formatCode>
                <c:ptCount val="5"/>
                <c:pt idx="0">
                  <c:v>4.460982</c:v>
                </c:pt>
                <c:pt idx="1">
                  <c:v>3.838187</c:v>
                </c:pt>
                <c:pt idx="2">
                  <c:v>5.352897</c:v>
                </c:pt>
                <c:pt idx="3">
                  <c:v>5.415747</c:v>
                </c:pt>
                <c:pt idx="4">
                  <c:v>19.067813</c:v>
                </c:pt>
              </c:numCache>
            </c:numRef>
          </c:val>
        </c:ser>
        <c:gapWidth val="150"/>
        <c:overlap val="0"/>
        <c:axId val="75075115"/>
        <c:axId val="30090512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Input'!$B$110:$F$110</c:f>
              <c:numCache>
                <c:formatCode>_(* #,##0.0_);_(* \(#,##0.0\);_(* \-??_);_(@_)</c:formatCode>
                <c:ptCount val="5"/>
                <c:pt idx="0">
                  <c:v>3.057</c:v>
                </c:pt>
                <c:pt idx="1">
                  <c:v>2.397</c:v>
                </c:pt>
                <c:pt idx="2">
                  <c:v>2.235</c:v>
                </c:pt>
                <c:pt idx="3">
                  <c:v>3.676</c:v>
                </c:pt>
                <c:pt idx="4">
                  <c:v>11.365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075115"/>
        <c:axId val="30090512"/>
      </c:lineChart>
      <c:catAx>
        <c:axId val="750751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0090512"/>
        <c:crossesAt val="0"/>
        <c:auto val="1"/>
        <c:lblAlgn val="ctr"/>
        <c:lblOffset val="100"/>
        <c:noMultiLvlLbl val="0"/>
      </c:catAx>
      <c:valAx>
        <c:axId val="30090512"/>
        <c:scaling>
          <c:orientation val="minMax"/>
          <c:max val="30"/>
          <c:min val="-1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89984041340527"/>
              <c:y val="0.30155155155155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5075115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7076525571852"/>
          <c:y val="0.899149149149149"/>
          <c:w val="0.428907971730375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Transaction Count</a:t>
            </a:r>
          </a:p>
        </c:rich>
      </c:tx>
      <c:layout>
        <c:manualLayout>
          <c:xMode val="edge"/>
          <c:yMode val="edge"/>
          <c:x val="0.320313093700129"/>
          <c:y val="0.059740583686704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8778782582263"/>
          <c:y val="0.131080069842854"/>
          <c:w val="0.884337715631887"/>
          <c:h val="0.7318533300074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Input'!$D$13,'volumes Input'!$I$13,'volumes Input'!$N$13,'volumes Input'!$S$13,'volumes Input'!$X$13,'volumes Input'!$AC$13,'volumes Input'!$AH$13,'volumes Input'!$AM$13,'volumes Input'!$AR$13,'volumes Input'!$AW$13,'volumes Input'!$BB$13,'volumes Input'!$BG$13</c:f>
              <c:numCache>
                <c:formatCode>_(* #,##0_);_(* \(#,##0\);_(* \-??_);_(@_)</c:formatCode>
                <c:ptCount val="12"/>
                <c:pt idx="0">
                  <c:v>138</c:v>
                </c:pt>
                <c:pt idx="1">
                  <c:v>154</c:v>
                </c:pt>
                <c:pt idx="2">
                  <c:v>86</c:v>
                </c:pt>
                <c:pt idx="3">
                  <c:v>58</c:v>
                </c:pt>
                <c:pt idx="4">
                  <c:v>123</c:v>
                </c:pt>
                <c:pt idx="5">
                  <c:v>147</c:v>
                </c:pt>
                <c:pt idx="6">
                  <c:v>142</c:v>
                </c:pt>
                <c:pt idx="7">
                  <c:v>135</c:v>
                </c:pt>
                <c:pt idx="8">
                  <c:v>77</c:v>
                </c:pt>
              </c:numCache>
            </c:numRef>
          </c:val>
        </c:ser>
        <c:gapWidth val="150"/>
        <c:overlap val="0"/>
        <c:axId val="13290942"/>
        <c:axId val="55216471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Input'!$D$21,'volumes Input'!$I$21,'volumes Input'!$N$21,'volumes Input'!$S$21,'volumes Input'!$X$21,'volumes Input'!$AC$21,'volumes Input'!$AH$21,'volumes Input'!$AM$21,'volumes Input'!$AR$21,'volumes Input'!$AW$21,'volumes Input'!$BB$21,'volumes Input'!$BG$21</c:f>
              <c:numCache>
                <c:formatCode>_(* #,##0_);_(* \(#,##0\);_(* \-??_);_(@_)</c:formatCode>
                <c:ptCount val="12"/>
                <c:pt idx="0">
                  <c:v>58</c:v>
                </c:pt>
                <c:pt idx="1">
                  <c:v>129</c:v>
                </c:pt>
                <c:pt idx="2">
                  <c:v>63</c:v>
                </c:pt>
                <c:pt idx="3">
                  <c:v>25</c:v>
                </c:pt>
                <c:pt idx="4">
                  <c:v>167</c:v>
                </c:pt>
                <c:pt idx="5">
                  <c:v>179</c:v>
                </c:pt>
                <c:pt idx="6">
                  <c:v>192</c:v>
                </c:pt>
                <c:pt idx="7">
                  <c:v>157</c:v>
                </c:pt>
                <c:pt idx="8">
                  <c:v>138</c:v>
                </c:pt>
                <c:pt idx="9">
                  <c:v>256</c:v>
                </c:pt>
                <c:pt idx="10">
                  <c:v>131</c:v>
                </c:pt>
                <c:pt idx="11">
                  <c:v>134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290942"/>
        <c:axId val="55216471"/>
      </c:lineChart>
      <c:catAx>
        <c:axId val="132909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5216471"/>
        <c:crossesAt val="0"/>
        <c:auto val="1"/>
        <c:lblAlgn val="ctr"/>
        <c:lblOffset val="100"/>
        <c:noMultiLvlLbl val="0"/>
      </c:catAx>
      <c:valAx>
        <c:axId val="55216471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329094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3746485295235"/>
          <c:y val="0.929159391369419"/>
          <c:w val="0.412873318641234"/>
          <c:h val="0.092417061611374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EOL 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9525935046945"/>
          <c:y val="0.127377377377377"/>
          <c:w val="0.857241803909497"/>
          <c:h val="0.7781531531531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Input'!$E$13,'volumes Input'!$J$13,'volumes Input'!$O$13,'volumes Input'!$T$13,'volumes Input'!$Y$13,'volumes Input'!$AD$13,'volumes Input'!$AI$13,'volumes Input'!$AN$13,'volumes Input'!$AS$13,'volumes Input'!$AX$13,'volumes Input'!$BC$13,'volumes Input'!$BH$13</c:f>
              <c:numCache>
                <c:formatCode>_(* #,##0_);_(* \(#,##0\);_(* \-??_);_(@_)</c:formatCode>
                <c:ptCount val="12"/>
                <c:pt idx="0">
                  <c:v>62</c:v>
                </c:pt>
                <c:pt idx="1">
                  <c:v>50</c:v>
                </c:pt>
                <c:pt idx="2">
                  <c:v>27</c:v>
                </c:pt>
                <c:pt idx="3">
                  <c:v>32</c:v>
                </c:pt>
                <c:pt idx="4">
                  <c:v>82</c:v>
                </c:pt>
                <c:pt idx="5">
                  <c:v>90</c:v>
                </c:pt>
                <c:pt idx="6">
                  <c:v>58</c:v>
                </c:pt>
                <c:pt idx="7">
                  <c:v>63</c:v>
                </c:pt>
                <c:pt idx="8">
                  <c:v>42</c:v>
                </c:pt>
              </c:numCache>
            </c:numRef>
          </c:val>
        </c:ser>
        <c:gapWidth val="150"/>
        <c:overlap val="0"/>
        <c:axId val="36582329"/>
        <c:axId val="9667020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Input'!$E$21,'volumes Input'!$J$21,'volumes Input'!$O$21,'volumes Input'!$T$21,'volumes Input'!$Y$21,'volumes Input'!$AD$21,'volumes Input'!$AI$21,'volumes Input'!$AN$21,'volumes Input'!$AS$21,'volumes Input'!$AX$21,'volumes Input'!$BC$21,'volumes Input'!$BH$21</c:f>
              <c:numCache>
                <c:formatCode>_(* #,##0_);_(* \(#,##0\);_(* \-??_);_(@_)</c:formatCode>
                <c:ptCount val="12"/>
                <c:pt idx="0">
                  <c:v>35</c:v>
                </c:pt>
                <c:pt idx="1">
                  <c:v>60</c:v>
                </c:pt>
                <c:pt idx="2">
                  <c:v>29</c:v>
                </c:pt>
                <c:pt idx="3">
                  <c:v>14</c:v>
                </c:pt>
                <c:pt idx="4">
                  <c:v>142</c:v>
                </c:pt>
                <c:pt idx="5">
                  <c:v>241</c:v>
                </c:pt>
                <c:pt idx="6">
                  <c:v>124</c:v>
                </c:pt>
                <c:pt idx="7">
                  <c:v>126</c:v>
                </c:pt>
                <c:pt idx="8">
                  <c:v>54</c:v>
                </c:pt>
                <c:pt idx="9">
                  <c:v>28</c:v>
                </c:pt>
                <c:pt idx="10">
                  <c:v>54</c:v>
                </c:pt>
                <c:pt idx="11">
                  <c:v>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582329"/>
        <c:axId val="9667020"/>
      </c:lineChart>
      <c:catAx>
        <c:axId val="365823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667020"/>
        <c:crossesAt val="0"/>
        <c:auto val="1"/>
        <c:lblAlgn val="ctr"/>
        <c:lblOffset val="100"/>
        <c:noMultiLvlLbl val="0"/>
      </c:catAx>
      <c:valAx>
        <c:axId val="9667020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658232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322148684008"/>
          <c:y val="0.959584584584585"/>
          <c:w val="0.350238571648453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Financial Sales 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54255319148936"/>
          <c:y val="0.134525758911702"/>
          <c:w val="0.869376899696049"/>
          <c:h val="0.7750346391233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Input'!$C$13,'volumes Input'!$H$13,'volumes Input'!$M$13,'volumes Input'!$R$13,'volumes Input'!$W$13,'volumes Input'!$AB$13,'volumes Input'!$AG$13,'volumes Input'!$AL$13,'volumes Input'!$AQ$13,'volumes Input'!$AV$13,'volumes Input'!$BA$13,'volumes Input'!$BF$13</c:f>
              <c:numCache>
                <c:formatCode>_(* #,##0_);_(* \(#,##0\);_(* \-??_);_(@_)</c:formatCode>
                <c:ptCount val="12"/>
                <c:pt idx="0">
                  <c:v>62850</c:v>
                </c:pt>
                <c:pt idx="1">
                  <c:v>167500</c:v>
                </c:pt>
                <c:pt idx="2">
                  <c:v>59750</c:v>
                </c:pt>
                <c:pt idx="3">
                  <c:v>19350</c:v>
                </c:pt>
                <c:pt idx="4">
                  <c:v>56520</c:v>
                </c:pt>
                <c:pt idx="5">
                  <c:v>109335.9</c:v>
                </c:pt>
                <c:pt idx="6">
                  <c:v>113660</c:v>
                </c:pt>
                <c:pt idx="7">
                  <c:v>79850</c:v>
                </c:pt>
                <c:pt idx="8">
                  <c:v>110140</c:v>
                </c:pt>
              </c:numCache>
            </c:numRef>
          </c:val>
        </c:ser>
        <c:gapWidth val="150"/>
        <c:overlap val="0"/>
        <c:axId val="69958113"/>
        <c:axId val="33904960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Input'!$C$21,'volumes Input'!$H$21,'volumes Input'!$M$21,'volumes Input'!$R$21,'volumes Input'!$W$21,'volumes Input'!$AB$21,'volumes Input'!$AG$21,'volumes Input'!$AL$21,'volumes Input'!$AQ$21,'volumes Input'!$AV$21,'volumes Input'!$BA$21,'volumes Input'!$BF$21</c:f>
              <c:numCache>
                <c:formatCode>_(* #,##0_);_(* \(#,##0\);_(* \-??_);_(@_)</c:formatCode>
                <c:ptCount val="12"/>
                <c:pt idx="0">
                  <c:v>116753.047</c:v>
                </c:pt>
                <c:pt idx="1">
                  <c:v>137559.875</c:v>
                </c:pt>
                <c:pt idx="2">
                  <c:v>70954.87</c:v>
                </c:pt>
                <c:pt idx="3">
                  <c:v>5092.205</c:v>
                </c:pt>
                <c:pt idx="4">
                  <c:v>8410.276</c:v>
                </c:pt>
                <c:pt idx="5">
                  <c:v>9251.127</c:v>
                </c:pt>
                <c:pt idx="6">
                  <c:v>42465.187</c:v>
                </c:pt>
                <c:pt idx="7">
                  <c:v>26001.776</c:v>
                </c:pt>
                <c:pt idx="8">
                  <c:v>95942.337</c:v>
                </c:pt>
                <c:pt idx="9">
                  <c:v>27649.072</c:v>
                </c:pt>
                <c:pt idx="10">
                  <c:v>18296.405</c:v>
                </c:pt>
                <c:pt idx="11">
                  <c:v>40429.214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9958113"/>
        <c:axId val="33904960"/>
      </c:lineChart>
      <c:catAx>
        <c:axId val="6995811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3904960"/>
        <c:crossesAt val="0"/>
        <c:auto val="1"/>
        <c:lblAlgn val="ctr"/>
        <c:lblOffset val="100"/>
        <c:noMultiLvlLbl val="0"/>
      </c:catAx>
      <c:valAx>
        <c:axId val="33904960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(Notional Volume $000's)</a:t>
                </a:r>
              </a:p>
            </c:rich>
          </c:tx>
          <c:layout>
            <c:manualLayout>
              <c:xMode val="edge"/>
              <c:yMode val="edge"/>
              <c:x val="0.0190729483282675"/>
              <c:y val="-0.2665323088550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995811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2370820668693"/>
          <c:y val="0.883738506109082"/>
          <c:w val="0.42887537993921"/>
          <c:h val="0.084393500440861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56345724621"/>
          <c:y val="0.146396396396396"/>
          <c:w val="0.848764719464327"/>
          <c:h val="0.7292292292292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Input'!$B$6,'IS Input'!$I$6,'IS Input'!$P$6,'IS Input'!$W$6,'IS Input'!$AD$6</c:f>
              <c:numCache>
                <c:formatCode>_(* #,##0.0_);_(* \(#,##0.0\);_(* \-??_);_(@_)</c:formatCode>
                <c:ptCount val="5"/>
                <c:pt idx="0">
                  <c:v>1.67201528</c:v>
                </c:pt>
                <c:pt idx="1">
                  <c:v>2.550569</c:v>
                </c:pt>
                <c:pt idx="2">
                  <c:v>0.996886</c:v>
                </c:pt>
                <c:pt idx="3">
                  <c:v>0.04604</c:v>
                </c:pt>
                <c:pt idx="4">
                  <c:v>5.26551028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Input'!$E$6,'IS Input'!$L$6,'IS Input'!$S$6,'IS Input'!$Z$6,'IS Input'!$AG$6</c:f>
              <c:numCache>
                <c:formatCode>_(* #,##0.0_);_(* \(#,##0.0\);_(* \-??_);_(@_)</c:formatCode>
                <c:ptCount val="5"/>
                <c:pt idx="0">
                  <c:v>4.875</c:v>
                </c:pt>
                <c:pt idx="1">
                  <c:v>11.875</c:v>
                </c:pt>
                <c:pt idx="2">
                  <c:v>11.875</c:v>
                </c:pt>
                <c:pt idx="3">
                  <c:v>8.875</c:v>
                </c:pt>
                <c:pt idx="4">
                  <c:v>37.5</c:v>
                </c:pt>
              </c:numCache>
            </c:numRef>
          </c:val>
        </c:ser>
        <c:gapWidth val="150"/>
        <c:overlap val="0"/>
        <c:axId val="47825889"/>
        <c:axId val="69154030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Input'!$B$75:$F$75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1.22</c:v>
                </c:pt>
                <c:pt idx="2">
                  <c:v>0</c:v>
                </c:pt>
                <c:pt idx="3">
                  <c:v>0</c:v>
                </c:pt>
                <c:pt idx="4">
                  <c:v>1.22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825889"/>
        <c:axId val="69154030"/>
      </c:lineChart>
      <c:catAx>
        <c:axId val="478258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9154030"/>
        <c:crossesAt val="0"/>
        <c:auto val="1"/>
        <c:lblAlgn val="ctr"/>
        <c:lblOffset val="100"/>
        <c:noMultiLvlLbl val="0"/>
      </c:catAx>
      <c:valAx>
        <c:axId val="69154030"/>
        <c:scaling>
          <c:orientation val="minMax"/>
          <c:min val="-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9692192192192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7825889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5252058800893"/>
          <c:y val="0.851351351351351"/>
          <c:w val="0.418148233664281"/>
          <c:h val="0.09271771771771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9878419452888"/>
          <c:y val="0.128710401596408"/>
          <c:w val="0.883358662613982"/>
          <c:h val="0.744075829383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Input'!$C$6,'IS Input'!$J$6,'IS Input'!$Q$6,'IS Input'!$X$6,'IS Input'!$AE$6</c:f>
              <c:numCache>
                <c:formatCode>_(* #,##0.0_);_(* \(#,##0.0\);_(* \-??_);_(@_)</c:formatCode>
                <c:ptCount val="5"/>
                <c:pt idx="0">
                  <c:v>0.790135</c:v>
                </c:pt>
                <c:pt idx="1">
                  <c:v>1.299411</c:v>
                </c:pt>
                <c:pt idx="2">
                  <c:v>2.093127</c:v>
                </c:pt>
                <c:pt idx="3">
                  <c:v>2.517066</c:v>
                </c:pt>
                <c:pt idx="4">
                  <c:v>6.699739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Input'!$F$6,'IS Input'!$M$6,'IS Input'!$T$6,'IS Input'!$AA$6,'IS Input'!$AH$6</c:f>
              <c:numCache>
                <c:formatCode>_(* #,##0.0_);_(* \(#,##0.0\);_(* \-??_);_(@_)</c:formatCode>
                <c:ptCount val="5"/>
                <c:pt idx="0">
                  <c:v>1.802648</c:v>
                </c:pt>
                <c:pt idx="1">
                  <c:v>2.304122</c:v>
                </c:pt>
                <c:pt idx="2">
                  <c:v>2.517066</c:v>
                </c:pt>
                <c:pt idx="3">
                  <c:v>2.517066</c:v>
                </c:pt>
                <c:pt idx="4">
                  <c:v>9.140902</c:v>
                </c:pt>
              </c:numCache>
            </c:numRef>
          </c:val>
        </c:ser>
        <c:gapWidth val="150"/>
        <c:overlap val="0"/>
        <c:axId val="71681872"/>
        <c:axId val="30931677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Input'!$B$93:$F$93</c:f>
              <c:numCache>
                <c:formatCode>_(* #,##0.0_);_(* \(#,##0.0\);_(* \-??_);_(@_)</c:formatCode>
                <c:ptCount val="5"/>
                <c:pt idx="0">
                  <c:v>1.101</c:v>
                </c:pt>
                <c:pt idx="1">
                  <c:v>1.295</c:v>
                </c:pt>
                <c:pt idx="2">
                  <c:v>0.737</c:v>
                </c:pt>
                <c:pt idx="3">
                  <c:v>1.816</c:v>
                </c:pt>
                <c:pt idx="4">
                  <c:v>4.949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681872"/>
        <c:axId val="30931677"/>
      </c:lineChart>
      <c:catAx>
        <c:axId val="7168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0931677"/>
        <c:crossesAt val="0"/>
        <c:auto val="1"/>
        <c:lblAlgn val="ctr"/>
        <c:lblOffset val="100"/>
        <c:noMultiLvlLbl val="0"/>
      </c:catAx>
      <c:valAx>
        <c:axId val="30931677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1681872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3814589665653"/>
          <c:y val="0.851583936143677"/>
          <c:w val="0.410182370820669"/>
          <c:h val="0.092417061611374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Quarterly 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"/>
          <c:y val="0.139418880159621"/>
          <c:w val="0.939893617021277"/>
          <c:h val="0.735627883776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Input'!$B$47:$F$47</c:f>
              <c:numCache>
                <c:formatCode>_(* #,##0.0_);_(* \(#,##0.0\);_(* \-??_);_(@_)</c:formatCode>
                <c:ptCount val="5"/>
                <c:pt idx="0">
                  <c:v>100.66806961</c:v>
                </c:pt>
                <c:pt idx="1">
                  <c:v>94.20920152</c:v>
                </c:pt>
                <c:pt idx="2">
                  <c:v>82.53948</c:v>
                </c:pt>
                <c:pt idx="3">
                  <c:v>-30.292031</c:v>
                </c:pt>
                <c:pt idx="4">
                  <c:v>247.12472013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Input'!$I$47:$M$47</c:f>
              <c:numCache>
                <c:formatCode>_(* #,##0.0_);_(* \(#,##0.0\);_(* \-??_);_(@_)</c:formatCode>
                <c:ptCount val="5"/>
                <c:pt idx="0">
                  <c:v>97.29875</c:v>
                </c:pt>
                <c:pt idx="1">
                  <c:v>111.603422</c:v>
                </c:pt>
                <c:pt idx="2">
                  <c:v>123.813053</c:v>
                </c:pt>
                <c:pt idx="3">
                  <c:v>175.311472</c:v>
                </c:pt>
                <c:pt idx="4">
                  <c:v>508.026697</c:v>
                </c:pt>
              </c:numCache>
            </c:numRef>
          </c:val>
        </c:ser>
        <c:gapWidth val="150"/>
        <c:overlap val="0"/>
        <c:axId val="84031266"/>
        <c:axId val="29911541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Input'!$B$82:$F$82</c:f>
              <c:numCache>
                <c:formatCode>_(* #,##0.0_);_(* \(#,##0.0\);_(* \-??_);_(@_)</c:formatCode>
                <c:ptCount val="5"/>
                <c:pt idx="0">
                  <c:v>71.014</c:v>
                </c:pt>
                <c:pt idx="1">
                  <c:v>29.605</c:v>
                </c:pt>
                <c:pt idx="2">
                  <c:v>20.097</c:v>
                </c:pt>
                <c:pt idx="3">
                  <c:v>83.498</c:v>
                </c:pt>
                <c:pt idx="4">
                  <c:v>204.214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4031266"/>
        <c:axId val="29911541"/>
      </c:lineChart>
      <c:catAx>
        <c:axId val="840312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9911541"/>
        <c:crossesAt val="0"/>
        <c:auto val="1"/>
        <c:lblAlgn val="ctr"/>
        <c:lblOffset val="100"/>
        <c:noMultiLvlLbl val="0"/>
      </c:catAx>
      <c:valAx>
        <c:axId val="29911541"/>
        <c:scaling>
          <c:orientation val="minMax"/>
          <c:min val="-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 MM)</a:t>
                </a:r>
              </a:p>
            </c:rich>
          </c:tx>
          <c:layout>
            <c:manualLayout>
              <c:xMode val="edge"/>
              <c:yMode val="edge"/>
              <c:x val="0.0189969604863222"/>
              <c:y val="0.266866192792119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4031266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5273556231003"/>
          <c:y val="0.839132061354284"/>
          <c:w val="0.439665653495441"/>
          <c:h val="0.09240553684998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891864850304"/>
          <c:y val="0.1459141534226"/>
          <c:w val="0.853613484183791"/>
          <c:h val="0.7318233012138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Input'!$AL$7,'IS Input'!$AN$7,'IS Input'!$AP$7,'IS Input'!$AR$7,'IS Input'!$AT$7,'IS Input'!$AV$7,'IS Input'!$AX$7,'IS Input'!$AZ$7,'IS Input'!$BB$7,'IS Input'!$BD$7,'IS Input'!$BF$7,'IS Input'!$BH$7</c:f>
              <c:numCache>
                <c:formatCode>General</c:formatCode>
                <c:ptCount val="12"/>
                <c:pt idx="0">
                  <c:v>15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15</c:v>
                </c:pt>
                <c:pt idx="6">
                  <c:v>16</c:v>
                </c:pt>
                <c:pt idx="7">
                  <c:v>15</c:v>
                </c:pt>
                <c:pt idx="8">
                  <c:v>13</c:v>
                </c:pt>
              </c:numCache>
            </c:numRef>
          </c:val>
        </c:ser>
        <c:gapWidth val="150"/>
        <c:overlap val="0"/>
        <c:axId val="35088448"/>
        <c:axId val="86513024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5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5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Input'!$AM$7,'IS Input'!$AO$7,'IS Input'!$AQ$7,'IS Input'!$AS$7,'IS Input'!$AU$7,'IS Input'!$AW$7,'IS Input'!$AY$7,'IS Input'!$BA$7,'IS Input'!$BC$7,'IS Input'!$BE$7,'IS Input'!$BG$7,'IS Input'!$BI$7</c:f>
              <c:numCache>
                <c:formatCode>General</c:formatCode>
                <c:ptCount val="12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36</c:v>
                </c:pt>
                <c:pt idx="4">
                  <c:v>36</c:v>
                </c:pt>
                <c:pt idx="5">
                  <c:v>40</c:v>
                </c:pt>
                <c:pt idx="6">
                  <c:v>42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5088448"/>
        <c:axId val="86513024"/>
      </c:lineChart>
      <c:catAx>
        <c:axId val="3508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6513024"/>
        <c:crossesAt val="0"/>
        <c:auto val="1"/>
        <c:lblAlgn val="ctr"/>
        <c:lblOffset val="100"/>
        <c:noMultiLvlLbl val="0"/>
      </c:catAx>
      <c:valAx>
        <c:axId val="86513024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5088448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1717078426845"/>
          <c:y val="0.880615692654236"/>
          <c:w val="0.407296236435003"/>
          <c:h val="0.07508447002878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8335739797857"/>
          <c:y val="0.150775775775776"/>
          <c:w val="0.835017858499886"/>
          <c:h val="0.7214714714714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Input'!$D$6,'IS Input'!$K$6,'IS Input'!$R$6,'IS Input'!$Y$6,'IS Input'!$AF$6</c:f>
              <c:numCache>
                <c:formatCode>_(* #,##0.0_);_(* \(#,##0.0\);_(* \-??_);_(@_)</c:formatCode>
                <c:ptCount val="5"/>
                <c:pt idx="0">
                  <c:v>0.33799628</c:v>
                </c:pt>
                <c:pt idx="1">
                  <c:v>0.604991</c:v>
                </c:pt>
                <c:pt idx="2">
                  <c:v>-1.683844</c:v>
                </c:pt>
                <c:pt idx="3">
                  <c:v>-3.424368</c:v>
                </c:pt>
                <c:pt idx="4">
                  <c:v>-4.16522472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Input'!$G$6,'IS Input'!$N$6,'IS Input'!$U$6,'IS Input'!$AB$6,'IS Input'!$AI$6</c:f>
              <c:numCache>
                <c:formatCode>_(* #,##0.0_);_(* \(#,##0.0\);_(* \-??_);_(@_)</c:formatCode>
                <c:ptCount val="5"/>
                <c:pt idx="0">
                  <c:v>2.259021</c:v>
                </c:pt>
                <c:pt idx="1">
                  <c:v>8.615186</c:v>
                </c:pt>
                <c:pt idx="2">
                  <c:v>8.401542</c:v>
                </c:pt>
                <c:pt idx="3">
                  <c:v>5.404592</c:v>
                </c:pt>
                <c:pt idx="4">
                  <c:v>24.680341</c:v>
                </c:pt>
              </c:numCache>
            </c:numRef>
          </c:val>
        </c:ser>
        <c:gapWidth val="150"/>
        <c:overlap val="0"/>
        <c:axId val="52061046"/>
        <c:axId val="45133329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Input'!$B$111:$F$111</c:f>
              <c:numCache>
                <c:formatCode>_(* #,##0.0_);_(* \(#,##0.0\);_(* \-??_);_(@_)</c:formatCode>
                <c:ptCount val="5"/>
                <c:pt idx="0">
                  <c:v>-1.549</c:v>
                </c:pt>
                <c:pt idx="1">
                  <c:v>-0.528</c:v>
                </c:pt>
                <c:pt idx="2">
                  <c:v>-1.418</c:v>
                </c:pt>
                <c:pt idx="3">
                  <c:v>-3.099</c:v>
                </c:pt>
                <c:pt idx="4">
                  <c:v>-6.594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2061046"/>
        <c:axId val="45133329"/>
      </c:lineChart>
      <c:catAx>
        <c:axId val="5206104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5133329"/>
        <c:crossesAt val="0"/>
        <c:auto val="1"/>
        <c:lblAlgn val="ctr"/>
        <c:lblOffset val="100"/>
        <c:noMultiLvlLbl val="0"/>
      </c:catAx>
      <c:valAx>
        <c:axId val="45133329"/>
        <c:scaling>
          <c:orientation val="minMax"/>
          <c:max val="30"/>
          <c:min val="-1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2061046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5950300174785"/>
          <c:y val="0.859234234234234"/>
          <c:w val="0.418192871798769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534287693373"/>
          <c:y val="0.127627627627628"/>
          <c:w val="0.884861079042561"/>
          <c:h val="0.747997997997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Input'!$B$7,'IS Input'!$I$7,'IS Input'!$P$7,'IS Input'!$W$7,'IS Input'!$AD$7</c:f>
              <c:numCache>
                <c:formatCode>_(* #,##0.0_);_(* \(#,##0.0\);_(* \-??_);_(@_)</c:formatCode>
                <c:ptCount val="5"/>
                <c:pt idx="0">
                  <c:v>13.281757</c:v>
                </c:pt>
                <c:pt idx="1">
                  <c:v>17.176</c:v>
                </c:pt>
                <c:pt idx="2">
                  <c:v>5.72145</c:v>
                </c:pt>
                <c:pt idx="3">
                  <c:v>4.499</c:v>
                </c:pt>
                <c:pt idx="4">
                  <c:v>40.678207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Input'!$E$7,'IS Input'!$L$7,'IS Input'!$S$7,'IS Input'!$Z$7,'IS Input'!$AG$7</c:f>
              <c:numCache>
                <c:formatCode>_(* #,##0.0_);_(* \(#,##0.0\);_(* \-??_);_(@_)</c:formatCode>
                <c:ptCount val="5"/>
                <c:pt idx="0">
                  <c:v>20</c:v>
                </c:pt>
                <c:pt idx="1">
                  <c:v>27.5</c:v>
                </c:pt>
                <c:pt idx="2">
                  <c:v>27.37</c:v>
                </c:pt>
                <c:pt idx="3">
                  <c:v>29.545</c:v>
                </c:pt>
                <c:pt idx="4">
                  <c:v>104.415</c:v>
                </c:pt>
              </c:numCache>
            </c:numRef>
          </c:val>
        </c:ser>
        <c:gapWidth val="150"/>
        <c:overlap val="0"/>
        <c:axId val="50660925"/>
        <c:axId val="22345942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Input'!$B$76:$F$76</c:f>
              <c:numCache>
                <c:formatCode>_(* #,##0.0_);_(* \(#,##0.0\);_(* \-??_);_(@_)</c:formatCode>
                <c:ptCount val="5"/>
                <c:pt idx="0">
                  <c:v>32.515</c:v>
                </c:pt>
                <c:pt idx="1">
                  <c:v>13.6</c:v>
                </c:pt>
                <c:pt idx="2">
                  <c:v>18.67</c:v>
                </c:pt>
                <c:pt idx="3">
                  <c:v>4.083</c:v>
                </c:pt>
                <c:pt idx="4">
                  <c:v>68.868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660925"/>
        <c:axId val="22345942"/>
      </c:lineChart>
      <c:catAx>
        <c:axId val="506609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2345942"/>
        <c:crossesAt val="0"/>
        <c:auto val="1"/>
        <c:lblAlgn val="ctr"/>
        <c:lblOffset val="100"/>
        <c:noMultiLvlLbl val="0"/>
      </c:catAx>
      <c:valAx>
        <c:axId val="22345942"/>
        <c:scaling>
          <c:orientation val="minMax"/>
          <c:max val="125"/>
          <c:min val="-2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24687187187187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0660925"/>
        <c:crossesAt val="1"/>
        <c:crossBetween val="midCat"/>
        <c:majorUnit val="2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5169706765181"/>
          <c:y val="0.847097097097097"/>
          <c:w val="0.429000230893558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33282674772037"/>
          <c:y val="0.145298079321527"/>
          <c:w val="0.890349544072948"/>
          <c:h val="0.690820653529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Input'!$C$7,'IS Input'!$J$7,'IS Input'!$Q$7,'IS Input'!$X$7,'IS Input'!$AE$7</c:f>
              <c:numCache>
                <c:formatCode>_(* #,##0.0_);_(* \(#,##0.0\);_(* \-??_);_(@_)</c:formatCode>
                <c:ptCount val="5"/>
                <c:pt idx="0">
                  <c:v>2.364778</c:v>
                </c:pt>
                <c:pt idx="1">
                  <c:v>2.295727</c:v>
                </c:pt>
                <c:pt idx="2">
                  <c:v>3.047825</c:v>
                </c:pt>
                <c:pt idx="3">
                  <c:v>1.849136</c:v>
                </c:pt>
                <c:pt idx="4">
                  <c:v>9.557466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Input'!$F$7,'IS Input'!$M$7,'IS Input'!$T$7,'IS Input'!$AA$7,'IS Input'!$AH$7</c:f>
              <c:numCache>
                <c:formatCode>_(* #,##0.0_);_(* \(#,##0.0\);_(* \-??_);_(@_)</c:formatCode>
                <c:ptCount val="5"/>
                <c:pt idx="0">
                  <c:v>3.467386</c:v>
                </c:pt>
                <c:pt idx="1">
                  <c:v>3.742616</c:v>
                </c:pt>
                <c:pt idx="2">
                  <c:v>3.320448</c:v>
                </c:pt>
                <c:pt idx="3">
                  <c:v>1.849136</c:v>
                </c:pt>
                <c:pt idx="4">
                  <c:v>12.379586</c:v>
                </c:pt>
              </c:numCache>
            </c:numRef>
          </c:val>
        </c:ser>
        <c:gapWidth val="150"/>
        <c:overlap val="0"/>
        <c:axId val="54724309"/>
        <c:axId val="10758966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Input'!$B$94:$F$94</c:f>
              <c:numCache>
                <c:formatCode>_(* #,##0.0_);_(* \(#,##0.0\);_(* \-??_);_(@_)</c:formatCode>
                <c:ptCount val="5"/>
                <c:pt idx="0">
                  <c:v>0.643</c:v>
                </c:pt>
                <c:pt idx="1">
                  <c:v>0.938</c:v>
                </c:pt>
                <c:pt idx="2">
                  <c:v>1.025</c:v>
                </c:pt>
                <c:pt idx="3">
                  <c:v>1.46</c:v>
                </c:pt>
                <c:pt idx="4">
                  <c:v>4.066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4724309"/>
        <c:axId val="10758966"/>
      </c:lineChart>
      <c:catAx>
        <c:axId val="547243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0758966"/>
        <c:crossesAt val="0"/>
        <c:auto val="1"/>
        <c:lblAlgn val="ctr"/>
        <c:lblOffset val="100"/>
        <c:noMultiLvlLbl val="0"/>
      </c:catAx>
      <c:valAx>
        <c:axId val="10758966"/>
        <c:scaling>
          <c:orientation val="minMax"/>
          <c:max val="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4724309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8495440729483"/>
          <c:y val="0.86517834871539"/>
          <c:w val="0.404787234042553"/>
          <c:h val="0.0835619855325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1157457287979"/>
          <c:y val="0.14964964964965"/>
          <c:w val="0.863706325996614"/>
          <c:h val="0.7416166166166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Input'!$AL$8,'IS Input'!$AN$8,'IS Input'!$AP$8,'IS Input'!$AR$8,'IS Input'!$AT$8,'IS Input'!$AV$8,'IS Input'!$AX$8,'IS Input'!$AZ$8,'IS Input'!$BB$8,'IS Input'!$BD$8,'IS Input'!$BF$8,'IS Input'!$BH$8</c:f>
              <c:numCache>
                <c:formatCode>General</c:formatCode>
                <c:ptCount val="12"/>
                <c:pt idx="0">
                  <c:v>40</c:v>
                </c:pt>
                <c:pt idx="1">
                  <c:v>42</c:v>
                </c:pt>
                <c:pt idx="2">
                  <c:v>41</c:v>
                </c:pt>
                <c:pt idx="3">
                  <c:v>41</c:v>
                </c:pt>
                <c:pt idx="4">
                  <c:v>46</c:v>
                </c:pt>
                <c:pt idx="5">
                  <c:v>48</c:v>
                </c:pt>
                <c:pt idx="6">
                  <c:v>46</c:v>
                </c:pt>
                <c:pt idx="7">
                  <c:v>41</c:v>
                </c:pt>
                <c:pt idx="8">
                  <c:v>38</c:v>
                </c:pt>
              </c:numCache>
            </c:numRef>
          </c:val>
        </c:ser>
        <c:gapWidth val="150"/>
        <c:overlap val="0"/>
        <c:axId val="41308939"/>
        <c:axId val="74273399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5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6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7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9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Input'!$AM$8,'IS Input'!$AO$8,'IS Input'!$AQ$8,'IS Input'!$AS$8,'IS Input'!$AU$8,'IS Input'!$AW$8,'IS Input'!$AY$8,'IS Input'!$BA$8,'IS Input'!$BC$8,'IS Input'!$BE$8,'IS Input'!$BG$8,'IS Input'!$BI$8</c:f>
              <c:numCache>
                <c:formatCode>General</c:formatCode>
                <c:ptCount val="12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1308939"/>
        <c:axId val="74273399"/>
      </c:lineChart>
      <c:catAx>
        <c:axId val="413089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4273399"/>
        <c:crossesAt val="0"/>
        <c:auto val="1"/>
        <c:lblAlgn val="ctr"/>
        <c:lblOffset val="100"/>
        <c:noMultiLvlLbl val="0"/>
      </c:catAx>
      <c:valAx>
        <c:axId val="74273399"/>
        <c:scaling>
          <c:orientation val="minMax"/>
          <c:max val="6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1308939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9305833461598"/>
          <c:y val="0.88038038038038"/>
          <c:w val="0.336616900107742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9969604863222"/>
          <c:y val="0.111389236545682"/>
          <c:w val="0.875151975683891"/>
          <c:h val="0.774718397997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Input'!$D$7,'IS Input'!$K$7,'IS Input'!$R$7,'IS Input'!$Y$7,'IS Input'!$AF$7</c:f>
              <c:numCache>
                <c:formatCode>_(* #,##0.0_);_(* \(#,##0.0\);_(* \-??_);_(@_)</c:formatCode>
                <c:ptCount val="5"/>
                <c:pt idx="0">
                  <c:v>9.464195</c:v>
                </c:pt>
                <c:pt idx="1">
                  <c:v>13.173132</c:v>
                </c:pt>
                <c:pt idx="2">
                  <c:v>1.42898</c:v>
                </c:pt>
                <c:pt idx="3">
                  <c:v>1.368453</c:v>
                </c:pt>
                <c:pt idx="4">
                  <c:v>25.43476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Input'!$G$7,'IS Input'!$N$7,'IS Input'!$U$7,'IS Input'!$AB$7,'IS Input'!$AI$7</c:f>
              <c:numCache>
                <c:formatCode>_(* #,##0.0_);_(* \(#,##0.0\);_(* \-??_);_(@_)</c:formatCode>
                <c:ptCount val="5"/>
                <c:pt idx="0">
                  <c:v>14.454606</c:v>
                </c:pt>
                <c:pt idx="1">
                  <c:v>21.486755</c:v>
                </c:pt>
                <c:pt idx="2">
                  <c:v>21.837183</c:v>
                </c:pt>
                <c:pt idx="3">
                  <c:v>26.414453</c:v>
                </c:pt>
                <c:pt idx="4">
                  <c:v>84.192997</c:v>
                </c:pt>
              </c:numCache>
            </c:numRef>
          </c:val>
        </c:ser>
        <c:gapWidth val="150"/>
        <c:overlap val="0"/>
        <c:axId val="64480215"/>
        <c:axId val="33459011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Input'!$B$112:$F$112</c:f>
              <c:numCache>
                <c:formatCode>_(* #,##0.0_);_(* \(#,##0.0\);_(* \-??_);_(@_)</c:formatCode>
                <c:ptCount val="5"/>
                <c:pt idx="0">
                  <c:v>31.095</c:v>
                </c:pt>
                <c:pt idx="1">
                  <c:v>11.921</c:v>
                </c:pt>
                <c:pt idx="2">
                  <c:v>16.915</c:v>
                </c:pt>
                <c:pt idx="3">
                  <c:v>-1.646</c:v>
                </c:pt>
                <c:pt idx="4">
                  <c:v>58.285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480215"/>
        <c:axId val="33459011"/>
      </c:lineChart>
      <c:catAx>
        <c:axId val="64480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3459011"/>
        <c:crossesAt val="0"/>
        <c:auto val="1"/>
        <c:lblAlgn val="ctr"/>
        <c:lblOffset val="100"/>
        <c:noMultiLvlLbl val="0"/>
      </c:catAx>
      <c:valAx>
        <c:axId val="33459011"/>
        <c:scaling>
          <c:orientation val="minMax"/>
          <c:max val="100"/>
          <c:min val="-2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4480215"/>
        <c:crossesAt val="1"/>
        <c:crossBetween val="midCat"/>
        <c:maj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9589665653495"/>
          <c:y val="0.862327909887359"/>
          <c:w val="0.410182370820669"/>
          <c:h val="0.079474342928660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10328638497653"/>
          <c:y val="0.127377377377377"/>
          <c:w val="0.899022550604172"/>
          <c:h val="0.74461961961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Input'!$B$24,'IS Input'!$I$24,'IS Input'!$P$24,'IS Input'!$W$24,'IS Input'!$AD$24</c:f>
              <c:numCache>
                <c:formatCode>_(* #,##0.0_);_(* \(#,##0.0\);_(* \-??_);_(@_)</c:formatCode>
                <c:ptCount val="5"/>
                <c:pt idx="0">
                  <c:v>-0.959679</c:v>
                </c:pt>
                <c:pt idx="1">
                  <c:v>2.067854</c:v>
                </c:pt>
                <c:pt idx="2">
                  <c:v>0</c:v>
                </c:pt>
                <c:pt idx="4">
                  <c:v>1.108175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Input'!$E$24,'IS Input'!$L$24,'IS Input'!$S$24,'IS Input'!$Z$24,'IS Input'!$AG$24</c:f>
              <c:numCache>
                <c:formatCode>_(* #,##0.0_);_(* \(#,##0.0\);_(* \-??_);_(@_)</c:formatCode>
                <c:ptCount val="5"/>
                <c:pt idx="0">
                  <c:v>-0.858501</c:v>
                </c:pt>
                <c:pt idx="1">
                  <c:v>1.372499</c:v>
                </c:pt>
                <c:pt idx="2">
                  <c:v>0</c:v>
                </c:pt>
                <c:pt idx="3">
                  <c:v>0</c:v>
                </c:pt>
                <c:pt idx="4">
                  <c:v>0.513998</c:v>
                </c:pt>
              </c:numCache>
            </c:numRef>
          </c:val>
        </c:ser>
        <c:gapWidth val="150"/>
        <c:overlap val="0"/>
        <c:axId val="34607466"/>
        <c:axId val="67255344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Input'!$B$79:$F$79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-1.304</c:v>
                </c:pt>
                <c:pt idx="4">
                  <c:v>-1.304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607466"/>
        <c:axId val="67255344"/>
      </c:lineChart>
      <c:catAx>
        <c:axId val="346074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7255344"/>
        <c:crossesAt val="0"/>
        <c:auto val="1"/>
        <c:lblAlgn val="ctr"/>
        <c:lblOffset val="100"/>
        <c:noMultiLvlLbl val="0"/>
      </c:catAx>
      <c:valAx>
        <c:axId val="67255344"/>
        <c:scaling>
          <c:orientation val="minMax"/>
          <c:max val="6"/>
          <c:min val="-3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4607466"/>
        <c:crossesAt val="1"/>
        <c:crossBetween val="midCat"/>
        <c:majorUnit val="3"/>
        <c:minorUnit val="3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61525436773647"/>
          <c:y val="0.853603603603604"/>
          <c:w val="0.445316708997152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686930091185"/>
          <c:y val="0.157271139935146"/>
          <c:w val="0.89468085106383"/>
          <c:h val="0.699426290845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Input'!$C$24,'IS Input'!$J$24,'IS Input'!$Q$24,'IS Input'!$X$24,'IS Input'!$AE$24</c:f>
              <c:numCache>
                <c:formatCode>_(* #,##0.0_);_(* \(#,##0.0\);_(* \-??_);_(@_)</c:formatCode>
                <c:ptCount val="5"/>
                <c:pt idx="0">
                  <c:v>0.428864</c:v>
                </c:pt>
                <c:pt idx="1">
                  <c:v>0.229674</c:v>
                </c:pt>
                <c:pt idx="2">
                  <c:v>0</c:v>
                </c:pt>
                <c:pt idx="4">
                  <c:v>0.658538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Input'!$F$24,'IS Input'!$M$24,'IS Input'!$T$24,'IS Input'!$AA$24,'IS Input'!$AH$24</c:f>
              <c:numCache>
                <c:formatCode>_(* #,##0.0_);_(* \(#,##0.0\);_(* \-??_);_(@_)</c:formatCode>
                <c:ptCount val="5"/>
                <c:pt idx="0">
                  <c:v>0.272542</c:v>
                </c:pt>
                <c:pt idx="1">
                  <c:v>0.302281</c:v>
                </c:pt>
                <c:pt idx="2">
                  <c:v>0</c:v>
                </c:pt>
                <c:pt idx="3">
                  <c:v>0</c:v>
                </c:pt>
                <c:pt idx="4">
                  <c:v>0.574823</c:v>
                </c:pt>
              </c:numCache>
            </c:numRef>
          </c:val>
        </c:ser>
        <c:gapWidth val="150"/>
        <c:overlap val="0"/>
        <c:axId val="44766366"/>
        <c:axId val="89038423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Input'!$B$97:$F$97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0.301</c:v>
                </c:pt>
                <c:pt idx="4">
                  <c:v>0.301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4766366"/>
        <c:axId val="89038423"/>
      </c:lineChart>
      <c:catAx>
        <c:axId val="447663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9038423"/>
        <c:crossesAt val="0"/>
        <c:auto val="1"/>
        <c:lblAlgn val="ctr"/>
        <c:lblOffset val="100"/>
        <c:noMultiLvlLbl val="0"/>
      </c:catAx>
      <c:valAx>
        <c:axId val="89038423"/>
        <c:scaling>
          <c:orientation val="minMax"/>
          <c:max val="2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4766366"/>
        <c:crossesAt val="1"/>
        <c:crossBetween val="midCat"/>
        <c:majorUnit val="1"/>
        <c:minorUnit val="1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3495440729483"/>
          <c:y val="0.844100773260165"/>
          <c:w val="0.450379939209726"/>
          <c:h val="0.092417061611374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8060643373865"/>
          <c:y val="0.101601601601602"/>
          <c:w val="0.832692011697707"/>
          <c:h val="0.8084334334334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Input'!$AL$27,'IS Input'!$AN$27,'IS Input'!$AP$27,'IS Input'!$AR$27,'IS Input'!$AT$27,'IS Input'!$AV$27,'IS Input'!$AX$27,'IS Input'!$AZ$27,'IS Input'!$BB$27,'IS Input'!$BD$27,'IS Input'!$BF$27,'IS Input'!$BH$27</c:f>
              <c:numCache>
                <c:formatCode>General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</c:ser>
        <c:gapWidth val="150"/>
        <c:overlap val="0"/>
        <c:axId val="1741307"/>
        <c:axId val="48089252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Input'!$AM$27,'IS Input'!$AO$27,'IS Input'!$AQ$27,'IS Input'!$AS$27,'IS Input'!$AU$27,'IS Input'!$AW$27,'IS Input'!$AY$27,'IS Input'!$BA$27,'IS Input'!$BC$27,'IS Input'!$BE$27,'IS Input'!$BG$27,'IS Input'!$BI$27</c:f>
              <c:numCache>
                <c:formatCode>General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41307"/>
        <c:axId val="48089252"/>
      </c:lineChart>
      <c:catAx>
        <c:axId val="17413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8089252"/>
        <c:crossesAt val="0"/>
        <c:auto val="1"/>
        <c:lblAlgn val="ctr"/>
        <c:lblOffset val="100"/>
        <c:noMultiLvlLbl val="0"/>
      </c:catAx>
      <c:valAx>
        <c:axId val="48089252"/>
        <c:scaling>
          <c:orientation val="minMax"/>
          <c:max val="1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741307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8256118208404"/>
          <c:y val="0.88038038038038"/>
          <c:w val="0.298676312144067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8550041796489"/>
          <c:y val="0.124124124124124"/>
          <c:w val="0.839805456341667"/>
          <c:h val="0.7482482482482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Input'!$D$24,'IS Input'!$K$24,'IS Input'!$R$24,'IS Input'!$Y$24,'IS Input'!$AF$24</c:f>
              <c:numCache>
                <c:formatCode>_(* #,##0.0_);_(* \(#,##0.0\);_(* \-??_);_(@_)</c:formatCode>
                <c:ptCount val="5"/>
                <c:pt idx="0">
                  <c:v>-1.885705</c:v>
                </c:pt>
                <c:pt idx="1">
                  <c:v>1.360729</c:v>
                </c:pt>
                <c:pt idx="2">
                  <c:v>0</c:v>
                </c:pt>
                <c:pt idx="4">
                  <c:v>-0.524976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Input'!$G$24,'IS Input'!$N$24,'IS Input'!$U$24,'IS Input'!$AB$24,'IS Input'!$AI$24</c:f>
              <c:numCache>
                <c:formatCode>_(* #,##0.0_);_(* \(#,##0.0\);_(* \-??_);_(@_)</c:formatCode>
                <c:ptCount val="5"/>
                <c:pt idx="0">
                  <c:v>-1.700567</c:v>
                </c:pt>
                <c:pt idx="1">
                  <c:v>0.497153</c:v>
                </c:pt>
                <c:pt idx="2">
                  <c:v>0</c:v>
                </c:pt>
                <c:pt idx="3">
                  <c:v>0</c:v>
                </c:pt>
                <c:pt idx="4">
                  <c:v>-1.203414</c:v>
                </c:pt>
              </c:numCache>
            </c:numRef>
          </c:val>
        </c:ser>
        <c:gapWidth val="150"/>
        <c:overlap val="0"/>
        <c:axId val="97784044"/>
        <c:axId val="667531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Input'!$B$115:$F$115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-1.605</c:v>
                </c:pt>
                <c:pt idx="4">
                  <c:v>-1.605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784044"/>
        <c:axId val="667531"/>
      </c:lineChart>
      <c:catAx>
        <c:axId val="977840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67531"/>
        <c:crossesAt val="0"/>
        <c:auto val="1"/>
        <c:lblAlgn val="ctr"/>
        <c:lblOffset val="100"/>
        <c:noMultiLvlLbl val="0"/>
      </c:catAx>
      <c:valAx>
        <c:axId val="667531"/>
        <c:scaling>
          <c:orientation val="minMax"/>
          <c:max val="6"/>
          <c:min val="-6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7784044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3308002127821"/>
          <c:y val="0.848973973973974"/>
          <c:w val="0.461129265141728"/>
          <c:h val="0.09271771771771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 - 4Q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5379939209727"/>
          <c:y val="0.131881881881882"/>
          <c:w val="0.937462006079027"/>
          <c:h val="0.6263763763763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"Actual-to-Date"</c:f>
              <c:strCache>
                <c:ptCount val="1"/>
                <c:pt idx="0">
                  <c:v>Actual-to-Date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'IS Input'!$A$3:$A$12</c:f>
              <c:strCache>
                <c:ptCount val="10"/>
                <c:pt idx="0">
                  <c:v>Crude &amp; Products</c:v>
                </c:pt>
                <c:pt idx="1">
                  <c:v>Coal / Emissions</c:v>
                </c:pt>
                <c:pt idx="2">
                  <c:v>Weather</c:v>
                </c:pt>
                <c:pt idx="3">
                  <c:v>Risk Markets</c:v>
                </c:pt>
                <c:pt idx="4">
                  <c:v>Fin Trading</c:v>
                </c:pt>
                <c:pt idx="5">
                  <c:v>Freight</c:v>
                </c:pt>
                <c:pt idx="6">
                  <c:v>LNG / Puerto Rico</c:v>
                </c:pt>
                <c:pt idx="7">
                  <c:v>Japan</c:v>
                </c:pt>
                <c:pt idx="8">
                  <c:v>Finance / Chair / ME / Other /Drift</c:v>
                </c:pt>
                <c:pt idx="9">
                  <c:v>Total</c:v>
                </c:pt>
              </c:strCache>
            </c:strRef>
          </c:cat>
          <c:val>
            <c:numRef>
              <c:f>'IS Input'!$W$3:$W$12</c:f>
              <c:numCache>
                <c:formatCode>_(* #,##0.0_);_(* \(#,##0.0\);_(* \-??_);_(@_)</c:formatCode>
                <c:ptCount val="10"/>
                <c:pt idx="0">
                  <c:v>-7.726</c:v>
                </c:pt>
                <c:pt idx="1">
                  <c:v>1.120246</c:v>
                </c:pt>
                <c:pt idx="2">
                  <c:v>1.431</c:v>
                </c:pt>
                <c:pt idx="3">
                  <c:v>0.04604</c:v>
                </c:pt>
                <c:pt idx="4">
                  <c:v>4.499</c:v>
                </c:pt>
                <c:pt idx="5">
                  <c:v>-0.038317</c:v>
                </c:pt>
                <c:pt idx="6">
                  <c:v>0.376</c:v>
                </c:pt>
                <c:pt idx="7">
                  <c:v>0</c:v>
                </c:pt>
                <c:pt idx="8">
                  <c:v>-30</c:v>
                </c:pt>
                <c:pt idx="9">
                  <c:v>-30.292031</c:v>
                </c:pt>
              </c:numCache>
            </c:numRef>
          </c:val>
        </c:ser>
        <c:ser>
          <c:idx val="1"/>
          <c:order val="1"/>
          <c:tx>
            <c:strRef>
              <c:f>"Qtr Plan"</c:f>
              <c:strCache>
                <c:ptCount val="1"/>
                <c:pt idx="0">
                  <c:v>Qtr 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'IS Input'!$A$3:$A$12</c:f>
              <c:strCache>
                <c:ptCount val="10"/>
                <c:pt idx="0">
                  <c:v>Crude &amp; Products</c:v>
                </c:pt>
                <c:pt idx="1">
                  <c:v>Coal / Emissions</c:v>
                </c:pt>
                <c:pt idx="2">
                  <c:v>Weather</c:v>
                </c:pt>
                <c:pt idx="3">
                  <c:v>Risk Markets</c:v>
                </c:pt>
                <c:pt idx="4">
                  <c:v>Fin Trading</c:v>
                </c:pt>
                <c:pt idx="5">
                  <c:v>Freight</c:v>
                </c:pt>
                <c:pt idx="6">
                  <c:v>LNG / Puerto Rico</c:v>
                </c:pt>
                <c:pt idx="7">
                  <c:v>Japan</c:v>
                </c:pt>
                <c:pt idx="8">
                  <c:v>Finance / Chair / ME / Other /Drift</c:v>
                </c:pt>
                <c:pt idx="9">
                  <c:v>Total</c:v>
                </c:pt>
              </c:strCache>
            </c:strRef>
          </c:cat>
          <c:val>
            <c:numRef>
              <c:f>'IS Input'!$Z$3:$Z$12</c:f>
              <c:numCache>
                <c:formatCode>_(* #,##0.0_);_(* \(#,##0.0\);_(* \-??_);_(@_)</c:formatCode>
                <c:ptCount val="10"/>
                <c:pt idx="0">
                  <c:v>45</c:v>
                </c:pt>
                <c:pt idx="1">
                  <c:v>18.75</c:v>
                </c:pt>
                <c:pt idx="2">
                  <c:v>8.75258</c:v>
                </c:pt>
                <c:pt idx="3">
                  <c:v>8.875</c:v>
                </c:pt>
                <c:pt idx="4">
                  <c:v>29.545</c:v>
                </c:pt>
                <c:pt idx="5">
                  <c:v>13.3055</c:v>
                </c:pt>
                <c:pt idx="6">
                  <c:v>44</c:v>
                </c:pt>
                <c:pt idx="7">
                  <c:v>3.75</c:v>
                </c:pt>
                <c:pt idx="8">
                  <c:v>3.333392</c:v>
                </c:pt>
                <c:pt idx="9">
                  <c:v>175.311472</c:v>
                </c:pt>
              </c:numCache>
            </c:numRef>
          </c:val>
        </c:ser>
        <c:gapWidth val="150"/>
        <c:overlap val="0"/>
        <c:axId val="61373638"/>
        <c:axId val="77707442"/>
      </c:barChart>
      <c:catAx>
        <c:axId val="613736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77707442"/>
        <c:crossesAt val="0"/>
        <c:auto val="1"/>
        <c:lblAlgn val="ctr"/>
        <c:lblOffset val="100"/>
        <c:noMultiLvlLbl val="0"/>
      </c:catAx>
      <c:valAx>
        <c:axId val="77707442"/>
        <c:scaling>
          <c:orientation val="minMax"/>
          <c:max val="200"/>
          <c:min val="-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1373638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95896656534954"/>
          <c:y val="0.866241241241241"/>
          <c:w val="0.268085106382979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4957284691757"/>
          <c:y val="0.144894894894895"/>
          <c:w val="0.84037558685446"/>
          <c:h val="0.7334834834834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Input'!$B$8,'IS Input'!$I$8,'IS Input'!$P$8,'IS Input'!$W$8,'IS Input'!$AD$8</c:f>
              <c:numCache>
                <c:formatCode>_(* #,##0.0_);_(* \(#,##0.0\);_(* \-??_);_(@_)</c:formatCode>
                <c:ptCount val="5"/>
                <c:pt idx="0">
                  <c:v>0.040954</c:v>
                </c:pt>
                <c:pt idx="1">
                  <c:v>1.648452</c:v>
                </c:pt>
                <c:pt idx="2">
                  <c:v>1.26649</c:v>
                </c:pt>
                <c:pt idx="3">
                  <c:v>-0.038317</c:v>
                </c:pt>
                <c:pt idx="4">
                  <c:v>2.917579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Input'!$E$8,'IS Input'!$L$8,'IS Input'!$S$8,'IS Input'!$Z$8,'IS Input'!$AG$8</c:f>
              <c:numCache>
                <c:formatCode>_(* #,##0.0_);_(* \(#,##0.0\);_(* \-??_);_(@_)</c:formatCode>
                <c:ptCount val="5"/>
                <c:pt idx="0">
                  <c:v>0.5</c:v>
                </c:pt>
                <c:pt idx="1">
                  <c:v>1.311</c:v>
                </c:pt>
                <c:pt idx="2">
                  <c:v>5.705</c:v>
                </c:pt>
                <c:pt idx="3">
                  <c:v>13.3055</c:v>
                </c:pt>
                <c:pt idx="4">
                  <c:v>20.8215</c:v>
                </c:pt>
              </c:numCache>
            </c:numRef>
          </c:val>
        </c:ser>
        <c:gapWidth val="150"/>
        <c:overlap val="0"/>
        <c:axId val="12589647"/>
        <c:axId val="76096848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0">
              <a:solidFill>
                <a:srgbClr val="000000"/>
              </a:solidFill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Input'!$B$77:$F$77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2589647"/>
        <c:axId val="76096848"/>
      </c:lineChart>
      <c:catAx>
        <c:axId val="1258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6096848"/>
        <c:crossesAt val="0"/>
        <c:auto val="1"/>
        <c:lblAlgn val="ctr"/>
        <c:lblOffset val="100"/>
        <c:noMultiLvlLbl val="0"/>
      </c:catAx>
      <c:valAx>
        <c:axId val="76096848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9692192192192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2589647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901793273301"/>
          <c:y val="0.859734734734735"/>
          <c:w val="0.429000230893558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5349544072948"/>
          <c:y val="0.117859815415316"/>
          <c:w val="0.907142857142857"/>
          <c:h val="0.7163881267148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Input'!$C$8,'IS Input'!$J$8,'IS Input'!$Q$8,'IS Input'!$X$8,'IS Input'!$AE$8</c:f>
              <c:numCache>
                <c:formatCode>_(* #,##0.0_);_(* \(#,##0.0\);_(* \-??_);_(@_)</c:formatCode>
                <c:ptCount val="5"/>
                <c:pt idx="0">
                  <c:v>1.615797</c:v>
                </c:pt>
                <c:pt idx="1">
                  <c:v>4.582465</c:v>
                </c:pt>
                <c:pt idx="2">
                  <c:v>3.683199</c:v>
                </c:pt>
                <c:pt idx="3">
                  <c:v>7.322176</c:v>
                </c:pt>
                <c:pt idx="4">
                  <c:v>17.203637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Input'!$F$8,'IS Input'!$M$8,'IS Input'!$T$8,'IS Input'!$AA$8,'IS Input'!$AH$8</c:f>
              <c:numCache>
                <c:formatCode>_(* #,##0.0_);_(* \(#,##0.0\);_(* \-??_);_(@_)</c:formatCode>
                <c:ptCount val="5"/>
                <c:pt idx="0">
                  <c:v>1.555606</c:v>
                </c:pt>
                <c:pt idx="1">
                  <c:v>4.356818</c:v>
                </c:pt>
                <c:pt idx="2">
                  <c:v>4.625078</c:v>
                </c:pt>
                <c:pt idx="3">
                  <c:v>7.322176</c:v>
                </c:pt>
                <c:pt idx="4">
                  <c:v>17.859678</c:v>
                </c:pt>
              </c:numCache>
            </c:numRef>
          </c:val>
        </c:ser>
        <c:gapWidth val="150"/>
        <c:overlap val="0"/>
        <c:axId val="2004770"/>
        <c:axId val="60427880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Input'!$B$95:$F$95</c:f>
              <c:numCache>
                <c:formatCode>_(* #,##0.0_);_(* \(#,##0.0\);_(* \-??_);_(@_)</c:formatCode>
                <c:ptCount val="5"/>
                <c:pt idx="3">
                  <c:v>1.602</c:v>
                </c:pt>
                <c:pt idx="4">
                  <c:v>1.602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04770"/>
        <c:axId val="60427880"/>
      </c:lineChart>
      <c:catAx>
        <c:axId val="20047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0427880"/>
        <c:crossesAt val="0"/>
        <c:auto val="1"/>
        <c:lblAlgn val="ctr"/>
        <c:lblOffset val="100"/>
        <c:noMultiLvlLbl val="0"/>
      </c:catAx>
      <c:valAx>
        <c:axId val="6042788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004770"/>
        <c:crossesAt val="1"/>
        <c:crossBetween val="midCat"/>
        <c:maj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1139817629179"/>
          <c:y val="0.855076078822649"/>
          <c:w val="0.444984802431611"/>
          <c:h val="0.0835619855325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2567338771741"/>
          <c:y val="0.139264264264264"/>
          <c:w val="0.888948745574881"/>
          <c:h val="0.693568568568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Input'!$AL$9,'IS Input'!$AN$9,'IS Input'!$AP$9,'IS Input'!$AR$9,'IS Input'!$AT$9,'IS Input'!$AV$9,'IS Input'!$AX$9,'IS Input'!$AZ$9,'IS Input'!$BB$9,'IS Input'!$BD$9,'IS Input'!$BF$9,'IS Input'!$BH$9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20</c:v>
                </c:pt>
                <c:pt idx="3">
                  <c:v>22</c:v>
                </c:pt>
                <c:pt idx="4">
                  <c:v>57</c:v>
                </c:pt>
                <c:pt idx="5">
                  <c:v>42</c:v>
                </c:pt>
                <c:pt idx="6">
                  <c:v>51</c:v>
                </c:pt>
                <c:pt idx="7">
                  <c:v>55</c:v>
                </c:pt>
                <c:pt idx="8">
                  <c:v>62</c:v>
                </c:pt>
              </c:numCache>
            </c:numRef>
          </c:val>
        </c:ser>
        <c:gapWidth val="150"/>
        <c:overlap val="0"/>
        <c:axId val="13229974"/>
        <c:axId val="8129058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5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Input'!$AM$9,'IS Input'!$AO$9,'IS Input'!$AQ$9,'IS Input'!$AS$9,'IS Input'!$AU$9,'IS Input'!$AW$9,'IS Input'!$AY$9,'IS Input'!$BA$9,'IS Input'!$BC$9,'IS Input'!$BE$9,'IS Input'!$BG$9,'IS Input'!$BI$9</c:f>
              <c:numCache>
                <c:formatCode>General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20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63</c:v>
                </c:pt>
                <c:pt idx="7">
                  <c:v>63</c:v>
                </c:pt>
                <c:pt idx="8">
                  <c:v>63</c:v>
                </c:pt>
                <c:pt idx="9">
                  <c:v>92</c:v>
                </c:pt>
                <c:pt idx="10">
                  <c:v>92</c:v>
                </c:pt>
                <c:pt idx="11">
                  <c:v>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"Revised Staff Plan"</c:f>
              <c:strCache>
                <c:ptCount val="1"/>
                <c:pt idx="0">
                  <c:v>Revised Staff 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Pt>
            <c:idx val="8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Pt>
            <c:idx val="9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Pt>
            <c:idx val="10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Pt>
            <c:idx val="11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Lbls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Input'!$AM$35,'IS Input'!$AO$35,'IS Input'!$AQ$35,'IS Input'!$AS$35,'IS Input'!$AU$35,'IS Input'!$AW$35,'IS Input'!$AY$35,'IS Input'!$BA$35,'IS Input'!$BC$35,'IS Input'!$BE$35,'IS Input'!$BG$35,'IS Input'!$BI$35</c:f>
              <c:numCache>
                <c:formatCode>General</c:formatCode>
                <c:ptCount val="12"/>
                <c:pt idx="8">
                  <c:v>63</c:v>
                </c:pt>
                <c:pt idx="9">
                  <c:v>65</c:v>
                </c:pt>
                <c:pt idx="10">
                  <c:v>67</c:v>
                </c:pt>
                <c:pt idx="11">
                  <c:v>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229974"/>
        <c:axId val="8129058"/>
      </c:lineChart>
      <c:catAx>
        <c:axId val="1322997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129058"/>
        <c:crossesAt val="0"/>
        <c:auto val="1"/>
        <c:lblAlgn val="ctr"/>
        <c:lblOffset val="100"/>
        <c:noMultiLvlLbl val="0"/>
      </c:catAx>
      <c:valAx>
        <c:axId val="8129058"/>
        <c:scaling>
          <c:orientation val="minMax"/>
          <c:max val="1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3229974"/>
        <c:crossesAt val="1"/>
        <c:crossBetween val="midCat"/>
        <c:majorUnit val="25"/>
        <c:minorUnit val="2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24257349545944"/>
          <c:y val="0.834459459459459"/>
          <c:w val="0.624442050177005"/>
          <c:h val="0.10598098098098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4203206930618"/>
          <c:y val="0.120620620620621"/>
          <c:w val="0.866555209362414"/>
          <c:h val="0.7641391391391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Input'!$D$8,'IS Input'!$K$8,'IS Input'!$R$8,'IS Input'!$Y$8,'IS Input'!$AF$8</c:f>
              <c:numCache>
                <c:formatCode>_(* #,##0.0_);_(* \(#,##0.0\);_(* \-??_);_(@_)</c:formatCode>
                <c:ptCount val="5"/>
                <c:pt idx="0">
                  <c:v>-1.843474</c:v>
                </c:pt>
                <c:pt idx="1">
                  <c:v>-3.767201</c:v>
                </c:pt>
                <c:pt idx="2">
                  <c:v>-4.15813</c:v>
                </c:pt>
                <c:pt idx="3">
                  <c:v>-8.801527</c:v>
                </c:pt>
                <c:pt idx="4">
                  <c:v>-18.570332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Input'!$G$8,'IS Input'!$N$8,'IS Input'!$U$8,'IS Input'!$AB$8,'IS Input'!$AI$8</c:f>
              <c:numCache>
                <c:formatCode>_(* #,##0.0_);_(* \(#,##0.0\);_(* \-??_);_(@_)</c:formatCode>
                <c:ptCount val="5"/>
                <c:pt idx="0">
                  <c:v>-1.244696</c:v>
                </c:pt>
                <c:pt idx="1">
                  <c:v>-3.623711</c:v>
                </c:pt>
                <c:pt idx="2">
                  <c:v>0.246839999999999</c:v>
                </c:pt>
                <c:pt idx="3">
                  <c:v>4.54229</c:v>
                </c:pt>
                <c:pt idx="4">
                  <c:v>-0.0792769999999985</c:v>
                </c:pt>
              </c:numCache>
            </c:numRef>
          </c:val>
        </c:ser>
        <c:gapWidth val="150"/>
        <c:overlap val="0"/>
        <c:axId val="62812318"/>
        <c:axId val="9981933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Input'!$B$113:$F$113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-1.602</c:v>
                </c:pt>
                <c:pt idx="4">
                  <c:v>-1.602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812318"/>
        <c:axId val="9981933"/>
      </c:lineChart>
      <c:catAx>
        <c:axId val="628123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981933"/>
        <c:crossesAt val="0"/>
        <c:auto val="1"/>
        <c:lblAlgn val="ctr"/>
        <c:lblOffset val="100"/>
        <c:noMultiLvlLbl val="0"/>
      </c:catAx>
      <c:valAx>
        <c:axId val="9981933"/>
        <c:scaling>
          <c:orientation val="minMax"/>
          <c:min val="-1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57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2812318"/>
        <c:crossesAt val="1"/>
        <c:crossBetween val="midCat"/>
        <c:majorUnit val="4"/>
        <c:minorUnit val="4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2060946880462"/>
          <c:y val="0.856731731731732"/>
          <c:w val="0.412873318641234"/>
          <c:h val="0.08833833833833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Physical Sales 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4957284691757"/>
          <c:y val="0.143268268268268"/>
          <c:w val="0.839913799738321"/>
          <c:h val="0.7354854854854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Input'!$B$14,'volumes Input'!$G$14,'volumes Input'!$L$14,'volumes Input'!$Q$14,'volumes Input'!$V$14,'volumes Input'!$AA$14,'volumes Input'!$AF$14,'volumes Input'!$AK$14,'volumes Input'!$AP$14,'volumes Input'!$AU$14,'volumes Input'!$AZ$14,'volumes Input'!$BE$14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772.799</c:v>
                </c:pt>
                <c:pt idx="3">
                  <c:v>787.527</c:v>
                </c:pt>
                <c:pt idx="4">
                  <c:v>795.274</c:v>
                </c:pt>
                <c:pt idx="5">
                  <c:v>580.078</c:v>
                </c:pt>
                <c:pt idx="6">
                  <c:v>690.348</c:v>
                </c:pt>
                <c:pt idx="7">
                  <c:v>508.312</c:v>
                </c:pt>
                <c:pt idx="8">
                  <c:v>933.687</c:v>
                </c:pt>
              </c:numCache>
            </c:numRef>
          </c:val>
        </c:ser>
        <c:gapWidth val="150"/>
        <c:overlap val="0"/>
        <c:axId val="22169605"/>
        <c:axId val="54931310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Input'!$B$22,'volumes Input'!$G$22,'volumes Input'!$L$22,'volumes Input'!$Q$22,'volumes Input'!$V$22,'volumes Input'!$AA$22,'volumes Input'!$AF$22,'volumes Input'!$AK$22,'volumes Input'!$AP$22,'volumes Input'!$AU$22,'volumes Input'!$AZ$22,'volumes Input'!$BE$22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2169605"/>
        <c:axId val="54931310"/>
      </c:lineChart>
      <c:catAx>
        <c:axId val="2216960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4931310"/>
        <c:crossesAt val="0"/>
        <c:auto val="1"/>
        <c:lblAlgn val="ctr"/>
        <c:lblOffset val="100"/>
        <c:noMultiLvlLbl val="0"/>
      </c:catAx>
      <c:valAx>
        <c:axId val="5493131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($ 000's)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196446446446446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2169605"/>
        <c:crossesAt val="1"/>
        <c:crossBetween val="midCat"/>
      </c:valAx>
      <c:spPr>
        <a:noFill/>
        <a:ln w="126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40183175556069"/>
          <c:y val="0.858608608608609"/>
          <c:w val="0.429000230893558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8905775075988"/>
          <c:y val="0.111873285108506"/>
          <c:w val="0.904787234042553"/>
          <c:h val="0.721751060114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Input'!$D$14,'volumes Input'!$I$14,'volumes Input'!$N$14,'volumes Input'!$S$14,'volumes Input'!$X$14,'volumes Input'!$AC$14,'volumes Input'!$AH$14,'volumes Input'!$AM$14,'volumes Input'!$AR$14,'volumes Input'!$AW$14,'volumes Input'!$BB$14,'volumes Input'!$BG$14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2211</c:v>
                </c:pt>
                <c:pt idx="3">
                  <c:v>2244</c:v>
                </c:pt>
                <c:pt idx="4">
                  <c:v>1865</c:v>
                </c:pt>
                <c:pt idx="5">
                  <c:v>1581</c:v>
                </c:pt>
                <c:pt idx="6">
                  <c:v>1925</c:v>
                </c:pt>
                <c:pt idx="7">
                  <c:v>1330</c:v>
                </c:pt>
                <c:pt idx="8">
                  <c:v>1601</c:v>
                </c:pt>
              </c:numCache>
            </c:numRef>
          </c:val>
        </c:ser>
        <c:gapWidth val="150"/>
        <c:overlap val="0"/>
        <c:axId val="1055699"/>
        <c:axId val="88664085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Input'!$D$22,'volumes Input'!$I$22,'volumes Input'!$N$22,'volumes Input'!$S$22,'volumes Input'!$X$22,'volumes Input'!$AC$22,'volumes Input'!$AH$22,'volumes Input'!$AM$22,'volumes Input'!$AR$22,'volumes Input'!$AW$22,'volumes Input'!$BB$22,'volumes Input'!$BG$22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055699"/>
        <c:axId val="88664085"/>
      </c:lineChart>
      <c:catAx>
        <c:axId val="10556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8664085"/>
        <c:crossesAt val="0"/>
        <c:auto val="1"/>
        <c:lblAlgn val="ctr"/>
        <c:lblOffset val="100"/>
        <c:noMultiLvlLbl val="0"/>
      </c:catAx>
      <c:valAx>
        <c:axId val="88664085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055699"/>
        <c:crossesAt val="1"/>
        <c:crossBetween val="midCat"/>
      </c:valAx>
      <c:spPr>
        <a:noFill/>
        <a:ln w="126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16261398176292"/>
          <c:y val="0.854701920678473"/>
          <c:w val="0.444984802431611"/>
          <c:h val="0.0835619855325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EOL 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6424503617054"/>
          <c:y val="0.137637637637638"/>
          <c:w val="0.886255194705249"/>
          <c:h val="0.694944944944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Input'!$E$14,'volumes Input'!$J$14,'volumes Input'!$O$14,'volumes Input'!$T$14,'volumes Input'!$Y$14,'volumes Input'!$AD$14,'volumes Input'!$AI$14,'volumes Input'!$AN$14,'volumes Input'!$AS$14,'volumes Input'!$AX$14,'volumes Input'!$BC$14,'volumes Input'!$BH$14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gapWidth val="150"/>
        <c:overlap val="0"/>
        <c:axId val="57685005"/>
        <c:axId val="85365311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Input'!$E$22,'volumes Input'!$J$22,'volumes Input'!$O$22,'volumes Input'!$T$22,'volumes Input'!$Y$22,'volumes Input'!$AD$22,'volumes Input'!$AI$22,'volumes Input'!$AN$22,'volumes Input'!$AS$22,'volumes Input'!$AX$22,'volumes Input'!$BC$22,'volumes Input'!$BH$22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7685005"/>
        <c:axId val="85365311"/>
      </c:lineChart>
      <c:catAx>
        <c:axId val="5768500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5365311"/>
        <c:crossesAt val="0"/>
        <c:auto val="1"/>
        <c:lblAlgn val="ctr"/>
        <c:lblOffset val="100"/>
        <c:noMultiLvlLbl val="0"/>
      </c:catAx>
      <c:valAx>
        <c:axId val="85365311"/>
        <c:scaling>
          <c:orientation val="minMax"/>
          <c:max val="40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7685005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75250115437894"/>
          <c:y val="0.883883883883884"/>
          <c:w val="0.344774511312914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Financial Sales 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3534463105099"/>
          <c:y val="0.120745745745746"/>
          <c:w val="0.845808952048028"/>
          <c:h val="0.763638638638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Input'!$C$14,'volumes Input'!$H$14,'volumes Input'!$M$14,'volumes Input'!$R$14,'volumes Input'!$W$14,'volumes Input'!$AB$14,'volumes Input'!$AG$14,'volumes Input'!$AL$14,'volumes Input'!$AQ$14,'volumes Input'!$AV$14,'volumes Input'!$BA$14,'volumes Input'!$BF$14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gapWidth val="150"/>
        <c:overlap val="0"/>
        <c:axId val="64037183"/>
        <c:axId val="38930174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Input'!$C$22,'volumes Input'!$H$22,'volumes Input'!$M$22,'volumes Input'!$R$22,'volumes Input'!$W$22,'volumes Input'!$AB$22,'volumes Input'!$AG$22,'volumes Input'!$AL$22,'volumes Input'!$AQ$22,'volumes Input'!$AV$22,'volumes Input'!$BA$22,'volumes Input'!$BF$22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037183"/>
        <c:axId val="38930174"/>
      </c:lineChart>
      <c:catAx>
        <c:axId val="6403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8930174"/>
        <c:crossesAt val="0"/>
        <c:auto val="1"/>
        <c:lblAlgn val="ctr"/>
        <c:lblOffset val="100"/>
        <c:noMultiLvlLbl val="0"/>
      </c:catAx>
      <c:valAx>
        <c:axId val="38930174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($ 000's)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4037183"/>
        <c:crossesAt val="1"/>
        <c:crossBetween val="midCat"/>
      </c:valAx>
      <c:spPr>
        <a:noFill/>
        <a:ln w="126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24416748993085"/>
          <c:y val="0.856731731731732"/>
          <c:w val="0.412873318641234"/>
          <c:h val="0.08833833833833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8550041796489"/>
          <c:y val="0.124124124124124"/>
          <c:w val="0.78881373964587"/>
          <c:h val="0.7416166166166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Input'!$D$23,'IS Input'!$K$23,'IS Input'!$R$23,'IS Input'!$Y$23,'IS Input'!$AF$23</c:f>
              <c:numCache>
                <c:formatCode>_(* #,##0.0_);_(* \(#,##0.0\);_(* \-??_);_(@_)</c:formatCode>
                <c:ptCount val="5"/>
                <c:pt idx="0">
                  <c:v>-2.158565</c:v>
                </c:pt>
                <c:pt idx="1">
                  <c:v>-5.892272</c:v>
                </c:pt>
                <c:pt idx="2">
                  <c:v>-5.75662</c:v>
                </c:pt>
                <c:pt idx="3">
                  <c:v>-4.083428</c:v>
                </c:pt>
                <c:pt idx="4">
                  <c:v>-17.890885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Input'!$G$23,'IS Input'!$N$23,'IS Input'!$U$23,'IS Input'!$AB$23,'IS Input'!$AI$23</c:f>
              <c:numCache>
                <c:formatCode>_(* #,##0.0_);_(* \(#,##0.0\);_(* \-??_);_(@_)</c:formatCode>
                <c:ptCount val="5"/>
                <c:pt idx="0">
                  <c:v>0.365936</c:v>
                </c:pt>
                <c:pt idx="1">
                  <c:v>2.377904</c:v>
                </c:pt>
                <c:pt idx="2">
                  <c:v>5.376787</c:v>
                </c:pt>
                <c:pt idx="3">
                  <c:v>41.380572</c:v>
                </c:pt>
                <c:pt idx="4">
                  <c:v>49.501199</c:v>
                </c:pt>
              </c:numCache>
            </c:numRef>
          </c:val>
        </c:ser>
        <c:gapWidth val="150"/>
        <c:overlap val="0"/>
        <c:axId val="84580573"/>
        <c:axId val="89968927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Input'!$B$114:$F$114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2.864</c:v>
                </c:pt>
                <c:pt idx="4">
                  <c:v>2.864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4580573"/>
        <c:axId val="89968927"/>
      </c:lineChart>
      <c:catAx>
        <c:axId val="845805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9968927"/>
        <c:crossesAt val="0"/>
        <c:auto val="1"/>
        <c:lblAlgn val="ctr"/>
        <c:lblOffset val="100"/>
        <c:noMultiLvlLbl val="0"/>
      </c:catAx>
      <c:valAx>
        <c:axId val="89968927"/>
        <c:scaling>
          <c:orientation val="minMax"/>
          <c:max val="60"/>
          <c:min val="-2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4580573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8185272437115"/>
          <c:y val="0.866241241241241"/>
          <c:w val="0.431643741925678"/>
          <c:h val="0.079454454454454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6469637497114"/>
          <c:y val="0.145895895895896"/>
          <c:w val="0.83722004156084"/>
          <c:h val="0.6986986986986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Input'!$B$23,'IS Input'!$I$23,'IS Input'!$P$23,'IS Input'!$W$23,'IS Input'!$AD$23</c:f>
              <c:numCache>
                <c:formatCode>_(* #,##0.0_);_(* \(#,##0.0\);_(* \-??_);_(@_)</c:formatCode>
                <c:ptCount val="5"/>
                <c:pt idx="0">
                  <c:v>1.679991</c:v>
                </c:pt>
                <c:pt idx="1">
                  <c:v>0.765215</c:v>
                </c:pt>
                <c:pt idx="2">
                  <c:v>1.574353</c:v>
                </c:pt>
                <c:pt idx="3">
                  <c:v>0.376</c:v>
                </c:pt>
                <c:pt idx="4">
                  <c:v>4.395559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Input'!$E$23,'IS Input'!$L$23,'IS Input'!$S$23,'IS Input'!$Z$23,'IS Input'!$AG$23</c:f>
              <c:numCache>
                <c:formatCode>_(* #,##0.0_);_(* \(#,##0.0\);_(* \-??_);_(@_)</c:formatCode>
                <c:ptCount val="5"/>
                <c:pt idx="0">
                  <c:v>3</c:v>
                </c:pt>
                <c:pt idx="1">
                  <c:v>5</c:v>
                </c:pt>
                <c:pt idx="2">
                  <c:v>8</c:v>
                </c:pt>
                <c:pt idx="3">
                  <c:v>44</c:v>
                </c:pt>
                <c:pt idx="4">
                  <c:v>60</c:v>
                </c:pt>
              </c:numCache>
            </c:numRef>
          </c:val>
        </c:ser>
        <c:gapWidth val="150"/>
        <c:overlap val="0"/>
        <c:axId val="94509891"/>
        <c:axId val="538096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Input'!$B$78:$F$78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5.489</c:v>
                </c:pt>
                <c:pt idx="4">
                  <c:v>5.489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4509891"/>
        <c:axId val="538096"/>
      </c:lineChart>
      <c:catAx>
        <c:axId val="945098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38096"/>
        <c:crossesAt val="0"/>
        <c:auto val="1"/>
        <c:lblAlgn val="ctr"/>
        <c:lblOffset val="100"/>
        <c:noMultiLvlLbl val="0"/>
      </c:catAx>
      <c:valAx>
        <c:axId val="538096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4509891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75225121219118"/>
          <c:y val="0.859484484484484"/>
          <c:w val="0.431693989071038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Quarterly 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00037996808268"/>
          <c:y val="0.140434023447244"/>
          <c:w val="0.939889049319857"/>
          <c:h val="0.705288101771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Input'!$B$66:$F$66</c:f>
              <c:numCache>
                <c:formatCode>_(* #,##0.0_);_(* \(#,##0.0\);_(* \-??_);_(@_)</c:formatCode>
                <c:ptCount val="5"/>
                <c:pt idx="0">
                  <c:v>46.31566261</c:v>
                </c:pt>
                <c:pt idx="1">
                  <c:v>34.12996452</c:v>
                </c:pt>
                <c:pt idx="2">
                  <c:v>20.395046</c:v>
                </c:pt>
                <c:pt idx="3">
                  <c:v>-105.028593</c:v>
                </c:pt>
                <c:pt idx="4">
                  <c:v>-4.18791987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Input'!$I$66:$M$66</c:f>
              <c:numCache>
                <c:formatCode>_(* #,##0.0_);_(* \(#,##0.0\);_(* \-??_);_(@_)</c:formatCode>
                <c:ptCount val="5"/>
                <c:pt idx="0">
                  <c:v>44.98854</c:v>
                </c:pt>
                <c:pt idx="1">
                  <c:v>56.023991</c:v>
                </c:pt>
                <c:pt idx="2">
                  <c:v>65.211131</c:v>
                </c:pt>
                <c:pt idx="3">
                  <c:v>102.71491</c:v>
                </c:pt>
                <c:pt idx="4">
                  <c:v>268.938572</c:v>
                </c:pt>
              </c:numCache>
            </c:numRef>
          </c:val>
        </c:ser>
        <c:gapWidth val="150"/>
        <c:overlap val="0"/>
        <c:axId val="17273081"/>
        <c:axId val="71341708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Input'!$B$118:$F$118</c:f>
              <c:numCache>
                <c:formatCode>_(* #,##0.0_);_(* \(#,##0.0\);_(* \-??_);_(@_)</c:formatCode>
                <c:ptCount val="5"/>
                <c:pt idx="0">
                  <c:v>50.103</c:v>
                </c:pt>
                <c:pt idx="1">
                  <c:v>-3.511</c:v>
                </c:pt>
                <c:pt idx="2">
                  <c:v>-11.777</c:v>
                </c:pt>
                <c:pt idx="3">
                  <c:v>32.378</c:v>
                </c:pt>
                <c:pt idx="4">
                  <c:v>67.193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273081"/>
        <c:axId val="71341708"/>
      </c:lineChart>
      <c:catAx>
        <c:axId val="172730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1341708"/>
        <c:crossesAt val="0"/>
        <c:auto val="1"/>
        <c:lblAlgn val="ctr"/>
        <c:lblOffset val="100"/>
        <c:noMultiLvlLbl val="0"/>
      </c:catAx>
      <c:valAx>
        <c:axId val="7134170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 MM)</a:t>
                </a:r>
              </a:p>
            </c:rich>
          </c:tx>
          <c:layout>
            <c:manualLayout>
              <c:xMode val="edge"/>
              <c:yMode val="edge"/>
              <c:x val="0.0189984041340527"/>
              <c:y val="0.250935395360439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727308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906603845277"/>
          <c:y val="0.858692940883013"/>
          <c:w val="0.431643741925678"/>
          <c:h val="0.08805188326265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686930091185"/>
          <c:y val="0.157271139935146"/>
          <c:w val="0.89468085106383"/>
          <c:h val="0.7070341731105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Input'!$C$23,'IS Input'!$J$23,'IS Input'!$Q$23,'IS Input'!$X$23,'IS Input'!$AE$23</c:f>
              <c:numCache>
                <c:formatCode>_(* #,##0.0_);_(* \(#,##0.0\);_(* \-??_);_(@_)</c:formatCode>
                <c:ptCount val="5"/>
                <c:pt idx="0">
                  <c:v>2.763129</c:v>
                </c:pt>
                <c:pt idx="1">
                  <c:v>5.577472</c:v>
                </c:pt>
                <c:pt idx="2">
                  <c:v>6.143468</c:v>
                </c:pt>
                <c:pt idx="3">
                  <c:v>3.27025</c:v>
                </c:pt>
                <c:pt idx="4">
                  <c:v>17.754319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Input'!$F$23,'IS Input'!$M$23,'IS Input'!$T$23,'IS Input'!$AA$23,'IS Input'!$AH$23</c:f>
              <c:numCache>
                <c:formatCode>_(* #,##0.0_);_(* \(#,##0.0\);_(* \-??_);_(@_)</c:formatCode>
                <c:ptCount val="5"/>
                <c:pt idx="0">
                  <c:v>1.43025</c:v>
                </c:pt>
                <c:pt idx="1">
                  <c:v>1.43025</c:v>
                </c:pt>
                <c:pt idx="2">
                  <c:v>1.43025</c:v>
                </c:pt>
                <c:pt idx="3">
                  <c:v>1.43025</c:v>
                </c:pt>
                <c:pt idx="4">
                  <c:v>5.721</c:v>
                </c:pt>
              </c:numCache>
            </c:numRef>
          </c:val>
        </c:ser>
        <c:gapWidth val="150"/>
        <c:overlap val="0"/>
        <c:axId val="47288155"/>
        <c:axId val="9911271"/>
      </c:barChart>
      <c:lineChart>
        <c:grouping val="standard"/>
        <c:varyColors val="0"/>
        <c:ser>
          <c:idx val="2"/>
          <c:order val="2"/>
          <c:tx>
            <c:strRef>
              <c:f>"Actual 2000"</c:f>
              <c:strCache>
                <c:ptCount val="1"/>
                <c:pt idx="0">
                  <c:v>Actual 2000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Input'!$B$96:$F$96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2.625</c:v>
                </c:pt>
                <c:pt idx="4">
                  <c:v>2.625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288155"/>
        <c:axId val="9911271"/>
      </c:lineChart>
      <c:catAx>
        <c:axId val="472881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911271"/>
        <c:crossesAt val="0"/>
        <c:auto val="1"/>
        <c:lblAlgn val="ctr"/>
        <c:lblOffset val="100"/>
        <c:noMultiLvlLbl val="0"/>
      </c:catAx>
      <c:valAx>
        <c:axId val="991127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7288155"/>
        <c:crossesAt val="1"/>
        <c:crossBetween val="midCat"/>
        <c:maj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9255319148936"/>
          <c:y val="0.859565976552756"/>
          <c:w val="0.426215805471125"/>
          <c:h val="0.07919680718383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8060643373865"/>
          <c:y val="0.137012012012012"/>
          <c:w val="0.832692011697707"/>
          <c:h val="0.760885885885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Input'!$AL$26,'IS Input'!$AN$26,'IS Input'!$AP$26,'IS Input'!$AR$26,'IS Input'!$AT$26,'IS Input'!$AV$26,'IS Input'!$AX$26,'IS Input'!$AZ$26,'IS Input'!$BB$26,'IS Input'!$BD$26,'IS Input'!$BF$26,'IS Input'!$BH$26</c:f>
              <c:numCache>
                <c:formatCode>General</c:formatCode>
                <c:ptCount val="12"/>
                <c:pt idx="0">
                  <c:v>33</c:v>
                </c:pt>
                <c:pt idx="1">
                  <c:v>32</c:v>
                </c:pt>
                <c:pt idx="2">
                  <c:v>33.5</c:v>
                </c:pt>
                <c:pt idx="3">
                  <c:v>34.5</c:v>
                </c:pt>
                <c:pt idx="4">
                  <c:v>37</c:v>
                </c:pt>
                <c:pt idx="5">
                  <c:v>33</c:v>
                </c:pt>
                <c:pt idx="6">
                  <c:v>35</c:v>
                </c:pt>
                <c:pt idx="7">
                  <c:v>36</c:v>
                </c:pt>
                <c:pt idx="8">
                  <c:v>34</c:v>
                </c:pt>
              </c:numCache>
            </c:numRef>
          </c:val>
        </c:ser>
        <c:gapWidth val="150"/>
        <c:overlap val="0"/>
        <c:axId val="14974351"/>
        <c:axId val="52284520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Input'!$AM$26,'IS Input'!$AO$26,'IS Input'!$AQ$26,'IS Input'!$AS$26,'IS Input'!$AU$26,'IS Input'!$AW$26,'IS Input'!$AY$26,'IS Input'!$BA$26,'IS Input'!$BC$26,'IS Input'!$BE$26,'IS Input'!$BG$26,'IS Input'!$BI$26</c:f>
              <c:numCache>
                <c:formatCode>General</c:formatCode>
                <c:ptCount val="12"/>
                <c:pt idx="0">
                  <c:v>44</c:v>
                </c:pt>
                <c:pt idx="1">
                  <c:v>44</c:v>
                </c:pt>
                <c:pt idx="2">
                  <c:v>44</c:v>
                </c:pt>
                <c:pt idx="3">
                  <c:v>44</c:v>
                </c:pt>
                <c:pt idx="4">
                  <c:v>44</c:v>
                </c:pt>
                <c:pt idx="5">
                  <c:v>44</c:v>
                </c:pt>
                <c:pt idx="6">
                  <c:v>44</c:v>
                </c:pt>
                <c:pt idx="7">
                  <c:v>44</c:v>
                </c:pt>
                <c:pt idx="8">
                  <c:v>44</c:v>
                </c:pt>
                <c:pt idx="9">
                  <c:v>44</c:v>
                </c:pt>
                <c:pt idx="10">
                  <c:v>44</c:v>
                </c:pt>
                <c:pt idx="11">
                  <c:v>44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4974351"/>
        <c:axId val="52284520"/>
      </c:lineChart>
      <c:catAx>
        <c:axId val="1497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2284520"/>
        <c:crossesAt val="0"/>
        <c:auto val="1"/>
        <c:lblAlgn val="ctr"/>
        <c:lblOffset val="100"/>
        <c:noMultiLvlLbl val="0"/>
      </c:catAx>
      <c:valAx>
        <c:axId val="52284520"/>
        <c:scaling>
          <c:orientation val="minMax"/>
          <c:max val="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4974351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199938433123"/>
          <c:y val="0.88038038038038"/>
          <c:w val="0.331229798368478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10328638497653"/>
          <c:y val="0.127377377377377"/>
          <c:w val="0.899022550604172"/>
          <c:h val="0.74461961961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Input'!$B$25,'IS Input'!$I$25,'IS Input'!$P$25,'IS Input'!$W$25,'IS Input'!$AD$25</c:f>
              <c:numCache>
                <c:formatCode>_(* #,##0.0_);_(* \(#,##0.0\);_(* \-??_);_(@_)</c:formatCode>
                <c:ptCount val="5"/>
                <c:pt idx="2">
                  <c:v>0.000849</c:v>
                </c:pt>
                <c:pt idx="3">
                  <c:v>0</c:v>
                </c:pt>
                <c:pt idx="4">
                  <c:v>0.000849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Input'!$E$25,'IS Input'!$L$25,'IS Input'!$S$25,'IS Input'!$Z$25,'IS Input'!$AG$25</c:f>
              <c:numCache>
                <c:formatCode>_(* #,##0.0_);_(* \(#,##0.0\);_(* \-??_);_(@_)</c:formatCode>
                <c:ptCount val="5"/>
                <c:pt idx="2">
                  <c:v>3.75</c:v>
                </c:pt>
                <c:pt idx="3">
                  <c:v>3.75</c:v>
                </c:pt>
                <c:pt idx="4">
                  <c:v>7.5</c:v>
                </c:pt>
              </c:numCache>
            </c:numRef>
          </c:val>
        </c:ser>
        <c:gapWidth val="150"/>
        <c:overlap val="0"/>
        <c:axId val="10555457"/>
        <c:axId val="86545264"/>
      </c:barChart>
      <c:catAx>
        <c:axId val="105554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6545264"/>
        <c:crossesAt val="0"/>
        <c:auto val="1"/>
        <c:lblAlgn val="ctr"/>
        <c:lblOffset val="100"/>
        <c:noMultiLvlLbl val="0"/>
      </c:catAx>
      <c:valAx>
        <c:axId val="86545264"/>
        <c:scaling>
          <c:orientation val="minMax"/>
          <c:max val="8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0555457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58215962441315"/>
          <c:y val="0.853603603603604"/>
          <c:w val="0.445316708997152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686930091185"/>
          <c:y val="0.157271139935146"/>
          <c:w val="0.89468085106383"/>
          <c:h val="0.699426290845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Input'!$C$25,'IS Input'!$J$25,'IS Input'!$Q$25,'IS Input'!$X$25,'IS Input'!$AE$25</c:f>
              <c:numCache>
                <c:formatCode>_(* #,##0.0_);_(* \(#,##0.0\);_(* \-??_);_(@_)</c:formatCode>
                <c:ptCount val="5"/>
                <c:pt idx="2">
                  <c:v>0.930877</c:v>
                </c:pt>
                <c:pt idx="3">
                  <c:v>1.542486</c:v>
                </c:pt>
                <c:pt idx="4">
                  <c:v>2.473363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Input'!$F$25,'IS Input'!$M$25,'IS Input'!$T$25,'IS Input'!$AA$25,'IS Input'!$AH$25</c:f>
              <c:numCache>
                <c:formatCode>_(* #,##0.0_);_(* \(#,##0.0\);_(* \-??_);_(@_)</c:formatCode>
                <c:ptCount val="5"/>
                <c:pt idx="2">
                  <c:v>1.542486</c:v>
                </c:pt>
                <c:pt idx="3">
                  <c:v>1.542486</c:v>
                </c:pt>
                <c:pt idx="4">
                  <c:v>3.084972</c:v>
                </c:pt>
              </c:numCache>
            </c:numRef>
          </c:val>
        </c:ser>
        <c:gapWidth val="150"/>
        <c:overlap val="0"/>
        <c:axId val="41061578"/>
        <c:axId val="84083347"/>
      </c:barChart>
      <c:catAx>
        <c:axId val="410615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4083347"/>
        <c:crossesAt val="0"/>
        <c:auto val="1"/>
        <c:lblAlgn val="ctr"/>
        <c:lblOffset val="100"/>
        <c:noMultiLvlLbl val="0"/>
      </c:catAx>
      <c:valAx>
        <c:axId val="84083347"/>
        <c:scaling>
          <c:orientation val="minMax"/>
          <c:max val="8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1061578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3495440729483"/>
          <c:y val="0.844100773260165"/>
          <c:w val="0.450379939209726"/>
          <c:h val="0.092417061611374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8060643373865"/>
          <c:y val="0.101601601601602"/>
          <c:w val="0.832692011697707"/>
          <c:h val="0.8084334334334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Input'!$AL$25,'IS Input'!$AN$25,'IS Input'!$AP$25,'IS Input'!$AR$25,'IS Input'!$AT$25,'IS Input'!$AV$25,'IS Input'!$AX$25,'IS Input'!$AZ$25,'IS Input'!$BB$25,'IS Input'!$BD$25,'IS Input'!$BF$25,'IS Input'!$BH$25</c:f>
              <c:numCache>
                <c:formatCode>General</c:formatCode>
                <c:ptCount val="12"/>
                <c:pt idx="6">
                  <c:v>19</c:v>
                </c:pt>
                <c:pt idx="7">
                  <c:v>19</c:v>
                </c:pt>
                <c:pt idx="8">
                  <c:v>18</c:v>
                </c:pt>
              </c:numCache>
            </c:numRef>
          </c:val>
        </c:ser>
        <c:gapWidth val="150"/>
        <c:overlap val="0"/>
        <c:axId val="7315"/>
        <c:axId val="77685382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Input'!$AM$25,'IS Input'!$AO$25,'IS Input'!$AQ$25,'IS Input'!$AS$25,'IS Input'!$AU$25,'IS Input'!$AW$25,'IS Input'!$AY$25,'IS Input'!$BA$25,'IS Input'!$BC$25,'IS Input'!$BE$25,'IS Input'!$BG$25,'IS Input'!$BI$25</c:f>
              <c:numCache>
                <c:formatCode>General</c:formatCode>
                <c:ptCount val="12"/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27</c:v>
                </c:pt>
                <c:pt idx="10">
                  <c:v>27</c:v>
                </c:pt>
                <c:pt idx="11">
                  <c:v>27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15"/>
        <c:axId val="77685382"/>
      </c:lineChart>
      <c:catAx>
        <c:axId val="73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7685382"/>
        <c:crossesAt val="0"/>
        <c:auto val="1"/>
        <c:lblAlgn val="ctr"/>
        <c:lblOffset val="100"/>
        <c:noMultiLvlLbl val="0"/>
      </c:catAx>
      <c:valAx>
        <c:axId val="7768538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31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8256118208404"/>
          <c:y val="0.88038038038038"/>
          <c:w val="0.298676312144067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8550041796489"/>
          <c:y val="0.124124124124124"/>
          <c:w val="0.839805456341667"/>
          <c:h val="0.7482482482482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Input'!$D$25,'IS Input'!$K$25,'IS Input'!$R$25,'IS Input'!$Y$25,'IS Input'!$AF$25</c:f>
              <c:numCache>
                <c:formatCode>_(* #,##0.0_);_(* \(#,##0.0\);_(* \-??_);_(@_)</c:formatCode>
                <c:ptCount val="5"/>
                <c:pt idx="2">
                  <c:v>-2.53091</c:v>
                </c:pt>
                <c:pt idx="3">
                  <c:v>-3.366378</c:v>
                </c:pt>
                <c:pt idx="4">
                  <c:v>-5.897288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Input'!$G$25,'IS Input'!$N$25,'IS Input'!$U$25,'IS Input'!$AB$25,'IS Input'!$AI$25</c:f>
              <c:numCache>
                <c:formatCode>_(* #,##0.0_);_(* \(#,##0.0\);_(* \-??_);_(@_)</c:formatCode>
                <c:ptCount val="5"/>
                <c:pt idx="2">
                  <c:v>0.383622</c:v>
                </c:pt>
                <c:pt idx="3">
                  <c:v>0.383622</c:v>
                </c:pt>
                <c:pt idx="4">
                  <c:v>0.767244</c:v>
                </c:pt>
              </c:numCache>
            </c:numRef>
          </c:val>
        </c:ser>
        <c:gapWidth val="150"/>
        <c:overlap val="0"/>
        <c:axId val="6745231"/>
        <c:axId val="23684739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Pt>
            <c:idx val="3"/>
            <c:marker>
              <c:symbol val="none"/>
            </c:marker>
          </c:dPt>
          <c:dPt>
            <c:idx val="4"/>
            <c:marker>
              <c:symbol val="none"/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Input'!$B$109:$F$109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745231"/>
        <c:axId val="23684739"/>
      </c:lineChart>
      <c:catAx>
        <c:axId val="67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3684739"/>
        <c:crossesAt val="0"/>
        <c:auto val="1"/>
        <c:lblAlgn val="ctr"/>
        <c:lblOffset val="100"/>
        <c:noMultiLvlLbl val="0"/>
      </c:catAx>
      <c:valAx>
        <c:axId val="23684739"/>
        <c:scaling>
          <c:orientation val="minMax"/>
          <c:max val="6"/>
          <c:min val="-8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745231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333308002127821"/>
          <c:y val="0.848973973973974"/>
          <c:w val="0.461129265141728"/>
          <c:h val="0.09271771771771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1022858462249"/>
          <c:y val="0.145895895895896"/>
          <c:w val="0.844454706380359"/>
          <c:h val="0.6933183183183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ser>
          <c:idx val="1"/>
          <c:order val="1"/>
          <c:spPr>
            <a:solidFill>
              <a:srgbClr val="00ff00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gapWidth val="150"/>
        <c:overlap val="0"/>
        <c:axId val="57742277"/>
        <c:axId val="62527085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Input'!$B$80:$F$80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0.132</c:v>
                </c:pt>
                <c:pt idx="4">
                  <c:v>0.132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7742277"/>
        <c:axId val="62527085"/>
      </c:lineChart>
      <c:catAx>
        <c:axId val="577422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2527085"/>
        <c:crossesAt val="0"/>
        <c:auto val="1"/>
        <c:lblAlgn val="ctr"/>
        <c:lblOffset val="100"/>
        <c:noMultiLvlLbl val="0"/>
      </c:catAx>
      <c:valAx>
        <c:axId val="62527085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7742277"/>
        <c:crossesAt val="1"/>
        <c:crossBetween val="midCat"/>
        <c:majorUnit val="4"/>
        <c:minorUnit val="4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20888170553375"/>
          <c:y val="0.822947947947948"/>
          <c:w val="0.483260217039945"/>
          <c:h val="0.08833833833833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686930091185"/>
          <c:y val="0.160389124469943"/>
          <c:w val="0.893009118541034"/>
          <c:h val="0.6990521327014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ser>
          <c:idx val="1"/>
          <c:order val="1"/>
          <c:spPr>
            <a:solidFill>
              <a:srgbClr val="ffff00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gapWidth val="150"/>
        <c:overlap val="0"/>
        <c:axId val="62505540"/>
        <c:axId val="93622493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Input'!$B$98:$F$98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1.344</c:v>
                </c:pt>
                <c:pt idx="4">
                  <c:v>1.344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505540"/>
        <c:axId val="93622493"/>
      </c:lineChart>
      <c:catAx>
        <c:axId val="625055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3622493"/>
        <c:crossesAt val="0"/>
        <c:auto val="1"/>
        <c:lblAlgn val="ctr"/>
        <c:lblOffset val="100"/>
        <c:noMultiLvlLbl val="0"/>
      </c:catAx>
      <c:valAx>
        <c:axId val="93622493"/>
        <c:scaling>
          <c:orientation val="minMax"/>
          <c:max val="4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2505540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7370820668693"/>
          <c:y val="0.846719880269394"/>
          <c:w val="0.450379939209726"/>
          <c:h val="0.0835619855325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3438510081576"/>
          <c:y val="0.100475475475475"/>
          <c:w val="0.850469447437279"/>
          <c:h val="0.7650150150150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 w="0">
              <a:noFill/>
            </a:ln>
          </c:spPr>
          <c:invertIfNegative val="0"/>
          <c:cat>
            <c:strRef>
              <c:f>'IS Input'!$AL$3,'IS Input'!$AN$3,'IS Input'!$AP$3,'IS Input'!$AR$3,'IS Input'!$AT$3,'IS Input'!$AV$3,'IS Input'!$AX$3,'IS Input'!$AZ$3,'IS Input'!$BB$3,'IS Input'!$BD$3,'IS Input'!$BF$3,'IS Input'!$BH$3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</c:ser>
        <c:gapWidth val="150"/>
        <c:overlap val="0"/>
        <c:axId val="18345394"/>
        <c:axId val="6311081"/>
      </c:barChart>
      <c:lineChart>
        <c:grouping val="standard"/>
        <c:varyColors val="0"/>
        <c:ser>
          <c:idx val="1"/>
          <c:order val="1"/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cat>
            <c:strRef>
              <c:f>'IS Input'!$AL$3,'IS Input'!$AN$3,'IS Input'!$AP$3,'IS Input'!$AR$3,'IS Input'!$AT$3,'IS Input'!$AV$3,'IS Input'!$AX$3,'IS Input'!$AZ$3,'IS Input'!$BB$3,'IS Input'!$BD$3,'IS Input'!$BF$3,'IS Input'!$BH$3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smooth val="0"/>
        </c:ser>
        <c:hiLowLines>
          <c:spPr>
            <a:ln w="0">
              <a:noFill/>
            </a:ln>
          </c:spPr>
        </c:hiLowLines>
        <c:marker val="1"/>
        <c:axId val="18345394"/>
        <c:axId val="6311081"/>
      </c:lineChart>
      <c:catAx>
        <c:axId val="183453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311081"/>
        <c:crossesAt val="0"/>
        <c:auto val="1"/>
        <c:lblAlgn val="ctr"/>
        <c:lblOffset val="100"/>
        <c:noMultiLvlLbl val="0"/>
      </c:catAx>
      <c:valAx>
        <c:axId val="6311081"/>
        <c:scaling>
          <c:orientation val="minMax"/>
          <c:max val="2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8345394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9686008927197"/>
          <c:y val="0.8820070070070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9029216262173"/>
          <c:y val="0.124374374374374"/>
          <c:w val="0.787215953006647"/>
          <c:h val="0.744619619619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8000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ser>
          <c:idx val="1"/>
          <c:order val="1"/>
          <c:spPr>
            <a:solidFill>
              <a:srgbClr val="800000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gapWidth val="150"/>
        <c:overlap val="0"/>
        <c:axId val="98697581"/>
        <c:axId val="80916629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Input'!$B$116:$F$116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-1.871</c:v>
                </c:pt>
                <c:pt idx="4">
                  <c:v>-1.871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8697581"/>
        <c:axId val="80916629"/>
      </c:lineChart>
      <c:catAx>
        <c:axId val="986975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0916629"/>
        <c:crossesAt val="0"/>
        <c:auto val="1"/>
        <c:lblAlgn val="ctr"/>
        <c:lblOffset val="100"/>
        <c:noMultiLvlLbl val="0"/>
      </c:catAx>
      <c:valAx>
        <c:axId val="80916629"/>
        <c:scaling>
          <c:orientation val="minMax"/>
          <c:max val="12"/>
          <c:min val="-4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8697581"/>
        <c:crossesAt val="1"/>
        <c:crossBetween val="midCat"/>
        <c:majorUnit val="4"/>
        <c:minorUnit val="4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4315968464987"/>
          <c:y val="0.846096096096096"/>
          <c:w val="0.439016849590354"/>
          <c:h val="0.09271771771771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 - 4Q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3112698533323"/>
          <c:y val="0.114518147684606"/>
          <c:w val="0.943688730146668"/>
          <c:h val="0.6584480600750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"Actual-to-Date"</c:f>
              <c:strCache>
                <c:ptCount val="1"/>
                <c:pt idx="0">
                  <c:v>Actual-to-Date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67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67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67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67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67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67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67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'IS Input'!$A$3:$A$12</c:f>
              <c:strCache>
                <c:ptCount val="10"/>
                <c:pt idx="0">
                  <c:v>Crude &amp; Products</c:v>
                </c:pt>
                <c:pt idx="1">
                  <c:v>Coal / Emissions</c:v>
                </c:pt>
                <c:pt idx="2">
                  <c:v>Weather</c:v>
                </c:pt>
                <c:pt idx="3">
                  <c:v>Risk Markets</c:v>
                </c:pt>
                <c:pt idx="4">
                  <c:v>Fin Trading</c:v>
                </c:pt>
                <c:pt idx="5">
                  <c:v>Freight</c:v>
                </c:pt>
                <c:pt idx="6">
                  <c:v>LNG / Puerto Rico</c:v>
                </c:pt>
                <c:pt idx="7">
                  <c:v>Japan</c:v>
                </c:pt>
                <c:pt idx="8">
                  <c:v>Finance / Chair / ME / Other /Drift</c:v>
                </c:pt>
                <c:pt idx="9">
                  <c:v>Total</c:v>
                </c:pt>
              </c:strCache>
            </c:strRef>
          </c:cat>
          <c:val>
            <c:numRef>
              <c:f>'IS Input'!$Y$3:$Y$12</c:f>
              <c:numCache>
                <c:formatCode>_(* #,##0.0_);_(* \(#,##0.0\);_(* \-??_);_(@_)</c:formatCode>
                <c:ptCount val="10"/>
                <c:pt idx="0">
                  <c:v>-24.647743</c:v>
                </c:pt>
                <c:pt idx="1">
                  <c:v>-8.502515</c:v>
                </c:pt>
                <c:pt idx="2">
                  <c:v>-2.205833</c:v>
                </c:pt>
                <c:pt idx="3">
                  <c:v>-3.424368</c:v>
                </c:pt>
                <c:pt idx="4">
                  <c:v>1.368453</c:v>
                </c:pt>
                <c:pt idx="5">
                  <c:v>-8.801527</c:v>
                </c:pt>
                <c:pt idx="6">
                  <c:v>-4.083428</c:v>
                </c:pt>
                <c:pt idx="7">
                  <c:v>-3.366378</c:v>
                </c:pt>
                <c:pt idx="8">
                  <c:v>-51.365254</c:v>
                </c:pt>
                <c:pt idx="9">
                  <c:v>-105.028593</c:v>
                </c:pt>
              </c:numCache>
            </c:numRef>
          </c:val>
        </c:ser>
        <c:ser>
          <c:idx val="1"/>
          <c:order val="1"/>
          <c:tx>
            <c:strRef>
              <c:f>"Qtr Plan"</c:f>
              <c:strCache>
                <c:ptCount val="1"/>
                <c:pt idx="0">
                  <c:v>Qtr 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67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67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67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67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67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'IS Input'!$A$3:$A$12</c:f>
              <c:strCache>
                <c:ptCount val="10"/>
                <c:pt idx="0">
                  <c:v>Crude &amp; Products</c:v>
                </c:pt>
                <c:pt idx="1">
                  <c:v>Coal / Emissions</c:v>
                </c:pt>
                <c:pt idx="2">
                  <c:v>Weather</c:v>
                </c:pt>
                <c:pt idx="3">
                  <c:v>Risk Markets</c:v>
                </c:pt>
                <c:pt idx="4">
                  <c:v>Fin Trading</c:v>
                </c:pt>
                <c:pt idx="5">
                  <c:v>Freight</c:v>
                </c:pt>
                <c:pt idx="6">
                  <c:v>LNG / Puerto Rico</c:v>
                </c:pt>
                <c:pt idx="7">
                  <c:v>Japan</c:v>
                </c:pt>
                <c:pt idx="8">
                  <c:v>Finance / Chair / ME / Other /Drift</c:v>
                </c:pt>
                <c:pt idx="9">
                  <c:v>Total</c:v>
                </c:pt>
              </c:strCache>
            </c:strRef>
          </c:cat>
          <c:val>
            <c:numRef>
              <c:f>'IS Input'!$AB$3:$AB$12</c:f>
              <c:numCache>
                <c:formatCode>_(* #,##0.0_);_(* \(#,##0.0\);_(* \-??_);_(@_)</c:formatCode>
                <c:ptCount val="10"/>
                <c:pt idx="0">
                  <c:v>28.078257</c:v>
                </c:pt>
                <c:pt idx="1">
                  <c:v>9.127239</c:v>
                </c:pt>
                <c:pt idx="2">
                  <c:v>5.415747</c:v>
                </c:pt>
                <c:pt idx="3">
                  <c:v>5.404592</c:v>
                </c:pt>
                <c:pt idx="4">
                  <c:v>26.414453</c:v>
                </c:pt>
                <c:pt idx="5">
                  <c:v>4.54229</c:v>
                </c:pt>
                <c:pt idx="6">
                  <c:v>41.380572</c:v>
                </c:pt>
                <c:pt idx="7">
                  <c:v>0.383622</c:v>
                </c:pt>
                <c:pt idx="8">
                  <c:v>-18.031862</c:v>
                </c:pt>
                <c:pt idx="9">
                  <c:v>102.71491</c:v>
                </c:pt>
              </c:numCache>
            </c:numRef>
          </c:val>
        </c:ser>
        <c:gapWidth val="150"/>
        <c:overlap val="0"/>
        <c:axId val="85503592"/>
        <c:axId val="40323398"/>
      </c:barChart>
      <c:catAx>
        <c:axId val="85503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40323398"/>
        <c:crossesAt val="0"/>
        <c:auto val="1"/>
        <c:lblAlgn val="ctr"/>
        <c:lblOffset val="100"/>
        <c:noMultiLvlLbl val="0"/>
      </c:catAx>
      <c:valAx>
        <c:axId val="40323398"/>
        <c:scaling>
          <c:orientation val="minMax"/>
          <c:max val="150"/>
          <c:min val="-1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5503592"/>
        <c:crossesAt val="1"/>
        <c:crossBetween val="midCat"/>
        <c:majorUnit val="5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6959495402386"/>
          <c:y val="0.856695869837297"/>
          <c:w val="0.27076525571852"/>
          <c:h val="0.07509386733416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September 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1285615544121"/>
          <c:y val="0.150286854577201"/>
          <c:w val="0.919975424314569"/>
          <c:h val="0.588176602644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'IS Input'!$AK$4:$AK$13</c:f>
              <c:strCache>
                <c:ptCount val="10"/>
                <c:pt idx="0">
                  <c:v>Crude &amp; Products</c:v>
                </c:pt>
                <c:pt idx="1">
                  <c:v>Coal/Emissions</c:v>
                </c:pt>
                <c:pt idx="2">
                  <c:v>Weather</c:v>
                </c:pt>
                <c:pt idx="3">
                  <c:v>Global Risk Markets</c:v>
                </c:pt>
                <c:pt idx="4">
                  <c:v>Financial Trading</c:v>
                </c:pt>
                <c:pt idx="5">
                  <c:v>Freight</c:v>
                </c:pt>
                <c:pt idx="6">
                  <c:v>LNG/Middle East/Puerto Rico</c:v>
                </c:pt>
                <c:pt idx="7">
                  <c:v>Japan</c:v>
                </c:pt>
                <c:pt idx="8">
                  <c:v>Other</c:v>
                </c:pt>
                <c:pt idx="9">
                  <c:v>Total Monthly Headcount</c:v>
                </c:pt>
              </c:strCache>
            </c:strRef>
          </c:cat>
          <c:val>
            <c:numRef>
              <c:f>'IS Input'!$BB$4:$BB$13</c:f>
              <c:numCache>
                <c:formatCode>General</c:formatCode>
                <c:ptCount val="10"/>
                <c:pt idx="0">
                  <c:v>132</c:v>
                </c:pt>
                <c:pt idx="1">
                  <c:v>82</c:v>
                </c:pt>
                <c:pt idx="2">
                  <c:v>40</c:v>
                </c:pt>
                <c:pt idx="3">
                  <c:v>13</c:v>
                </c:pt>
                <c:pt idx="4">
                  <c:v>38</c:v>
                </c:pt>
                <c:pt idx="5">
                  <c:v>62</c:v>
                </c:pt>
                <c:pt idx="6">
                  <c:v>34</c:v>
                </c:pt>
                <c:pt idx="7">
                  <c:v>18</c:v>
                </c:pt>
                <c:pt idx="8">
                  <c:v>138</c:v>
                </c:pt>
                <c:pt idx="9">
                  <c:v>557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8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'IS Input'!$AK$4:$AK$13</c:f>
              <c:strCache>
                <c:ptCount val="10"/>
                <c:pt idx="0">
                  <c:v>Crude &amp; Products</c:v>
                </c:pt>
                <c:pt idx="1">
                  <c:v>Coal/Emissions</c:v>
                </c:pt>
                <c:pt idx="2">
                  <c:v>Weather</c:v>
                </c:pt>
                <c:pt idx="3">
                  <c:v>Global Risk Markets</c:v>
                </c:pt>
                <c:pt idx="4">
                  <c:v>Financial Trading</c:v>
                </c:pt>
                <c:pt idx="5">
                  <c:v>Freight</c:v>
                </c:pt>
                <c:pt idx="6">
                  <c:v>LNG/Middle East/Puerto Rico</c:v>
                </c:pt>
                <c:pt idx="7">
                  <c:v>Japan</c:v>
                </c:pt>
                <c:pt idx="8">
                  <c:v>Other</c:v>
                </c:pt>
                <c:pt idx="9">
                  <c:v>Total Monthly Headcount</c:v>
                </c:pt>
              </c:strCache>
            </c:strRef>
          </c:cat>
          <c:val>
            <c:numRef>
              <c:f>'IS Input'!$BC$4:$BC$13</c:f>
              <c:numCache>
                <c:formatCode>General</c:formatCode>
                <c:ptCount val="10"/>
                <c:pt idx="0">
                  <c:v>119</c:v>
                </c:pt>
                <c:pt idx="1">
                  <c:v>88</c:v>
                </c:pt>
                <c:pt idx="2">
                  <c:v>26</c:v>
                </c:pt>
                <c:pt idx="3">
                  <c:v>42</c:v>
                </c:pt>
                <c:pt idx="4">
                  <c:v>54</c:v>
                </c:pt>
                <c:pt idx="5">
                  <c:v>63</c:v>
                </c:pt>
                <c:pt idx="6">
                  <c:v>44</c:v>
                </c:pt>
                <c:pt idx="7">
                  <c:v>24</c:v>
                </c:pt>
                <c:pt idx="8">
                  <c:v>118</c:v>
                </c:pt>
                <c:pt idx="9">
                  <c:v>578</c:v>
                </c:pt>
              </c:numCache>
            </c:numRef>
          </c:val>
        </c:ser>
        <c:gapWidth val="150"/>
        <c:overlap val="0"/>
        <c:axId val="41973240"/>
        <c:axId val="10444853"/>
      </c:barChart>
      <c:catAx>
        <c:axId val="41973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0444853"/>
        <c:crossesAt val="0"/>
        <c:auto val="1"/>
        <c:lblAlgn val="ctr"/>
        <c:lblOffset val="100"/>
        <c:noMultiLvlLbl val="0"/>
      </c:catAx>
      <c:valAx>
        <c:axId val="10444853"/>
        <c:scaling>
          <c:orientation val="minMax"/>
          <c:max val="800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layout>
            <c:manualLayout>
              <c:xMode val="edge"/>
              <c:yMode val="edge"/>
              <c:x val="0.0191997542431457"/>
              <c:y val="0.270266899476179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1973240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1658858766608"/>
          <c:y val="0.894237964579696"/>
          <c:w val="0.230320251900776"/>
          <c:h val="0.07483162883512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Capital Employed / Annualized ROIC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34850252819914"/>
          <c:y val="0.107632826141182"/>
          <c:w val="0.921431349669389"/>
          <c:h val="0.8187827388376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"Capital Employed"</c:f>
              <c:strCache>
                <c:ptCount val="1"/>
                <c:pt idx="0">
                  <c:v>Capital Employed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Employed'!$D$25:$O$25</c:f>
              <c:numCache>
                <c:formatCode>_(* #,##0.0_);_(* \(#,##0.0\);_(* \-??_);_(@_)</c:formatCode>
                <c:ptCount val="12"/>
                <c:pt idx="0">
                  <c:v>1133.565</c:v>
                </c:pt>
                <c:pt idx="1">
                  <c:v>687.761</c:v>
                </c:pt>
                <c:pt idx="2">
                  <c:v>985.129</c:v>
                </c:pt>
                <c:pt idx="3">
                  <c:v>1094.5</c:v>
                </c:pt>
                <c:pt idx="4">
                  <c:v>1180.695738</c:v>
                </c:pt>
                <c:pt idx="5">
                  <c:v>1251</c:v>
                </c:pt>
                <c:pt idx="6">
                  <c:v>1094.253</c:v>
                </c:pt>
                <c:pt idx="7">
                  <c:v>1116.799</c:v>
                </c:pt>
              </c:numCache>
            </c:numRef>
          </c:val>
        </c:ser>
        <c:gapWidth val="150"/>
        <c:overlap val="100"/>
        <c:axId val="35157523"/>
        <c:axId val="13363256"/>
      </c:barChart>
      <c:lineChart>
        <c:grouping val="stacked"/>
        <c:varyColors val="0"/>
        <c:ser>
          <c:idx val="1"/>
          <c:order val="1"/>
          <c:tx>
            <c:strRef>
              <c:f>"Annualized ROIC"</c:f>
              <c:strCache>
                <c:ptCount val="1"/>
                <c:pt idx="0">
                  <c:v>Annualized ROIC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3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Employed'!$D$34:$O$34</c:f>
              <c:numCache>
                <c:formatCode>0.00%</c:formatCode>
                <c:ptCount val="12"/>
                <c:pt idx="0">
                  <c:v>0.0683615246307524</c:v>
                </c:pt>
                <c:pt idx="1">
                  <c:v>0.0683615246307524</c:v>
                </c:pt>
                <c:pt idx="2">
                  <c:v>0.0683615246307524</c:v>
                </c:pt>
                <c:pt idx="3">
                  <c:v>0.0683615246307524</c:v>
                </c:pt>
                <c:pt idx="4">
                  <c:v>0.0683615246307524</c:v>
                </c:pt>
                <c:pt idx="5">
                  <c:v>0.0683615246307524</c:v>
                </c:pt>
                <c:pt idx="6">
                  <c:v>0.0683615246307524</c:v>
                </c:pt>
                <c:pt idx="7">
                  <c:v>0.0683615246307524</c:v>
                </c:pt>
                <c:pt idx="8">
                  <c:v>0.0683615246307524</c:v>
                </c:pt>
                <c:pt idx="9">
                  <c:v>0.0683615246307524</c:v>
                </c:pt>
                <c:pt idx="10">
                  <c:v>0.0683615246307524</c:v>
                </c:pt>
                <c:pt idx="11">
                  <c:v>0.0683615246307524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2655709"/>
        <c:axId val="12557493"/>
      </c:lineChart>
      <c:catAx>
        <c:axId val="351575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3363256"/>
        <c:crossesAt val="0"/>
        <c:auto val="1"/>
        <c:lblAlgn val="ctr"/>
        <c:lblOffset val="100"/>
        <c:noMultiLvlLbl val="0"/>
      </c:catAx>
      <c:valAx>
        <c:axId val="133632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5157523"/>
        <c:crossesAt val="1"/>
        <c:crossBetween val="midCat"/>
      </c:valAx>
      <c:catAx>
        <c:axId val="92655709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557493"/>
        <c:auto val="1"/>
        <c:lblAlgn val="ctr"/>
        <c:lblOffset val="100"/>
        <c:noMultiLvlLbl val="0"/>
      </c:catAx>
      <c:valAx>
        <c:axId val="12557493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2655709"/>
        <c:crosses val="max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06884480746791"/>
          <c:y val="0.881391868296333"/>
          <c:w val="0.768416958381953"/>
          <c:h val="0.07919680718383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chart" Target="../charts/chart16.xml"/><Relationship Id="rId3" Type="http://schemas.openxmlformats.org/officeDocument/2006/relationships/chart" Target="../charts/chart17.xml"/><Relationship Id="rId4" Type="http://schemas.openxmlformats.org/officeDocument/2006/relationships/chart" Target="../charts/chart18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<Relationship Id="rId3" Type="http://schemas.openxmlformats.org/officeDocument/2006/relationships/chart" Target="../charts/chart21.xml"/><Relationship Id="rId4" Type="http://schemas.openxmlformats.org/officeDocument/2006/relationships/chart" Target="../charts/chart22.xml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chart" Target="../charts/chart23.xml"/><Relationship Id="rId2" Type="http://schemas.openxmlformats.org/officeDocument/2006/relationships/chart" Target="../charts/chart24.xml"/><Relationship Id="rId3" Type="http://schemas.openxmlformats.org/officeDocument/2006/relationships/chart" Target="../charts/chart25.xml"/><Relationship Id="rId4" Type="http://schemas.openxmlformats.org/officeDocument/2006/relationships/chart" Target="../charts/chart26.xml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chart" Target="../charts/chart27.xml"/><Relationship Id="rId2" Type="http://schemas.openxmlformats.org/officeDocument/2006/relationships/chart" Target="../charts/chart28.xml"/><Relationship Id="rId3" Type="http://schemas.openxmlformats.org/officeDocument/2006/relationships/chart" Target="../charts/chart29.xml"/><Relationship Id="rId4" Type="http://schemas.openxmlformats.org/officeDocument/2006/relationships/chart" Target="../charts/chart30.xml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chart" Target="../charts/chart31.xml"/><Relationship Id="rId2" Type="http://schemas.openxmlformats.org/officeDocument/2006/relationships/chart" Target="../charts/chart32.xml"/><Relationship Id="rId3" Type="http://schemas.openxmlformats.org/officeDocument/2006/relationships/chart" Target="../charts/chart33.xml"/><Relationship Id="rId4" Type="http://schemas.openxmlformats.org/officeDocument/2006/relationships/chart" Target="../charts/chart34.xml"/>
</Relationships>
</file>

<file path=xl/drawings/_rels/drawing19.xml.rels><?xml version="1.0" encoding="UTF-8"?>
<Relationships xmlns="http://schemas.openxmlformats.org/package/2006/relationships"><Relationship Id="rId1" Type="http://schemas.openxmlformats.org/officeDocument/2006/relationships/chart" Target="../charts/chart35.xml"/><Relationship Id="rId2" Type="http://schemas.openxmlformats.org/officeDocument/2006/relationships/chart" Target="../charts/chart36.xml"/><Relationship Id="rId3" Type="http://schemas.openxmlformats.org/officeDocument/2006/relationships/chart" Target="../charts/chart37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Relationship Id="rId3" Type="http://schemas.openxmlformats.org/officeDocument/2006/relationships/chart" Target="../charts/chart5.xml"/><Relationship Id="rId4" Type="http://schemas.openxmlformats.org/officeDocument/2006/relationships/chart" Target="../charts/chart6.xml"/>
</Relationships>
</file>

<file path=xl/drawings/_rels/drawing20.xml.rels><?xml version="1.0" encoding="UTF-8"?>
<Relationships xmlns="http://schemas.openxmlformats.org/package/2006/relationships"><Relationship Id="rId1" Type="http://schemas.openxmlformats.org/officeDocument/2006/relationships/chart" Target="../charts/chart38.xml"/><Relationship Id="rId2" Type="http://schemas.openxmlformats.org/officeDocument/2006/relationships/chart" Target="../charts/chart39.xml"/><Relationship Id="rId3" Type="http://schemas.openxmlformats.org/officeDocument/2006/relationships/chart" Target="../charts/chart40.xml"/><Relationship Id="rId4" Type="http://schemas.openxmlformats.org/officeDocument/2006/relationships/chart" Target="../charts/chart41.xml"/>
</Relationships>
</file>

<file path=xl/drawings/_rels/drawing22.xml.rels><?xml version="1.0" encoding="UTF-8"?>
<Relationships xmlns="http://schemas.openxmlformats.org/package/2006/relationships"><Relationship Id="rId1" Type="http://schemas.openxmlformats.org/officeDocument/2006/relationships/chart" Target="../charts/chart42.xml"/><Relationship Id="rId2" Type="http://schemas.openxmlformats.org/officeDocument/2006/relationships/chart" Target="../charts/chart43.xml"/><Relationship Id="rId3" Type="http://schemas.openxmlformats.org/officeDocument/2006/relationships/chart" Target="../charts/chart44.xml"/><Relationship Id="rId4" Type="http://schemas.openxmlformats.org/officeDocument/2006/relationships/chart" Target="../charts/chart45.xml"/>
</Relationships>
</file>

<file path=xl/drawings/_rels/drawing23.xml.rels><?xml version="1.0" encoding="UTF-8"?>
<Relationships xmlns="http://schemas.openxmlformats.org/package/2006/relationships"><Relationship Id="rId1" Type="http://schemas.openxmlformats.org/officeDocument/2006/relationships/chart" Target="../charts/chart46.xml"/><Relationship Id="rId2" Type="http://schemas.openxmlformats.org/officeDocument/2006/relationships/chart" Target="../charts/chart47.xml"/><Relationship Id="rId3" Type="http://schemas.openxmlformats.org/officeDocument/2006/relationships/chart" Target="../charts/chart48.xml"/><Relationship Id="rId4" Type="http://schemas.openxmlformats.org/officeDocument/2006/relationships/chart" Target="../charts/chart49.xml"/>
</Relationships>
</file>

<file path=xl/drawings/_rels/drawing24.xml.rels><?xml version="1.0" encoding="UTF-8"?>
<Relationships xmlns="http://schemas.openxmlformats.org/package/2006/relationships"><Relationship Id="rId1" Type="http://schemas.openxmlformats.org/officeDocument/2006/relationships/chart" Target="../charts/chart50.xml"/><Relationship Id="rId2" Type="http://schemas.openxmlformats.org/officeDocument/2006/relationships/chart" Target="../charts/chart51.xml"/><Relationship Id="rId3" Type="http://schemas.openxmlformats.org/officeDocument/2006/relationships/chart" Target="../charts/chart52.xml"/><Relationship Id="rId4" Type="http://schemas.openxmlformats.org/officeDocument/2006/relationships/chart" Target="../charts/chart53.xml"/>
</Relationships>
</file>

<file path=xl/drawings/_rels/drawing25.xml.rels><?xml version="1.0" encoding="UTF-8"?>
<Relationships xmlns="http://schemas.openxmlformats.org/package/2006/relationships"><Relationship Id="rId1" Type="http://schemas.openxmlformats.org/officeDocument/2006/relationships/chart" Target="../charts/chart54.xml"/><Relationship Id="rId2" Type="http://schemas.openxmlformats.org/officeDocument/2006/relationships/chart" Target="../charts/chart55.xml"/><Relationship Id="rId3" Type="http://schemas.openxmlformats.org/officeDocument/2006/relationships/chart" Target="../charts/chart56.xml"/><Relationship Id="rId4" Type="http://schemas.openxmlformats.org/officeDocument/2006/relationships/chart" Target="../charts/chart57.xml"/>
</Relationships>
</file>

<file path=xl/drawings/_rels/drawing26.xml.rels><?xml version="1.0" encoding="UTF-8"?>
<Relationships xmlns="http://schemas.openxmlformats.org/package/2006/relationships"><Relationship Id="rId1" Type="http://schemas.openxmlformats.org/officeDocument/2006/relationships/chart" Target="../charts/chart58.xml"/><Relationship Id="rId2" Type="http://schemas.openxmlformats.org/officeDocument/2006/relationships/chart" Target="../charts/chart59.xml"/><Relationship Id="rId3" Type="http://schemas.openxmlformats.org/officeDocument/2006/relationships/chart" Target="../charts/chart60.xml"/><Relationship Id="rId4" Type="http://schemas.openxmlformats.org/officeDocument/2006/relationships/chart" Target="../charts/chart61.xml"/>
</Relationships>
</file>

<file path=xl/drawings/_rels/drawing27.xml.rels><?xml version="1.0" encoding="UTF-8"?>
<Relationships xmlns="http://schemas.openxmlformats.org/package/2006/relationships"><Relationship Id="rId1" Type="http://schemas.openxmlformats.org/officeDocument/2006/relationships/chart" Target="../charts/chart62.xml"/><Relationship Id="rId2" Type="http://schemas.openxmlformats.org/officeDocument/2006/relationships/chart" Target="../charts/chart63.xml"/><Relationship Id="rId3" Type="http://schemas.openxmlformats.org/officeDocument/2006/relationships/chart" Target="../charts/chart64.xml"/><Relationship Id="rId4" Type="http://schemas.openxmlformats.org/officeDocument/2006/relationships/chart" Target="../charts/chart65.xml"/>
</Relationships>
</file>

<file path=xl/drawings/_rels/drawing28.xml.rels><?xml version="1.0" encoding="UTF-8"?>
<Relationships xmlns="http://schemas.openxmlformats.org/package/2006/relationships"><Relationship Id="rId1" Type="http://schemas.openxmlformats.org/officeDocument/2006/relationships/chart" Target="../charts/chart66.xml"/><Relationship Id="rId2" Type="http://schemas.openxmlformats.org/officeDocument/2006/relationships/chart" Target="../charts/chart67.xml"/><Relationship Id="rId3" Type="http://schemas.openxmlformats.org/officeDocument/2006/relationships/chart" Target="../charts/chart68.xml"/><Relationship Id="rId4" Type="http://schemas.openxmlformats.org/officeDocument/2006/relationships/chart" Target="../charts/chart69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Relationship Id="rId4" Type="http://schemas.openxmlformats.org/officeDocument/2006/relationships/chart" Target="../charts/chart10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Relationship Id="rId3" Type="http://schemas.openxmlformats.org/officeDocument/2006/relationships/chart" Target="../charts/chart13.xml"/><Relationship Id="rId4" Type="http://schemas.openxmlformats.org/officeDocument/2006/relationships/chart" Target="../charts/chart1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10800</xdr:colOff>
      <xdr:row>37</xdr:row>
      <xdr:rowOff>38160</xdr:rowOff>
    </xdr:from>
    <xdr:to>
      <xdr:col>5</xdr:col>
      <xdr:colOff>352440</xdr:colOff>
      <xdr:row>66</xdr:row>
      <xdr:rowOff>114480</xdr:rowOff>
    </xdr:to>
    <xdr:graphicFrame>
      <xdr:nvGraphicFramePr>
        <xdr:cNvPr id="0" name="Chart 1"/>
        <xdr:cNvGraphicFramePr/>
      </xdr:nvGraphicFramePr>
      <xdr:xfrm>
        <a:off x="201240" y="5467320"/>
        <a:ext cx="6108840" cy="4772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402480</xdr:colOff>
      <xdr:row>37</xdr:row>
      <xdr:rowOff>38160</xdr:rowOff>
    </xdr:from>
    <xdr:to>
      <xdr:col>15</xdr:col>
      <xdr:colOff>30600</xdr:colOff>
      <xdr:row>66</xdr:row>
      <xdr:rowOff>114480</xdr:rowOff>
    </xdr:to>
    <xdr:graphicFrame>
      <xdr:nvGraphicFramePr>
        <xdr:cNvPr id="1" name="Chart 2"/>
        <xdr:cNvGraphicFramePr/>
      </xdr:nvGraphicFramePr>
      <xdr:xfrm>
        <a:off x="6360120" y="5467320"/>
        <a:ext cx="5955120" cy="4772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0.149234203032402</cdr:x>
      <cdr:y>0.0797047047047047</cdr:y>
    </cdr:from>
    <cdr:to>
      <cdr:x>0.171015162010313</cdr:x>
      <cdr:y>0.148023023023023</cdr:y>
    </cdr:to>
    <cdr:sp>
      <cdr:nvSpPr>
        <cdr:cNvPr id="60" name="Text 4"/>
        <cdr:cNvSpPr/>
      </cdr:nvSpPr>
      <cdr:spPr>
        <a:xfrm>
          <a:off x="698040" y="229320"/>
          <a:ext cx="101880" cy="1965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142920</xdr:rowOff>
    </xdr:from>
    <xdr:to>
      <xdr:col>7</xdr:col>
      <xdr:colOff>209880</xdr:colOff>
      <xdr:row>22</xdr:row>
      <xdr:rowOff>105120</xdr:rowOff>
    </xdr:to>
    <xdr:graphicFrame>
      <xdr:nvGraphicFramePr>
        <xdr:cNvPr id="64" name="Chart 1"/>
        <xdr:cNvGraphicFramePr/>
      </xdr:nvGraphicFramePr>
      <xdr:xfrm>
        <a:off x="0" y="105732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56880</xdr:rowOff>
    </xdr:from>
    <xdr:to>
      <xdr:col>7</xdr:col>
      <xdr:colOff>270000</xdr:colOff>
      <xdr:row>42</xdr:row>
      <xdr:rowOff>28440</xdr:rowOff>
    </xdr:to>
    <xdr:graphicFrame>
      <xdr:nvGraphicFramePr>
        <xdr:cNvPr id="65" name="Chart 2"/>
        <xdr:cNvGraphicFramePr/>
      </xdr:nvGraphicFramePr>
      <xdr:xfrm>
        <a:off x="0" y="420984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379080</xdr:colOff>
      <xdr:row>24</xdr:row>
      <xdr:rowOff>56880</xdr:rowOff>
    </xdr:from>
    <xdr:to>
      <xdr:col>14</xdr:col>
      <xdr:colOff>588960</xdr:colOff>
      <xdr:row>42</xdr:row>
      <xdr:rowOff>19080</xdr:rowOff>
    </xdr:to>
    <xdr:graphicFrame>
      <xdr:nvGraphicFramePr>
        <xdr:cNvPr id="66" name="Chart 3"/>
        <xdr:cNvGraphicFramePr/>
      </xdr:nvGraphicFramePr>
      <xdr:xfrm>
        <a:off x="4846320" y="4209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329040</xdr:colOff>
      <xdr:row>4</xdr:row>
      <xdr:rowOff>133560</xdr:rowOff>
    </xdr:from>
    <xdr:to>
      <xdr:col>14</xdr:col>
      <xdr:colOff>599040</xdr:colOff>
      <xdr:row>22</xdr:row>
      <xdr:rowOff>95760</xdr:rowOff>
    </xdr:to>
    <xdr:graphicFrame>
      <xdr:nvGraphicFramePr>
        <xdr:cNvPr id="68" name="Chart 4"/>
        <xdr:cNvGraphicFramePr/>
      </xdr:nvGraphicFramePr>
      <xdr:xfrm>
        <a:off x="4796280" y="1047960"/>
        <a:ext cx="473724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69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70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0.16547371661664</cdr:x>
      <cdr:y>0.0797047047047047</cdr:y>
    </cdr:from>
    <cdr:to>
      <cdr:x>0.187254675594551</cdr:x>
      <cdr:y>0.148023023023023</cdr:y>
    </cdr:to>
    <cdr:sp>
      <cdr:nvSpPr>
        <cdr:cNvPr id="67" name="Text 4"/>
        <cdr:cNvSpPr/>
      </cdr:nvSpPr>
      <cdr:spPr>
        <a:xfrm>
          <a:off x="774000" y="229320"/>
          <a:ext cx="101880" cy="1965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95400</xdr:rowOff>
    </xdr:from>
    <xdr:to>
      <xdr:col>7</xdr:col>
      <xdr:colOff>209880</xdr:colOff>
      <xdr:row>22</xdr:row>
      <xdr:rowOff>56880</xdr:rowOff>
    </xdr:to>
    <xdr:graphicFrame>
      <xdr:nvGraphicFramePr>
        <xdr:cNvPr id="71" name="Chart 1"/>
        <xdr:cNvGraphicFramePr/>
      </xdr:nvGraphicFramePr>
      <xdr:xfrm>
        <a:off x="0" y="1009800"/>
        <a:ext cx="4677120" cy="287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19080</xdr:rowOff>
    </xdr:from>
    <xdr:to>
      <xdr:col>7</xdr:col>
      <xdr:colOff>270000</xdr:colOff>
      <xdr:row>41</xdr:row>
      <xdr:rowOff>152640</xdr:rowOff>
    </xdr:to>
    <xdr:graphicFrame>
      <xdr:nvGraphicFramePr>
        <xdr:cNvPr id="72" name="Chart 2"/>
        <xdr:cNvGraphicFramePr/>
      </xdr:nvGraphicFramePr>
      <xdr:xfrm>
        <a:off x="0" y="417204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398880</xdr:colOff>
      <xdr:row>24</xdr:row>
      <xdr:rowOff>37800</xdr:rowOff>
    </xdr:from>
    <xdr:to>
      <xdr:col>14</xdr:col>
      <xdr:colOff>608760</xdr:colOff>
      <xdr:row>41</xdr:row>
      <xdr:rowOff>162000</xdr:rowOff>
    </xdr:to>
    <xdr:graphicFrame>
      <xdr:nvGraphicFramePr>
        <xdr:cNvPr id="73" name="Chart 3"/>
        <xdr:cNvGraphicFramePr/>
      </xdr:nvGraphicFramePr>
      <xdr:xfrm>
        <a:off x="4866120" y="419076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339120</xdr:colOff>
      <xdr:row>4</xdr:row>
      <xdr:rowOff>75960</xdr:rowOff>
    </xdr:from>
    <xdr:to>
      <xdr:col>14</xdr:col>
      <xdr:colOff>608760</xdr:colOff>
      <xdr:row>22</xdr:row>
      <xdr:rowOff>38160</xdr:rowOff>
    </xdr:to>
    <xdr:graphicFrame>
      <xdr:nvGraphicFramePr>
        <xdr:cNvPr id="74" name="Chart 4"/>
        <xdr:cNvGraphicFramePr/>
      </xdr:nvGraphicFramePr>
      <xdr:xfrm>
        <a:off x="4806360" y="99036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75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76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578520</xdr:colOff>
      <xdr:row>16</xdr:row>
      <xdr:rowOff>132840</xdr:rowOff>
    </xdr:from>
    <xdr:to>
      <xdr:col>3</xdr:col>
      <xdr:colOff>60480</xdr:colOff>
      <xdr:row>17</xdr:row>
      <xdr:rowOff>56520</xdr:rowOff>
    </xdr:to>
    <xdr:sp>
      <xdr:nvSpPr>
        <xdr:cNvPr id="77" name="Line 8"/>
        <xdr:cNvSpPr/>
      </xdr:nvSpPr>
      <xdr:spPr>
        <a:xfrm flipH="1" flipV="1">
          <a:off x="1854720" y="2990520"/>
          <a:ext cx="120240" cy="8532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86040</xdr:rowOff>
    </xdr:from>
    <xdr:to>
      <xdr:col>7</xdr:col>
      <xdr:colOff>209880</xdr:colOff>
      <xdr:row>22</xdr:row>
      <xdr:rowOff>47520</xdr:rowOff>
    </xdr:to>
    <xdr:graphicFrame>
      <xdr:nvGraphicFramePr>
        <xdr:cNvPr id="78" name="Chart 1"/>
        <xdr:cNvGraphicFramePr/>
      </xdr:nvGraphicFramePr>
      <xdr:xfrm>
        <a:off x="0" y="1000440"/>
        <a:ext cx="4677120" cy="287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19080</xdr:rowOff>
    </xdr:from>
    <xdr:to>
      <xdr:col>7</xdr:col>
      <xdr:colOff>270000</xdr:colOff>
      <xdr:row>41</xdr:row>
      <xdr:rowOff>152640</xdr:rowOff>
    </xdr:to>
    <xdr:graphicFrame>
      <xdr:nvGraphicFramePr>
        <xdr:cNvPr id="79" name="Chart 2"/>
        <xdr:cNvGraphicFramePr/>
      </xdr:nvGraphicFramePr>
      <xdr:xfrm>
        <a:off x="0" y="417204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398880</xdr:colOff>
      <xdr:row>24</xdr:row>
      <xdr:rowOff>37800</xdr:rowOff>
    </xdr:from>
    <xdr:to>
      <xdr:col>14</xdr:col>
      <xdr:colOff>608760</xdr:colOff>
      <xdr:row>41</xdr:row>
      <xdr:rowOff>162000</xdr:rowOff>
    </xdr:to>
    <xdr:graphicFrame>
      <xdr:nvGraphicFramePr>
        <xdr:cNvPr id="81" name="Chart 3"/>
        <xdr:cNvGraphicFramePr/>
      </xdr:nvGraphicFramePr>
      <xdr:xfrm>
        <a:off x="4866120" y="419076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379080</xdr:colOff>
      <xdr:row>4</xdr:row>
      <xdr:rowOff>75960</xdr:rowOff>
    </xdr:from>
    <xdr:to>
      <xdr:col>14</xdr:col>
      <xdr:colOff>588960</xdr:colOff>
      <xdr:row>22</xdr:row>
      <xdr:rowOff>38160</xdr:rowOff>
    </xdr:to>
    <xdr:graphicFrame>
      <xdr:nvGraphicFramePr>
        <xdr:cNvPr id="82" name="Chart 4"/>
        <xdr:cNvGraphicFramePr/>
      </xdr:nvGraphicFramePr>
      <xdr:xfrm>
        <a:off x="4846320" y="99036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83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84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0.867477203647416</cdr:x>
      <cdr:y>0.521701172362185</cdr:y>
    </cdr:from>
    <cdr:to>
      <cdr:x>0.898024316109423</cdr:x>
      <cdr:y>0.532551758543278</cdr:y>
    </cdr:to>
    <cdr:sp>
      <cdr:nvSpPr>
        <cdr:cNvPr id="80" name="Line 1"/>
        <cdr:cNvSpPr/>
      </cdr:nvSpPr>
      <cdr:spPr>
        <a:xfrm flipH="1">
          <a:off x="4109760" y="1505880"/>
          <a:ext cx="144720" cy="3132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95400</xdr:rowOff>
    </xdr:from>
    <xdr:to>
      <xdr:col>7</xdr:col>
      <xdr:colOff>209880</xdr:colOff>
      <xdr:row>22</xdr:row>
      <xdr:rowOff>56880</xdr:rowOff>
    </xdr:to>
    <xdr:graphicFrame>
      <xdr:nvGraphicFramePr>
        <xdr:cNvPr id="85" name="Chart 1"/>
        <xdr:cNvGraphicFramePr/>
      </xdr:nvGraphicFramePr>
      <xdr:xfrm>
        <a:off x="0" y="1009800"/>
        <a:ext cx="4677120" cy="287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19080</xdr:rowOff>
    </xdr:from>
    <xdr:to>
      <xdr:col>7</xdr:col>
      <xdr:colOff>270000</xdr:colOff>
      <xdr:row>41</xdr:row>
      <xdr:rowOff>152640</xdr:rowOff>
    </xdr:to>
    <xdr:graphicFrame>
      <xdr:nvGraphicFramePr>
        <xdr:cNvPr id="86" name="Chart 2"/>
        <xdr:cNvGraphicFramePr/>
      </xdr:nvGraphicFramePr>
      <xdr:xfrm>
        <a:off x="0" y="417204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398880</xdr:colOff>
      <xdr:row>24</xdr:row>
      <xdr:rowOff>37800</xdr:rowOff>
    </xdr:from>
    <xdr:to>
      <xdr:col>14</xdr:col>
      <xdr:colOff>608760</xdr:colOff>
      <xdr:row>41</xdr:row>
      <xdr:rowOff>162000</xdr:rowOff>
    </xdr:to>
    <xdr:graphicFrame>
      <xdr:nvGraphicFramePr>
        <xdr:cNvPr id="87" name="Chart 3"/>
        <xdr:cNvGraphicFramePr/>
      </xdr:nvGraphicFramePr>
      <xdr:xfrm>
        <a:off x="4866120" y="419076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339120</xdr:colOff>
      <xdr:row>4</xdr:row>
      <xdr:rowOff>75960</xdr:rowOff>
    </xdr:from>
    <xdr:to>
      <xdr:col>14</xdr:col>
      <xdr:colOff>608760</xdr:colOff>
      <xdr:row>22</xdr:row>
      <xdr:rowOff>38160</xdr:rowOff>
    </xdr:to>
    <xdr:graphicFrame>
      <xdr:nvGraphicFramePr>
        <xdr:cNvPr id="88" name="Chart 4"/>
        <xdr:cNvGraphicFramePr/>
      </xdr:nvGraphicFramePr>
      <xdr:xfrm>
        <a:off x="4806360" y="99036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89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90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56880</xdr:rowOff>
    </xdr:from>
    <xdr:to>
      <xdr:col>7</xdr:col>
      <xdr:colOff>209880</xdr:colOff>
      <xdr:row>21</xdr:row>
      <xdr:rowOff>162000</xdr:rowOff>
    </xdr:to>
    <xdr:graphicFrame>
      <xdr:nvGraphicFramePr>
        <xdr:cNvPr id="91" name="Chart 1"/>
        <xdr:cNvGraphicFramePr/>
      </xdr:nvGraphicFramePr>
      <xdr:xfrm>
        <a:off x="0" y="971280"/>
        <a:ext cx="4677120" cy="2857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19080</xdr:rowOff>
    </xdr:from>
    <xdr:to>
      <xdr:col>7</xdr:col>
      <xdr:colOff>270000</xdr:colOff>
      <xdr:row>41</xdr:row>
      <xdr:rowOff>152640</xdr:rowOff>
    </xdr:to>
    <xdr:graphicFrame>
      <xdr:nvGraphicFramePr>
        <xdr:cNvPr id="92" name="Chart 2"/>
        <xdr:cNvGraphicFramePr/>
      </xdr:nvGraphicFramePr>
      <xdr:xfrm>
        <a:off x="0" y="417204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438840</xdr:colOff>
      <xdr:row>24</xdr:row>
      <xdr:rowOff>19080</xdr:rowOff>
    </xdr:from>
    <xdr:to>
      <xdr:col>15</xdr:col>
      <xdr:colOff>10440</xdr:colOff>
      <xdr:row>41</xdr:row>
      <xdr:rowOff>142920</xdr:rowOff>
    </xdr:to>
    <xdr:graphicFrame>
      <xdr:nvGraphicFramePr>
        <xdr:cNvPr id="93" name="Chart 3"/>
        <xdr:cNvGraphicFramePr/>
      </xdr:nvGraphicFramePr>
      <xdr:xfrm>
        <a:off x="4906080" y="4172040"/>
        <a:ext cx="4677120" cy="2876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379080</xdr:colOff>
      <xdr:row>4</xdr:row>
      <xdr:rowOff>9360</xdr:rowOff>
    </xdr:from>
    <xdr:to>
      <xdr:col>15</xdr:col>
      <xdr:colOff>10440</xdr:colOff>
      <xdr:row>21</xdr:row>
      <xdr:rowOff>133560</xdr:rowOff>
    </xdr:to>
    <xdr:graphicFrame>
      <xdr:nvGraphicFramePr>
        <xdr:cNvPr id="94" name="Chart 4"/>
        <xdr:cNvGraphicFramePr/>
      </xdr:nvGraphicFramePr>
      <xdr:xfrm>
        <a:off x="4846320" y="92376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98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99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8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0.351774450946121</cdr:x>
      <cdr:y>0.62987987987988</cdr:y>
    </cdr:from>
    <cdr:to>
      <cdr:x>0.399270461281252</cdr:x>
      <cdr:y>0.68506006006006</cdr:y>
    </cdr:to>
    <cdr:sp>
      <cdr:nvSpPr>
        <cdr:cNvPr id="95" name="Line 2"/>
        <cdr:cNvSpPr/>
      </cdr:nvSpPr>
      <cdr:spPr>
        <a:xfrm flipV="1">
          <a:off x="1699560" y="1779120"/>
          <a:ext cx="158760" cy="2250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0.863439471084429</cdr:x>
      <cdr:y>0.451326326326326</cdr:y>
    </cdr:from>
    <cdr:to>
      <cdr:x>0.91215137928414</cdr:x>
      <cdr:y>0.512887887887888</cdr:y>
    </cdr:to>
    <cdr:sp>
      <cdr:nvSpPr>
        <cdr:cNvPr id="96" name="Line 3"/>
        <cdr:cNvSpPr/>
      </cdr:nvSpPr>
      <cdr:spPr>
        <a:xfrm flipH="1" flipV="1">
          <a:off x="4090320" y="1298520"/>
          <a:ext cx="230760" cy="17712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0.510525115890265</cdr:x>
      <cdr:y>0.628628628628629</cdr:y>
    </cdr:from>
    <cdr:to>
      <cdr:x>0.55817311345847</cdr:x>
      <cdr:y>0.68506006006006</cdr:y>
    </cdr:to>
    <cdr:sp>
      <cdr:nvSpPr>
        <cdr:cNvPr id="97" name="Line 4"/>
        <cdr:cNvSpPr/>
      </cdr:nvSpPr>
      <cdr:spPr>
        <a:xfrm flipV="1">
          <a:off x="2450160" y="1776960"/>
          <a:ext cx="162360" cy="22572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498600</xdr:colOff>
      <xdr:row>4</xdr:row>
      <xdr:rowOff>19080</xdr:rowOff>
    </xdr:from>
    <xdr:to>
      <xdr:col>15</xdr:col>
      <xdr:colOff>129960</xdr:colOff>
      <xdr:row>21</xdr:row>
      <xdr:rowOff>152640</xdr:rowOff>
    </xdr:to>
    <xdr:graphicFrame>
      <xdr:nvGraphicFramePr>
        <xdr:cNvPr id="100" name="Chart 2"/>
        <xdr:cNvGraphicFramePr/>
      </xdr:nvGraphicFramePr>
      <xdr:xfrm>
        <a:off x="4965840" y="933480"/>
        <a:ext cx="473688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19800</xdr:colOff>
      <xdr:row>23</xdr:row>
      <xdr:rowOff>152280</xdr:rowOff>
    </xdr:from>
    <xdr:to>
      <xdr:col>7</xdr:col>
      <xdr:colOff>230040</xdr:colOff>
      <xdr:row>41</xdr:row>
      <xdr:rowOff>114480</xdr:rowOff>
    </xdr:to>
    <xdr:graphicFrame>
      <xdr:nvGraphicFramePr>
        <xdr:cNvPr id="101" name="Chart 3"/>
        <xdr:cNvGraphicFramePr/>
      </xdr:nvGraphicFramePr>
      <xdr:xfrm>
        <a:off x="19800" y="414324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</xdr:row>
      <xdr:rowOff>152640</xdr:rowOff>
    </xdr:from>
    <xdr:to>
      <xdr:col>7</xdr:col>
      <xdr:colOff>299880</xdr:colOff>
      <xdr:row>21</xdr:row>
      <xdr:rowOff>95760</xdr:rowOff>
    </xdr:to>
    <xdr:graphicFrame>
      <xdr:nvGraphicFramePr>
        <xdr:cNvPr id="102" name="Chart 4"/>
        <xdr:cNvGraphicFramePr/>
      </xdr:nvGraphicFramePr>
      <xdr:xfrm>
        <a:off x="29880" y="905040"/>
        <a:ext cx="4737240" cy="2857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03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04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438840</xdr:colOff>
      <xdr:row>4</xdr:row>
      <xdr:rowOff>37800</xdr:rowOff>
    </xdr:from>
    <xdr:to>
      <xdr:col>15</xdr:col>
      <xdr:colOff>10440</xdr:colOff>
      <xdr:row>21</xdr:row>
      <xdr:rowOff>162000</xdr:rowOff>
    </xdr:to>
    <xdr:graphicFrame>
      <xdr:nvGraphicFramePr>
        <xdr:cNvPr id="2" name="Chart 1"/>
        <xdr:cNvGraphicFramePr/>
      </xdr:nvGraphicFramePr>
      <xdr:xfrm>
        <a:off x="4906080" y="95220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23</xdr:row>
      <xdr:rowOff>37800</xdr:rowOff>
    </xdr:from>
    <xdr:to>
      <xdr:col>7</xdr:col>
      <xdr:colOff>270000</xdr:colOff>
      <xdr:row>41</xdr:row>
      <xdr:rowOff>9720</xdr:rowOff>
    </xdr:to>
    <xdr:graphicFrame>
      <xdr:nvGraphicFramePr>
        <xdr:cNvPr id="12" name="Chart 2"/>
        <xdr:cNvGraphicFramePr/>
      </xdr:nvGraphicFramePr>
      <xdr:xfrm>
        <a:off x="0" y="4028760"/>
        <a:ext cx="4737240" cy="2886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</xdr:row>
      <xdr:rowOff>19080</xdr:rowOff>
    </xdr:from>
    <xdr:to>
      <xdr:col>7</xdr:col>
      <xdr:colOff>270000</xdr:colOff>
      <xdr:row>21</xdr:row>
      <xdr:rowOff>143280</xdr:rowOff>
    </xdr:to>
    <xdr:graphicFrame>
      <xdr:nvGraphicFramePr>
        <xdr:cNvPr id="13" name="Chart 4"/>
        <xdr:cNvGraphicFramePr/>
      </xdr:nvGraphicFramePr>
      <xdr:xfrm>
        <a:off x="0" y="933480"/>
        <a:ext cx="473724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24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25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468720</xdr:colOff>
      <xdr:row>23</xdr:row>
      <xdr:rowOff>47520</xdr:rowOff>
    </xdr:from>
    <xdr:to>
      <xdr:col>15</xdr:col>
      <xdr:colOff>100080</xdr:colOff>
      <xdr:row>41</xdr:row>
      <xdr:rowOff>19080</xdr:rowOff>
    </xdr:to>
    <xdr:graphicFrame>
      <xdr:nvGraphicFramePr>
        <xdr:cNvPr id="26" name="Chart 28"/>
        <xdr:cNvGraphicFramePr/>
      </xdr:nvGraphicFramePr>
      <xdr:xfrm>
        <a:off x="4935960" y="4038480"/>
        <a:ext cx="473688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13</xdr:col>
      <xdr:colOff>0</xdr:colOff>
      <xdr:row>16</xdr:row>
      <xdr:rowOff>133200</xdr:rowOff>
    </xdr:from>
    <xdr:to>
      <xdr:col>13</xdr:col>
      <xdr:colOff>329760</xdr:colOff>
      <xdr:row>18</xdr:row>
      <xdr:rowOff>77040</xdr:rowOff>
    </xdr:to>
    <xdr:sp>
      <xdr:nvSpPr>
        <xdr:cNvPr id="28" name="Text 29"/>
        <xdr:cNvSpPr/>
      </xdr:nvSpPr>
      <xdr:spPr>
        <a:xfrm>
          <a:off x="8296200" y="2990880"/>
          <a:ext cx="329760" cy="267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800" strike="noStrike" u="none">
              <a:effectLst/>
              <a:uFillTx/>
              <a:latin typeface="Arial Narrow"/>
            </a:rPr>
            <a:t>Japan</a:t>
          </a:r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4</xdr:row>
      <xdr:rowOff>75960</xdr:rowOff>
    </xdr:from>
    <xdr:to>
      <xdr:col>7</xdr:col>
      <xdr:colOff>219960</xdr:colOff>
      <xdr:row>22</xdr:row>
      <xdr:rowOff>38160</xdr:rowOff>
    </xdr:to>
    <xdr:graphicFrame>
      <xdr:nvGraphicFramePr>
        <xdr:cNvPr id="105" name="Chart 1"/>
        <xdr:cNvGraphicFramePr/>
      </xdr:nvGraphicFramePr>
      <xdr:xfrm>
        <a:off x="10080" y="99036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19080</xdr:rowOff>
    </xdr:from>
    <xdr:to>
      <xdr:col>7</xdr:col>
      <xdr:colOff>270000</xdr:colOff>
      <xdr:row>41</xdr:row>
      <xdr:rowOff>152640</xdr:rowOff>
    </xdr:to>
    <xdr:graphicFrame>
      <xdr:nvGraphicFramePr>
        <xdr:cNvPr id="108" name="Chart 2"/>
        <xdr:cNvGraphicFramePr/>
      </xdr:nvGraphicFramePr>
      <xdr:xfrm>
        <a:off x="0" y="417204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398880</xdr:colOff>
      <xdr:row>24</xdr:row>
      <xdr:rowOff>19080</xdr:rowOff>
    </xdr:from>
    <xdr:to>
      <xdr:col>14</xdr:col>
      <xdr:colOff>608760</xdr:colOff>
      <xdr:row>41</xdr:row>
      <xdr:rowOff>142920</xdr:rowOff>
    </xdr:to>
    <xdr:graphicFrame>
      <xdr:nvGraphicFramePr>
        <xdr:cNvPr id="109" name="Chart 3"/>
        <xdr:cNvGraphicFramePr/>
      </xdr:nvGraphicFramePr>
      <xdr:xfrm>
        <a:off x="4866120" y="4172040"/>
        <a:ext cx="4677120" cy="2876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339120</xdr:colOff>
      <xdr:row>4</xdr:row>
      <xdr:rowOff>47520</xdr:rowOff>
    </xdr:from>
    <xdr:to>
      <xdr:col>14</xdr:col>
      <xdr:colOff>608760</xdr:colOff>
      <xdr:row>22</xdr:row>
      <xdr:rowOff>9720</xdr:rowOff>
    </xdr:to>
    <xdr:graphicFrame>
      <xdr:nvGraphicFramePr>
        <xdr:cNvPr id="110" name="Chart 4"/>
        <xdr:cNvGraphicFramePr/>
      </xdr:nvGraphicFramePr>
      <xdr:xfrm>
        <a:off x="4806360" y="96192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11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12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1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0.867467097667975</cdr:x>
      <cdr:y>0.652027027027027</cdr:y>
    </cdr:from>
    <cdr:to>
      <cdr:x>0.907026860617256</cdr:x>
      <cdr:y>0.68531031031031</cdr:y>
    </cdr:to>
    <cdr:sp>
      <cdr:nvSpPr>
        <cdr:cNvPr id="106" name="Line 1"/>
        <cdr:cNvSpPr/>
      </cdr:nvSpPr>
      <cdr:spPr>
        <a:xfrm flipH="1">
          <a:off x="4057560" y="1875960"/>
          <a:ext cx="185040" cy="9576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0.364350034634034</cdr:x>
      <cdr:y>0.709209209209209</cdr:y>
    </cdr:from>
    <cdr:to>
      <cdr:x>0.39590548757023</cdr:x>
      <cdr:y>0.758758758758759</cdr:y>
    </cdr:to>
    <cdr:sp>
      <cdr:nvSpPr>
        <cdr:cNvPr id="107" name="Line 2"/>
        <cdr:cNvSpPr/>
      </cdr:nvSpPr>
      <cdr:spPr>
        <a:xfrm flipH="1" flipV="1">
          <a:off x="1704240" y="2040480"/>
          <a:ext cx="147600" cy="14256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123840</xdr:rowOff>
    </xdr:from>
    <xdr:to>
      <xdr:col>7</xdr:col>
      <xdr:colOff>209880</xdr:colOff>
      <xdr:row>22</xdr:row>
      <xdr:rowOff>86040</xdr:rowOff>
    </xdr:to>
    <xdr:graphicFrame>
      <xdr:nvGraphicFramePr>
        <xdr:cNvPr id="113" name="Chart 1"/>
        <xdr:cNvGraphicFramePr/>
      </xdr:nvGraphicFramePr>
      <xdr:xfrm>
        <a:off x="0" y="10382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270000</xdr:colOff>
      <xdr:row>42</xdr:row>
      <xdr:rowOff>9360</xdr:rowOff>
    </xdr:to>
    <xdr:graphicFrame>
      <xdr:nvGraphicFramePr>
        <xdr:cNvPr id="114" name="Chart 2"/>
        <xdr:cNvGraphicFramePr/>
      </xdr:nvGraphicFramePr>
      <xdr:xfrm>
        <a:off x="0" y="419076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41</xdr:row>
      <xdr:rowOff>162000</xdr:rowOff>
    </xdr:to>
    <xdr:graphicFrame>
      <xdr:nvGraphicFramePr>
        <xdr:cNvPr id="115" name="Chart 3"/>
        <xdr:cNvGraphicFramePr/>
      </xdr:nvGraphicFramePr>
      <xdr:xfrm>
        <a:off x="4885920" y="419076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348840</xdr:colOff>
      <xdr:row>4</xdr:row>
      <xdr:rowOff>105120</xdr:rowOff>
    </xdr:from>
    <xdr:to>
      <xdr:col>14</xdr:col>
      <xdr:colOff>618840</xdr:colOff>
      <xdr:row>22</xdr:row>
      <xdr:rowOff>66600</xdr:rowOff>
    </xdr:to>
    <xdr:graphicFrame>
      <xdr:nvGraphicFramePr>
        <xdr:cNvPr id="116" name="Chart 4"/>
        <xdr:cNvGraphicFramePr/>
      </xdr:nvGraphicFramePr>
      <xdr:xfrm>
        <a:off x="4816080" y="1019520"/>
        <a:ext cx="4737240" cy="287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17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18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28440</xdr:rowOff>
    </xdr:from>
    <xdr:to>
      <xdr:col>7</xdr:col>
      <xdr:colOff>209880</xdr:colOff>
      <xdr:row>21</xdr:row>
      <xdr:rowOff>152640</xdr:rowOff>
    </xdr:to>
    <xdr:graphicFrame>
      <xdr:nvGraphicFramePr>
        <xdr:cNvPr id="119" name="Chart 1"/>
        <xdr:cNvGraphicFramePr/>
      </xdr:nvGraphicFramePr>
      <xdr:xfrm>
        <a:off x="0" y="942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270000</xdr:colOff>
      <xdr:row>42</xdr:row>
      <xdr:rowOff>9360</xdr:rowOff>
    </xdr:to>
    <xdr:graphicFrame>
      <xdr:nvGraphicFramePr>
        <xdr:cNvPr id="120" name="Chart 2"/>
        <xdr:cNvGraphicFramePr/>
      </xdr:nvGraphicFramePr>
      <xdr:xfrm>
        <a:off x="0" y="419076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41</xdr:row>
      <xdr:rowOff>162000</xdr:rowOff>
    </xdr:to>
    <xdr:graphicFrame>
      <xdr:nvGraphicFramePr>
        <xdr:cNvPr id="121" name="Chart 3"/>
        <xdr:cNvGraphicFramePr/>
      </xdr:nvGraphicFramePr>
      <xdr:xfrm>
        <a:off x="4885920" y="419076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379080</xdr:colOff>
      <xdr:row>4</xdr:row>
      <xdr:rowOff>28440</xdr:rowOff>
    </xdr:from>
    <xdr:to>
      <xdr:col>15</xdr:col>
      <xdr:colOff>10440</xdr:colOff>
      <xdr:row>21</xdr:row>
      <xdr:rowOff>152640</xdr:rowOff>
    </xdr:to>
    <xdr:graphicFrame>
      <xdr:nvGraphicFramePr>
        <xdr:cNvPr id="122" name="Chart 4"/>
        <xdr:cNvGraphicFramePr/>
      </xdr:nvGraphicFramePr>
      <xdr:xfrm>
        <a:off x="4846320" y="94284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23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24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28440</xdr:rowOff>
    </xdr:from>
    <xdr:to>
      <xdr:col>7</xdr:col>
      <xdr:colOff>209880</xdr:colOff>
      <xdr:row>21</xdr:row>
      <xdr:rowOff>152640</xdr:rowOff>
    </xdr:to>
    <xdr:graphicFrame>
      <xdr:nvGraphicFramePr>
        <xdr:cNvPr id="125" name="Chart 1"/>
        <xdr:cNvGraphicFramePr/>
      </xdr:nvGraphicFramePr>
      <xdr:xfrm>
        <a:off x="0" y="942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270000</xdr:colOff>
      <xdr:row>42</xdr:row>
      <xdr:rowOff>9360</xdr:rowOff>
    </xdr:to>
    <xdr:graphicFrame>
      <xdr:nvGraphicFramePr>
        <xdr:cNvPr id="126" name="Chart 2"/>
        <xdr:cNvGraphicFramePr/>
      </xdr:nvGraphicFramePr>
      <xdr:xfrm>
        <a:off x="0" y="419076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41</xdr:row>
      <xdr:rowOff>162000</xdr:rowOff>
    </xdr:to>
    <xdr:graphicFrame>
      <xdr:nvGraphicFramePr>
        <xdr:cNvPr id="127" name="Chart 3"/>
        <xdr:cNvGraphicFramePr/>
      </xdr:nvGraphicFramePr>
      <xdr:xfrm>
        <a:off x="4885920" y="419076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339120</xdr:colOff>
      <xdr:row>4</xdr:row>
      <xdr:rowOff>9360</xdr:rowOff>
    </xdr:from>
    <xdr:to>
      <xdr:col>14</xdr:col>
      <xdr:colOff>608760</xdr:colOff>
      <xdr:row>21</xdr:row>
      <xdr:rowOff>133560</xdr:rowOff>
    </xdr:to>
    <xdr:graphicFrame>
      <xdr:nvGraphicFramePr>
        <xdr:cNvPr id="128" name="Chart 4"/>
        <xdr:cNvGraphicFramePr/>
      </xdr:nvGraphicFramePr>
      <xdr:xfrm>
        <a:off x="4806360" y="92376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29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30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28440</xdr:rowOff>
    </xdr:from>
    <xdr:to>
      <xdr:col>7</xdr:col>
      <xdr:colOff>209880</xdr:colOff>
      <xdr:row>21</xdr:row>
      <xdr:rowOff>152640</xdr:rowOff>
    </xdr:to>
    <xdr:graphicFrame>
      <xdr:nvGraphicFramePr>
        <xdr:cNvPr id="131" name="Chart 1"/>
        <xdr:cNvGraphicFramePr/>
      </xdr:nvGraphicFramePr>
      <xdr:xfrm>
        <a:off x="0" y="942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270000</xdr:colOff>
      <xdr:row>42</xdr:row>
      <xdr:rowOff>9360</xdr:rowOff>
    </xdr:to>
    <xdr:graphicFrame>
      <xdr:nvGraphicFramePr>
        <xdr:cNvPr id="132" name="Chart 2"/>
        <xdr:cNvGraphicFramePr/>
      </xdr:nvGraphicFramePr>
      <xdr:xfrm>
        <a:off x="0" y="419076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41</xdr:row>
      <xdr:rowOff>162000</xdr:rowOff>
    </xdr:to>
    <xdr:graphicFrame>
      <xdr:nvGraphicFramePr>
        <xdr:cNvPr id="133" name="Chart 3"/>
        <xdr:cNvGraphicFramePr/>
      </xdr:nvGraphicFramePr>
      <xdr:xfrm>
        <a:off x="4885920" y="419076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339120</xdr:colOff>
      <xdr:row>4</xdr:row>
      <xdr:rowOff>9360</xdr:rowOff>
    </xdr:from>
    <xdr:to>
      <xdr:col>14</xdr:col>
      <xdr:colOff>608760</xdr:colOff>
      <xdr:row>21</xdr:row>
      <xdr:rowOff>133560</xdr:rowOff>
    </xdr:to>
    <xdr:graphicFrame>
      <xdr:nvGraphicFramePr>
        <xdr:cNvPr id="134" name="Chart 4"/>
        <xdr:cNvGraphicFramePr/>
      </xdr:nvGraphicFramePr>
      <xdr:xfrm>
        <a:off x="4806360" y="92376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35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36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379080</xdr:colOff>
      <xdr:row>4</xdr:row>
      <xdr:rowOff>28440</xdr:rowOff>
    </xdr:from>
    <xdr:to>
      <xdr:col>15</xdr:col>
      <xdr:colOff>10440</xdr:colOff>
      <xdr:row>21</xdr:row>
      <xdr:rowOff>152640</xdr:rowOff>
    </xdr:to>
    <xdr:graphicFrame>
      <xdr:nvGraphicFramePr>
        <xdr:cNvPr id="137" name="Chart 4"/>
        <xdr:cNvGraphicFramePr/>
      </xdr:nvGraphicFramePr>
      <xdr:xfrm>
        <a:off x="4846320" y="94284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4</xdr:row>
      <xdr:rowOff>37800</xdr:rowOff>
    </xdr:from>
    <xdr:to>
      <xdr:col>7</xdr:col>
      <xdr:colOff>209880</xdr:colOff>
      <xdr:row>21</xdr:row>
      <xdr:rowOff>162000</xdr:rowOff>
    </xdr:to>
    <xdr:graphicFrame>
      <xdr:nvGraphicFramePr>
        <xdr:cNvPr id="138" name="Chart 1"/>
        <xdr:cNvGraphicFramePr/>
      </xdr:nvGraphicFramePr>
      <xdr:xfrm>
        <a:off x="0" y="95220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270000</xdr:colOff>
      <xdr:row>42</xdr:row>
      <xdr:rowOff>9360</xdr:rowOff>
    </xdr:to>
    <xdr:graphicFrame>
      <xdr:nvGraphicFramePr>
        <xdr:cNvPr id="139" name="Chart 2"/>
        <xdr:cNvGraphicFramePr/>
      </xdr:nvGraphicFramePr>
      <xdr:xfrm>
        <a:off x="0" y="419076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41</xdr:row>
      <xdr:rowOff>162000</xdr:rowOff>
    </xdr:to>
    <xdr:graphicFrame>
      <xdr:nvGraphicFramePr>
        <xdr:cNvPr id="140" name="Chart 3"/>
        <xdr:cNvGraphicFramePr/>
      </xdr:nvGraphicFramePr>
      <xdr:xfrm>
        <a:off x="4885920" y="419076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41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42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378720</xdr:colOff>
      <xdr:row>14</xdr:row>
      <xdr:rowOff>95040</xdr:rowOff>
    </xdr:from>
    <xdr:to>
      <xdr:col>12</xdr:col>
      <xdr:colOff>379440</xdr:colOff>
      <xdr:row>15</xdr:row>
      <xdr:rowOff>9000</xdr:rowOff>
    </xdr:to>
    <xdr:sp>
      <xdr:nvSpPr>
        <xdr:cNvPr id="143" name="Line 9"/>
        <xdr:cNvSpPr/>
      </xdr:nvSpPr>
      <xdr:spPr>
        <a:xfrm flipV="1">
          <a:off x="8037000" y="2628720"/>
          <a:ext cx="720" cy="7596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28440</xdr:rowOff>
    </xdr:from>
    <xdr:to>
      <xdr:col>7</xdr:col>
      <xdr:colOff>209880</xdr:colOff>
      <xdr:row>21</xdr:row>
      <xdr:rowOff>152640</xdr:rowOff>
    </xdr:to>
    <xdr:graphicFrame>
      <xdr:nvGraphicFramePr>
        <xdr:cNvPr id="144" name="Chart 1"/>
        <xdr:cNvGraphicFramePr/>
      </xdr:nvGraphicFramePr>
      <xdr:xfrm>
        <a:off x="0" y="942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270000</xdr:colOff>
      <xdr:row>42</xdr:row>
      <xdr:rowOff>9360</xdr:rowOff>
    </xdr:to>
    <xdr:graphicFrame>
      <xdr:nvGraphicFramePr>
        <xdr:cNvPr id="145" name="Chart 2"/>
        <xdr:cNvGraphicFramePr/>
      </xdr:nvGraphicFramePr>
      <xdr:xfrm>
        <a:off x="0" y="419076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41</xdr:row>
      <xdr:rowOff>162000</xdr:rowOff>
    </xdr:to>
    <xdr:graphicFrame>
      <xdr:nvGraphicFramePr>
        <xdr:cNvPr id="146" name="Chart 3"/>
        <xdr:cNvGraphicFramePr/>
      </xdr:nvGraphicFramePr>
      <xdr:xfrm>
        <a:off x="4885920" y="419076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379080</xdr:colOff>
      <xdr:row>4</xdr:row>
      <xdr:rowOff>28440</xdr:rowOff>
    </xdr:from>
    <xdr:to>
      <xdr:col>15</xdr:col>
      <xdr:colOff>10440</xdr:colOff>
      <xdr:row>21</xdr:row>
      <xdr:rowOff>152640</xdr:rowOff>
    </xdr:to>
    <xdr:graphicFrame>
      <xdr:nvGraphicFramePr>
        <xdr:cNvPr id="147" name="Chart 4"/>
        <xdr:cNvGraphicFramePr/>
      </xdr:nvGraphicFramePr>
      <xdr:xfrm>
        <a:off x="4846320" y="94284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48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49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142920</xdr:rowOff>
    </xdr:from>
    <xdr:to>
      <xdr:col>7</xdr:col>
      <xdr:colOff>209880</xdr:colOff>
      <xdr:row>22</xdr:row>
      <xdr:rowOff>105120</xdr:rowOff>
    </xdr:to>
    <xdr:graphicFrame>
      <xdr:nvGraphicFramePr>
        <xdr:cNvPr id="150" name="Chart 1"/>
        <xdr:cNvGraphicFramePr/>
      </xdr:nvGraphicFramePr>
      <xdr:xfrm>
        <a:off x="0" y="105732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270000</xdr:colOff>
      <xdr:row>42</xdr:row>
      <xdr:rowOff>9360</xdr:rowOff>
    </xdr:to>
    <xdr:graphicFrame>
      <xdr:nvGraphicFramePr>
        <xdr:cNvPr id="151" name="Chart 2"/>
        <xdr:cNvGraphicFramePr/>
      </xdr:nvGraphicFramePr>
      <xdr:xfrm>
        <a:off x="0" y="419076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41</xdr:row>
      <xdr:rowOff>162000</xdr:rowOff>
    </xdr:to>
    <xdr:graphicFrame>
      <xdr:nvGraphicFramePr>
        <xdr:cNvPr id="152" name="Chart 3"/>
        <xdr:cNvGraphicFramePr/>
      </xdr:nvGraphicFramePr>
      <xdr:xfrm>
        <a:off x="4885920" y="419076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428760</xdr:colOff>
      <xdr:row>4</xdr:row>
      <xdr:rowOff>152280</xdr:rowOff>
    </xdr:from>
    <xdr:to>
      <xdr:col>14</xdr:col>
      <xdr:colOff>618840</xdr:colOff>
      <xdr:row>22</xdr:row>
      <xdr:rowOff>114480</xdr:rowOff>
    </xdr:to>
    <xdr:graphicFrame>
      <xdr:nvGraphicFramePr>
        <xdr:cNvPr id="153" name="Chart 4"/>
        <xdr:cNvGraphicFramePr/>
      </xdr:nvGraphicFramePr>
      <xdr:xfrm>
        <a:off x="4896000" y="1066680"/>
        <a:ext cx="46573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54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55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498240</xdr:colOff>
      <xdr:row>16</xdr:row>
      <xdr:rowOff>133200</xdr:rowOff>
    </xdr:from>
    <xdr:to>
      <xdr:col>14</xdr:col>
      <xdr:colOff>20160</xdr:colOff>
      <xdr:row>17</xdr:row>
      <xdr:rowOff>75960</xdr:rowOff>
    </xdr:to>
    <xdr:sp>
      <xdr:nvSpPr>
        <xdr:cNvPr id="156" name="Line 7"/>
        <xdr:cNvSpPr/>
      </xdr:nvSpPr>
      <xdr:spPr>
        <a:xfrm flipH="1" flipV="1">
          <a:off x="8794440" y="2990880"/>
          <a:ext cx="160200" cy="1044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0.115523743554222</cdr:x>
      <cdr:y>0.72022022022022</cdr:y>
    </cdr:from>
    <cdr:to>
      <cdr:x>0.211267605633803</cdr:x>
      <cdr:y>0.853728728728729</cdr:y>
    </cdr:to>
    <cdr:sp>
      <cdr:nvSpPr>
        <cdr:cNvPr id="3" name="Text 28"/>
        <cdr:cNvSpPr/>
      </cdr:nvSpPr>
      <cdr:spPr>
        <a:xfrm>
          <a:off x="540360" y="2072160"/>
          <a:ext cx="447840" cy="38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Crude &amp;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Products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0.210267066882167</cdr:x>
      <cdr:y>0.72022022022022</cdr:y>
    </cdr:from>
    <cdr:to>
      <cdr:x>0.323250981297622</cdr:x>
      <cdr:y>0.846471471471472</cdr:y>
    </cdr:to>
    <cdr:sp>
      <cdr:nvSpPr>
        <cdr:cNvPr id="4" name="Text 29"/>
        <cdr:cNvSpPr/>
      </cdr:nvSpPr>
      <cdr:spPr>
        <a:xfrm>
          <a:off x="983520" y="2072160"/>
          <a:ext cx="528480" cy="363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Coal/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Vessel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0.301239128761641</cdr:x>
      <cdr:y>0.723473473473474</cdr:y>
    </cdr:from>
    <cdr:to>
      <cdr:x>0.39051797121527</cdr:x>
      <cdr:y>0.817192192192192</cdr:y>
    </cdr:to>
    <cdr:sp>
      <cdr:nvSpPr>
        <cdr:cNvPr id="5" name="Text 30"/>
        <cdr:cNvSpPr/>
      </cdr:nvSpPr>
      <cdr:spPr>
        <a:xfrm>
          <a:off x="1409040" y="2081520"/>
          <a:ext cx="41760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Weather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0.378511506195644</cdr:x>
      <cdr:y>0.71021021021021</cdr:y>
    </cdr:from>
    <cdr:to>
      <cdr:x>0.487262372046487</cdr:x>
      <cdr:y>0.803928928928929</cdr:y>
    </cdr:to>
    <cdr:sp>
      <cdr:nvSpPr>
        <cdr:cNvPr id="6" name="Text 31"/>
        <cdr:cNvSpPr/>
      </cdr:nvSpPr>
      <cdr:spPr>
        <a:xfrm>
          <a:off x="1770480" y="2043360"/>
          <a:ext cx="50868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Global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Risk Mkts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0.47302393596552</cdr:x>
      <cdr:y>0.713463463463464</cdr:y>
    </cdr:from>
    <cdr:to>
      <cdr:x>0.588239821442315</cdr:x>
      <cdr:y>0.839714714714715</cdr:y>
    </cdr:to>
    <cdr:sp>
      <cdr:nvSpPr>
        <cdr:cNvPr id="7" name="Text 32"/>
        <cdr:cNvSpPr/>
      </cdr:nvSpPr>
      <cdr:spPr>
        <a:xfrm>
          <a:off x="2212560" y="2052720"/>
          <a:ext cx="538920" cy="363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Financial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Trading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0.574771030554914</cdr:x>
      <cdr:y>0.72022022022022</cdr:y>
    </cdr:from>
    <cdr:to>
      <cdr:x>0.650735011159855</cdr:x>
      <cdr:y>0.795295295295295</cdr:y>
    </cdr:to>
    <cdr:sp>
      <cdr:nvSpPr>
        <cdr:cNvPr id="8" name="Text 33"/>
        <cdr:cNvSpPr/>
      </cdr:nvSpPr>
      <cdr:spPr>
        <a:xfrm>
          <a:off x="2688480" y="2072160"/>
          <a:ext cx="355320" cy="2160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Freight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0.662972369737551</cdr:x>
      <cdr:y>0.72022022022022</cdr:y>
    </cdr:from>
    <cdr:to>
      <cdr:x>0.721773262525976</cdr:x>
      <cdr:y>0.813938938938939</cdr:y>
    </cdr:to>
    <cdr:sp>
      <cdr:nvSpPr>
        <cdr:cNvPr id="9" name="Text 34"/>
        <cdr:cNvSpPr/>
      </cdr:nvSpPr>
      <cdr:spPr>
        <a:xfrm>
          <a:off x="3101040" y="2072160"/>
          <a:ext cx="27504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LNG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0.820749634418533</cdr:x>
      <cdr:y>0.720720720720721</cdr:y>
    </cdr:from>
    <cdr:to>
      <cdr:x>0.892480566458862</cdr:x>
      <cdr:y>0.814439439439439</cdr:y>
    </cdr:to>
    <cdr:sp>
      <cdr:nvSpPr>
        <cdr:cNvPr id="10" name="Text 35"/>
        <cdr:cNvSpPr/>
      </cdr:nvSpPr>
      <cdr:spPr>
        <a:xfrm>
          <a:off x="3839040" y="2073600"/>
          <a:ext cx="33552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Drift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/Other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0.924266912953129</cdr:x>
      <cdr:y>0.740490490490491</cdr:y>
    </cdr:from>
    <cdr:to>
      <cdr:x>0.984991918725468</cdr:x>
      <cdr:y>0.794419419419419</cdr:y>
    </cdr:to>
    <cdr:sp>
      <cdr:nvSpPr>
        <cdr:cNvPr id="11" name="Text 36"/>
        <cdr:cNvSpPr/>
      </cdr:nvSpPr>
      <cdr:spPr>
        <a:xfrm>
          <a:off x="4323240" y="2130480"/>
          <a:ext cx="284040" cy="155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Total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0.101215805471125</cdr:x>
      <cdr:y>0.737237237237237</cdr:y>
    </cdr:from>
    <cdr:to>
      <cdr:x>0.195744680851064</cdr:x>
      <cdr:y>0.870745745745746</cdr:y>
    </cdr:to>
    <cdr:sp>
      <cdr:nvSpPr>
        <cdr:cNvPr id="14" name="Text 5"/>
        <cdr:cNvSpPr/>
      </cdr:nvSpPr>
      <cdr:spPr>
        <a:xfrm>
          <a:off x="479520" y="2121120"/>
          <a:ext cx="447840" cy="38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Crude &amp;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Products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0.1959726443769</cdr:x>
      <cdr:y>0.737237237237237</cdr:y>
    </cdr:from>
    <cdr:to>
      <cdr:x>0.316261398176292</cdr:x>
      <cdr:y>0.863488488488489</cdr:y>
    </cdr:to>
    <cdr:sp>
      <cdr:nvSpPr>
        <cdr:cNvPr id="15" name="Text 6"/>
        <cdr:cNvSpPr/>
      </cdr:nvSpPr>
      <cdr:spPr>
        <a:xfrm>
          <a:off x="928440" y="2121120"/>
          <a:ext cx="569880" cy="363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Coal/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Vessel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0.28677811550152</cdr:x>
      <cdr:y>0.733733733733734</cdr:y>
    </cdr:from>
    <cdr:to>
      <cdr:x>0.374772036474164</cdr:x>
      <cdr:y>0.827452452452453</cdr:y>
    </cdr:to>
    <cdr:sp>
      <cdr:nvSpPr>
        <cdr:cNvPr id="16" name="Text 7"/>
        <cdr:cNvSpPr/>
      </cdr:nvSpPr>
      <cdr:spPr>
        <a:xfrm>
          <a:off x="1358640" y="2111040"/>
          <a:ext cx="41688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Weather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0.374772036474164</cdr:x>
      <cdr:y>0.733733733733734</cdr:y>
    </cdr:from>
    <cdr:to>
      <cdr:x>0.481990881458967</cdr:x>
      <cdr:y>0.827452452452453</cdr:y>
    </cdr:to>
    <cdr:sp>
      <cdr:nvSpPr>
        <cdr:cNvPr id="17" name="Text 8"/>
        <cdr:cNvSpPr/>
      </cdr:nvSpPr>
      <cdr:spPr>
        <a:xfrm>
          <a:off x="1775520" y="2111040"/>
          <a:ext cx="50796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Global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Risk Mkts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0.483510638297872</cdr:x>
      <cdr:y>0.733733733733734</cdr:y>
    </cdr:from>
    <cdr:to>
      <cdr:x>0.580015197568389</cdr:x>
      <cdr:y>0.867242242242242</cdr:y>
    </cdr:to>
    <cdr:sp>
      <cdr:nvSpPr>
        <cdr:cNvPr id="18" name="Text 9"/>
        <cdr:cNvSpPr/>
      </cdr:nvSpPr>
      <cdr:spPr>
        <a:xfrm>
          <a:off x="2290680" y="2111040"/>
          <a:ext cx="457200" cy="38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Financial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Trading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0.580471124620061</cdr:x>
      <cdr:y>0.737237237237237</cdr:y>
    </cdr:from>
    <cdr:to>
      <cdr:x>0.65775075987842</cdr:x>
      <cdr:y>0.812312312312312</cdr:y>
    </cdr:to>
    <cdr:sp>
      <cdr:nvSpPr>
        <cdr:cNvPr id="19" name="Text 10"/>
        <cdr:cNvSpPr/>
      </cdr:nvSpPr>
      <cdr:spPr>
        <a:xfrm>
          <a:off x="2750040" y="2121120"/>
          <a:ext cx="366120" cy="2160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Freight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0.675759878419453</cdr:x>
      <cdr:y>0.733733733733734</cdr:y>
    </cdr:from>
    <cdr:to>
      <cdr:x>0.733738601823708</cdr:x>
      <cdr:y>0.827452452452453</cdr:y>
    </cdr:to>
    <cdr:sp>
      <cdr:nvSpPr>
        <cdr:cNvPr id="20" name="Text 11"/>
        <cdr:cNvSpPr/>
      </cdr:nvSpPr>
      <cdr:spPr>
        <a:xfrm>
          <a:off x="3201480" y="2111040"/>
          <a:ext cx="27468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LNG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0.822036474164134</cdr:x>
      <cdr:y>0.733483483483484</cdr:y>
    </cdr:from>
    <cdr:to>
      <cdr:x>0.886474164133739</cdr:x>
      <cdr:y>0.866991991991992</cdr:y>
    </cdr:to>
    <cdr:sp>
      <cdr:nvSpPr>
        <cdr:cNvPr id="21" name="Text 12"/>
        <cdr:cNvSpPr/>
      </cdr:nvSpPr>
      <cdr:spPr>
        <a:xfrm>
          <a:off x="3894480" y="2110320"/>
          <a:ext cx="305280" cy="38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Drift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/Other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0.929787234042553</cdr:x>
      <cdr:y>0.762012012012012</cdr:y>
    </cdr:from>
    <cdr:to>
      <cdr:x>0.989741641337386</cdr:x>
      <cdr:y>0.815940940940941</cdr:y>
    </cdr:to>
    <cdr:sp>
      <cdr:nvSpPr>
        <cdr:cNvPr id="22" name="Text 13"/>
        <cdr:cNvSpPr/>
      </cdr:nvSpPr>
      <cdr:spPr>
        <a:xfrm>
          <a:off x="4404960" y="2192400"/>
          <a:ext cx="284040" cy="155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Total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0.749012158054711</cdr:x>
      <cdr:y>0.733733733733734</cdr:y>
    </cdr:from>
    <cdr:to>
      <cdr:x>0.819756838905775</cdr:x>
      <cdr:y>0.827452452452453</cdr:y>
    </cdr:to>
    <cdr:sp>
      <cdr:nvSpPr>
        <cdr:cNvPr id="23" name="Text 15"/>
        <cdr:cNvSpPr/>
      </cdr:nvSpPr>
      <cdr:spPr>
        <a:xfrm>
          <a:off x="3548520" y="2111040"/>
          <a:ext cx="33516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Japan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0.14621171821567</cdr:x>
      <cdr:y>0.530431529059616</cdr:y>
    </cdr:from>
    <cdr:to>
      <cdr:x>0.202295007219394</cdr:x>
      <cdr:y>0.575579945123472</cdr:y>
    </cdr:to>
    <cdr:sp>
      <cdr:nvSpPr>
        <cdr:cNvPr id="27" name="Line 1"/>
        <cdr:cNvSpPr/>
      </cdr:nvSpPr>
      <cdr:spPr>
        <a:xfrm flipV="1">
          <a:off x="760320" y="1463400"/>
          <a:ext cx="130320" cy="26568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23</xdr:row>
      <xdr:rowOff>86040</xdr:rowOff>
    </xdr:from>
    <xdr:to>
      <xdr:col>7</xdr:col>
      <xdr:colOff>279720</xdr:colOff>
      <xdr:row>41</xdr:row>
      <xdr:rowOff>47520</xdr:rowOff>
    </xdr:to>
    <xdr:graphicFrame>
      <xdr:nvGraphicFramePr>
        <xdr:cNvPr id="29" name="Chart 4"/>
        <xdr:cNvGraphicFramePr/>
      </xdr:nvGraphicFramePr>
      <xdr:xfrm>
        <a:off x="10080" y="4077000"/>
        <a:ext cx="4736880" cy="287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30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31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558360</xdr:colOff>
      <xdr:row>27</xdr:row>
      <xdr:rowOff>152640</xdr:rowOff>
    </xdr:from>
    <xdr:to>
      <xdr:col>28</xdr:col>
      <xdr:colOff>628920</xdr:colOff>
      <xdr:row>31</xdr:row>
      <xdr:rowOff>28440</xdr:rowOff>
    </xdr:to>
    <xdr:sp>
      <xdr:nvSpPr>
        <xdr:cNvPr id="32" name="Rectangle 8"/>
        <xdr:cNvSpPr/>
      </xdr:nvSpPr>
      <xdr:spPr>
        <a:xfrm>
          <a:off x="15236280" y="4791240"/>
          <a:ext cx="3261600" cy="523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i="1" lang="en-US" sz="3000" strike="noStrike" u="none">
              <a:solidFill>
                <a:srgbClr val="ff0000"/>
              </a:solidFill>
              <a:effectLst/>
              <a:uFillTx/>
              <a:latin typeface="Tahoma"/>
            </a:rPr>
            <a:t>Work In Progress</a:t>
          </a:r>
          <a:endParaRPr b="0" lang="en-US" sz="3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588240</xdr:colOff>
      <xdr:row>36</xdr:row>
      <xdr:rowOff>142920</xdr:rowOff>
    </xdr:from>
    <xdr:to>
      <xdr:col>1</xdr:col>
      <xdr:colOff>389520</xdr:colOff>
      <xdr:row>39</xdr:row>
      <xdr:rowOff>37800</xdr:rowOff>
    </xdr:to>
    <xdr:sp>
      <xdr:nvSpPr>
        <xdr:cNvPr id="33" name="Text 10"/>
        <xdr:cNvSpPr/>
      </xdr:nvSpPr>
      <xdr:spPr>
        <a:xfrm>
          <a:off x="588240" y="6238800"/>
          <a:ext cx="439560" cy="380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800" strike="noStrike" u="none">
              <a:effectLst/>
              <a:uFillTx/>
              <a:latin typeface="Arial Narrow"/>
            </a:rPr>
            <a:t>Crude &amp;</a:t>
          </a:r>
          <a:endParaRPr b="0" lang="en-US" sz="800" strike="noStrike" u="none">
            <a:effectLst/>
            <a:uFillTx/>
            <a:latin typeface="Times New Roman"/>
          </a:endParaRPr>
        </a:p>
        <a:p>
          <a:r>
            <a:rPr b="0" lang="en-US" sz="800" strike="noStrike" u="none">
              <a:effectLst/>
              <a:uFillTx/>
              <a:latin typeface="Arial Narrow"/>
            </a:rPr>
            <a:t>Products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398880</xdr:colOff>
      <xdr:row>36</xdr:row>
      <xdr:rowOff>142920</xdr:rowOff>
    </xdr:from>
    <xdr:to>
      <xdr:col>2</xdr:col>
      <xdr:colOff>280080</xdr:colOff>
      <xdr:row>39</xdr:row>
      <xdr:rowOff>9360</xdr:rowOff>
    </xdr:to>
    <xdr:sp>
      <xdr:nvSpPr>
        <xdr:cNvPr id="34" name="Text 11"/>
        <xdr:cNvSpPr/>
      </xdr:nvSpPr>
      <xdr:spPr>
        <a:xfrm>
          <a:off x="1037160" y="6238800"/>
          <a:ext cx="519120" cy="35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00" strike="noStrike" u="none">
              <a:effectLst/>
              <a:uFillTx/>
              <a:latin typeface="Arial Narrow"/>
            </a:rPr>
            <a:t>Coal/</a:t>
          </a:r>
          <a:endParaRPr b="0" lang="en-US" sz="800" strike="noStrike" u="none">
            <a:effectLst/>
            <a:uFillTx/>
            <a:latin typeface="Times New Roman"/>
          </a:endParaRPr>
        </a:p>
        <a:p>
          <a:r>
            <a:rPr b="0" lang="en-US" sz="800" strike="noStrike" u="none">
              <a:effectLst/>
              <a:uFillTx/>
              <a:latin typeface="Arial Narrow"/>
            </a:rPr>
            <a:t>Vessel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149760</xdr:colOff>
      <xdr:row>36</xdr:row>
      <xdr:rowOff>133560</xdr:rowOff>
    </xdr:from>
    <xdr:to>
      <xdr:col>2</xdr:col>
      <xdr:colOff>559080</xdr:colOff>
      <xdr:row>38</xdr:row>
      <xdr:rowOff>77040</xdr:rowOff>
    </xdr:to>
    <xdr:sp>
      <xdr:nvSpPr>
        <xdr:cNvPr id="35" name="Text 12"/>
        <xdr:cNvSpPr/>
      </xdr:nvSpPr>
      <xdr:spPr>
        <a:xfrm>
          <a:off x="1425960" y="6229440"/>
          <a:ext cx="409320" cy="267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800" strike="noStrike" u="none">
              <a:effectLst/>
              <a:uFillTx/>
              <a:latin typeface="Arial Narrow"/>
            </a:rPr>
            <a:t>Weather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518760</xdr:colOff>
      <xdr:row>36</xdr:row>
      <xdr:rowOff>95760</xdr:rowOff>
    </xdr:from>
    <xdr:to>
      <xdr:col>3</xdr:col>
      <xdr:colOff>379440</xdr:colOff>
      <xdr:row>38</xdr:row>
      <xdr:rowOff>39240</xdr:rowOff>
    </xdr:to>
    <xdr:sp>
      <xdr:nvSpPr>
        <xdr:cNvPr id="36" name="Text 13"/>
        <xdr:cNvSpPr/>
      </xdr:nvSpPr>
      <xdr:spPr>
        <a:xfrm>
          <a:off x="1794960" y="6191640"/>
          <a:ext cx="498960" cy="267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0" lang="en-US" sz="800" strike="noStrike" u="none">
              <a:effectLst/>
              <a:uFillTx/>
              <a:latin typeface="Arial Narrow"/>
            </a:rPr>
            <a:t>Global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ctr"/>
          <a:r>
            <a:rPr b="0" lang="en-US" sz="800" strike="noStrike" u="none">
              <a:effectLst/>
              <a:uFillTx/>
              <a:latin typeface="Arial Narrow"/>
            </a:rPr>
            <a:t>Risk Mkts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339120</xdr:colOff>
      <xdr:row>36</xdr:row>
      <xdr:rowOff>95760</xdr:rowOff>
    </xdr:from>
    <xdr:to>
      <xdr:col>4</xdr:col>
      <xdr:colOff>150120</xdr:colOff>
      <xdr:row>38</xdr:row>
      <xdr:rowOff>39240</xdr:rowOff>
    </xdr:to>
    <xdr:sp>
      <xdr:nvSpPr>
        <xdr:cNvPr id="37" name="Text 14"/>
        <xdr:cNvSpPr/>
      </xdr:nvSpPr>
      <xdr:spPr>
        <a:xfrm>
          <a:off x="2253600" y="6191640"/>
          <a:ext cx="449280" cy="267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0" lang="en-US" sz="800" strike="noStrike" u="none">
              <a:effectLst/>
              <a:uFillTx/>
              <a:latin typeface="Arial Narrow"/>
            </a:rPr>
            <a:t>Financial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ctr"/>
          <a:r>
            <a:rPr b="0" lang="en-US" sz="800" strike="noStrike" u="none">
              <a:effectLst/>
              <a:uFillTx/>
              <a:latin typeface="Arial Narrow"/>
            </a:rPr>
            <a:t>Trading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159480</xdr:colOff>
      <xdr:row>36</xdr:row>
      <xdr:rowOff>133560</xdr:rowOff>
    </xdr:from>
    <xdr:to>
      <xdr:col>4</xdr:col>
      <xdr:colOff>509040</xdr:colOff>
      <xdr:row>38</xdr:row>
      <xdr:rowOff>28440</xdr:rowOff>
    </xdr:to>
    <xdr:sp>
      <xdr:nvSpPr>
        <xdr:cNvPr id="38" name="Text 15"/>
        <xdr:cNvSpPr/>
      </xdr:nvSpPr>
      <xdr:spPr>
        <a:xfrm>
          <a:off x="2712240" y="6229440"/>
          <a:ext cx="34956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00" strike="noStrike" u="none">
              <a:effectLst/>
              <a:uFillTx/>
              <a:latin typeface="Arial Narrow"/>
            </a:rPr>
            <a:t>Freight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598320</xdr:colOff>
      <xdr:row>36</xdr:row>
      <xdr:rowOff>152640</xdr:rowOff>
    </xdr:from>
    <xdr:to>
      <xdr:col>5</xdr:col>
      <xdr:colOff>229680</xdr:colOff>
      <xdr:row>38</xdr:row>
      <xdr:rowOff>96120</xdr:rowOff>
    </xdr:to>
    <xdr:sp>
      <xdr:nvSpPr>
        <xdr:cNvPr id="39" name="Text 16"/>
        <xdr:cNvSpPr/>
      </xdr:nvSpPr>
      <xdr:spPr>
        <a:xfrm>
          <a:off x="3151080" y="6248520"/>
          <a:ext cx="269640" cy="267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800" strike="noStrike" u="none">
              <a:effectLst/>
              <a:uFillTx/>
              <a:latin typeface="Arial Narrow"/>
            </a:rPr>
            <a:t>LNG</a:t>
          </a:r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79920</xdr:colOff>
      <xdr:row>36</xdr:row>
      <xdr:rowOff>142920</xdr:rowOff>
    </xdr:from>
    <xdr:to>
      <xdr:col>6</xdr:col>
      <xdr:colOff>409680</xdr:colOff>
      <xdr:row>38</xdr:row>
      <xdr:rowOff>86400</xdr:rowOff>
    </xdr:to>
    <xdr:sp>
      <xdr:nvSpPr>
        <xdr:cNvPr id="40" name="Text 17"/>
        <xdr:cNvSpPr/>
      </xdr:nvSpPr>
      <xdr:spPr>
        <a:xfrm>
          <a:off x="3908880" y="6238800"/>
          <a:ext cx="329760" cy="267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0" lang="en-US" sz="800" strike="noStrike" u="none">
              <a:effectLst/>
              <a:uFillTx/>
              <a:latin typeface="Arial Narrow"/>
            </a:rPr>
            <a:t>Drift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ctr"/>
          <a:r>
            <a:rPr b="0" lang="en-US" sz="800" strike="noStrike" u="none">
              <a:effectLst/>
              <a:uFillTx/>
              <a:latin typeface="Arial Narrow"/>
            </a:rPr>
            <a:t>/Other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478800</xdr:colOff>
      <xdr:row>37</xdr:row>
      <xdr:rowOff>28440</xdr:rowOff>
    </xdr:from>
    <xdr:to>
      <xdr:col>7</xdr:col>
      <xdr:colOff>120240</xdr:colOff>
      <xdr:row>38</xdr:row>
      <xdr:rowOff>20520</xdr:rowOff>
    </xdr:to>
    <xdr:sp>
      <xdr:nvSpPr>
        <xdr:cNvPr id="41" name="Text 18"/>
        <xdr:cNvSpPr/>
      </xdr:nvSpPr>
      <xdr:spPr>
        <a:xfrm>
          <a:off x="4307760" y="6286320"/>
          <a:ext cx="279720" cy="154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0" lang="en-US" sz="800" strike="noStrike" u="none">
              <a:effectLst/>
              <a:uFillTx/>
              <a:latin typeface="Arial Narrow"/>
            </a:rPr>
            <a:t>Total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468720</xdr:colOff>
      <xdr:row>23</xdr:row>
      <xdr:rowOff>47520</xdr:rowOff>
    </xdr:from>
    <xdr:to>
      <xdr:col>15</xdr:col>
      <xdr:colOff>50400</xdr:colOff>
      <xdr:row>41</xdr:row>
      <xdr:rowOff>19080</xdr:rowOff>
    </xdr:to>
    <xdr:graphicFrame>
      <xdr:nvGraphicFramePr>
        <xdr:cNvPr id="42" name="Chart 30"/>
        <xdr:cNvGraphicFramePr/>
      </xdr:nvGraphicFramePr>
      <xdr:xfrm>
        <a:off x="4935960" y="4038480"/>
        <a:ext cx="468720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</xdr:row>
      <xdr:rowOff>28440</xdr:rowOff>
    </xdr:from>
    <xdr:to>
      <xdr:col>7</xdr:col>
      <xdr:colOff>160200</xdr:colOff>
      <xdr:row>21</xdr:row>
      <xdr:rowOff>162000</xdr:rowOff>
    </xdr:to>
    <xdr:graphicFrame>
      <xdr:nvGraphicFramePr>
        <xdr:cNvPr id="53" name="Chart 33"/>
        <xdr:cNvGraphicFramePr/>
      </xdr:nvGraphicFramePr>
      <xdr:xfrm>
        <a:off x="0" y="942840"/>
        <a:ext cx="46274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458640</xdr:colOff>
      <xdr:row>4</xdr:row>
      <xdr:rowOff>0</xdr:rowOff>
    </xdr:from>
    <xdr:to>
      <xdr:col>14</xdr:col>
      <xdr:colOff>628920</xdr:colOff>
      <xdr:row>22</xdr:row>
      <xdr:rowOff>19080</xdr:rowOff>
    </xdr:to>
    <xdr:graphicFrame>
      <xdr:nvGraphicFramePr>
        <xdr:cNvPr id="54" name="Chart 34"/>
        <xdr:cNvGraphicFramePr/>
      </xdr:nvGraphicFramePr>
      <xdr:xfrm>
        <a:off x="4925880" y="914400"/>
        <a:ext cx="463752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268920</xdr:colOff>
      <xdr:row>37</xdr:row>
      <xdr:rowOff>0</xdr:rowOff>
    </xdr:from>
    <xdr:to>
      <xdr:col>5</xdr:col>
      <xdr:colOff>598680</xdr:colOff>
      <xdr:row>38</xdr:row>
      <xdr:rowOff>105480</xdr:rowOff>
    </xdr:to>
    <xdr:sp>
      <xdr:nvSpPr>
        <xdr:cNvPr id="55" name="Text 35"/>
        <xdr:cNvSpPr/>
      </xdr:nvSpPr>
      <xdr:spPr>
        <a:xfrm>
          <a:off x="3459960" y="6257880"/>
          <a:ext cx="329760" cy="267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800" strike="noStrike" u="none">
              <a:effectLst/>
              <a:uFillTx/>
              <a:latin typeface="Arial Narrow"/>
            </a:rPr>
            <a:t>Japan</a:t>
          </a:r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0.109285001151985</cdr:x>
      <cdr:y>0.721501621351958</cdr:y>
    </cdr:from>
    <cdr:to>
      <cdr:x>0.204746179248906</cdr:x>
      <cdr:y>0.854577201297082</cdr:y>
    </cdr:to>
    <cdr:sp>
      <cdr:nvSpPr>
        <cdr:cNvPr id="43" name="Text 1"/>
        <cdr:cNvSpPr/>
      </cdr:nvSpPr>
      <cdr:spPr>
        <a:xfrm>
          <a:off x="512280" y="2082600"/>
          <a:ext cx="447480" cy="38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Crude &amp;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Products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0.204515782197988</cdr:x>
      <cdr:y>0.721501621351958</cdr:y>
    </cdr:from>
    <cdr:to>
      <cdr:x>0.317256739113739</cdr:x>
      <cdr:y>0.847218757794961</cdr:y>
    </cdr:to>
    <cdr:sp>
      <cdr:nvSpPr>
        <cdr:cNvPr id="44" name="Text 2"/>
        <cdr:cNvSpPr/>
      </cdr:nvSpPr>
      <cdr:spPr>
        <a:xfrm>
          <a:off x="958680" y="2082600"/>
          <a:ext cx="528480" cy="362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Coal/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Vessel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0.288226710698103</cdr:x>
      <cdr:y>0.724494886505363</cdr:y>
    </cdr:from>
    <cdr:to>
      <cdr:x>0.377236771369327</cdr:x>
      <cdr:y>0.817909703167872</cdr:y>
    </cdr:to>
    <cdr:sp>
      <cdr:nvSpPr>
        <cdr:cNvPr id="45" name="Text 3"/>
        <cdr:cNvSpPr/>
      </cdr:nvSpPr>
      <cdr:spPr>
        <a:xfrm>
          <a:off x="1351080" y="2091240"/>
          <a:ext cx="41724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Weather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0.366484908993165</cdr:x>
      <cdr:y>0.717760039910202</cdr:y>
    </cdr:from>
    <cdr:to>
      <cdr:x>0.475001919975424</cdr:x>
      <cdr:y>0.811174856572711</cdr:y>
    </cdr:to>
    <cdr:sp>
      <cdr:nvSpPr>
        <cdr:cNvPr id="46" name="Text 4"/>
        <cdr:cNvSpPr/>
      </cdr:nvSpPr>
      <cdr:spPr>
        <a:xfrm>
          <a:off x="1717920" y="2071800"/>
          <a:ext cx="50868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Global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Risk Mkts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0.458259734275401</cdr:x>
      <cdr:y>0.720753305063607</cdr:y>
    </cdr:from>
    <cdr:to>
      <cdr:x>0.573227862683358</cdr:x>
      <cdr:y>0.84647044150661</cdr:y>
    </cdr:to>
    <cdr:sp>
      <cdr:nvSpPr>
        <cdr:cNvPr id="47" name="Text 5"/>
        <cdr:cNvSpPr/>
      </cdr:nvSpPr>
      <cdr:spPr>
        <a:xfrm>
          <a:off x="2148120" y="2080440"/>
          <a:ext cx="538920" cy="362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Financial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Trading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0.559250441594348</cdr:x>
      <cdr:y>0.720753305063607</cdr:y>
    </cdr:from>
    <cdr:to>
      <cdr:x>0.635281468397205</cdr:x>
      <cdr:y>0.795460214517336</cdr:y>
    </cdr:to>
    <cdr:sp>
      <cdr:nvSpPr>
        <cdr:cNvPr id="48" name="Text 6"/>
        <cdr:cNvSpPr/>
      </cdr:nvSpPr>
      <cdr:spPr>
        <a:xfrm>
          <a:off x="2621520" y="2080440"/>
          <a:ext cx="356400" cy="215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Freight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0.648260502265571</cdr:x>
      <cdr:y>0.724494886505363</cdr:y>
    </cdr:from>
    <cdr:to>
      <cdr:x>0.706781353198679</cdr:x>
      <cdr:y>0.817909703167872</cdr:y>
    </cdr:to>
    <cdr:sp>
      <cdr:nvSpPr>
        <cdr:cNvPr id="49" name="Text 7"/>
        <cdr:cNvSpPr/>
      </cdr:nvSpPr>
      <cdr:spPr>
        <a:xfrm>
          <a:off x="3038760" y="2091240"/>
          <a:ext cx="27432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LNG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0.819983104216266</cdr:x>
      <cdr:y>0.724494886505363</cdr:y>
    </cdr:from>
    <cdr:to>
      <cdr:x>0.885031871592044</cdr:x>
      <cdr:y>0.778248939885258</cdr:y>
    </cdr:to>
    <cdr:sp>
      <cdr:nvSpPr>
        <cdr:cNvPr id="50" name="Text 8"/>
        <cdr:cNvSpPr/>
      </cdr:nvSpPr>
      <cdr:spPr>
        <a:xfrm>
          <a:off x="3843720" y="2091240"/>
          <a:ext cx="304920" cy="155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Other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0.923738576146225</cdr:x>
      <cdr:y>0.741706161137441</cdr:y>
    </cdr:from>
    <cdr:to>
      <cdr:x>0.984486598571538</cdr:x>
      <cdr:y>0.795460214517336</cdr:y>
    </cdr:to>
    <cdr:sp>
      <cdr:nvSpPr>
        <cdr:cNvPr id="51" name="Text 9"/>
        <cdr:cNvSpPr/>
      </cdr:nvSpPr>
      <cdr:spPr>
        <a:xfrm>
          <a:off x="4330080" y="2140920"/>
          <a:ext cx="284760" cy="155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Total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0.72851547500192</cdr:x>
      <cdr:y>0.724494886505363</cdr:y>
    </cdr:from>
    <cdr:to>
      <cdr:x>0.800015359803395</cdr:x>
      <cdr:y>0.817909703167872</cdr:y>
    </cdr:to>
    <cdr:sp>
      <cdr:nvSpPr>
        <cdr:cNvPr id="52" name="Text 10"/>
        <cdr:cNvSpPr/>
      </cdr:nvSpPr>
      <cdr:spPr>
        <a:xfrm>
          <a:off x="3414960" y="2091240"/>
          <a:ext cx="33516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Japan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142920</xdr:rowOff>
    </xdr:from>
    <xdr:to>
      <xdr:col>7</xdr:col>
      <xdr:colOff>209880</xdr:colOff>
      <xdr:row>22</xdr:row>
      <xdr:rowOff>105120</xdr:rowOff>
    </xdr:to>
    <xdr:graphicFrame>
      <xdr:nvGraphicFramePr>
        <xdr:cNvPr id="56" name="Chart 1"/>
        <xdr:cNvGraphicFramePr/>
      </xdr:nvGraphicFramePr>
      <xdr:xfrm>
        <a:off x="0" y="105732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56880</xdr:rowOff>
    </xdr:from>
    <xdr:to>
      <xdr:col>7</xdr:col>
      <xdr:colOff>270000</xdr:colOff>
      <xdr:row>42</xdr:row>
      <xdr:rowOff>28440</xdr:rowOff>
    </xdr:to>
    <xdr:graphicFrame>
      <xdr:nvGraphicFramePr>
        <xdr:cNvPr id="58" name="Chart 2"/>
        <xdr:cNvGraphicFramePr/>
      </xdr:nvGraphicFramePr>
      <xdr:xfrm>
        <a:off x="0" y="420984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379080</xdr:colOff>
      <xdr:row>24</xdr:row>
      <xdr:rowOff>56880</xdr:rowOff>
    </xdr:from>
    <xdr:to>
      <xdr:col>14</xdr:col>
      <xdr:colOff>588960</xdr:colOff>
      <xdr:row>42</xdr:row>
      <xdr:rowOff>19080</xdr:rowOff>
    </xdr:to>
    <xdr:graphicFrame>
      <xdr:nvGraphicFramePr>
        <xdr:cNvPr id="59" name="Chart 3"/>
        <xdr:cNvGraphicFramePr/>
      </xdr:nvGraphicFramePr>
      <xdr:xfrm>
        <a:off x="4846320" y="4209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329040</xdr:colOff>
      <xdr:row>4</xdr:row>
      <xdr:rowOff>133560</xdr:rowOff>
    </xdr:from>
    <xdr:to>
      <xdr:col>14</xdr:col>
      <xdr:colOff>599040</xdr:colOff>
      <xdr:row>22</xdr:row>
      <xdr:rowOff>95760</xdr:rowOff>
    </xdr:to>
    <xdr:graphicFrame>
      <xdr:nvGraphicFramePr>
        <xdr:cNvPr id="61" name="Chart 4"/>
        <xdr:cNvGraphicFramePr/>
      </xdr:nvGraphicFramePr>
      <xdr:xfrm>
        <a:off x="4796280" y="1047960"/>
        <a:ext cx="473724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62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63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9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0.876164088355268</cdr:x>
      <cdr:y>0.477977977977978</cdr:y>
    </cdr:from>
    <cdr:to>
      <cdr:x>0.919187254675595</cdr:x>
      <cdr:y>0.511511511511512</cdr:y>
    </cdr:to>
    <cdr:sp>
      <cdr:nvSpPr>
        <cdr:cNvPr id="57" name="Line 2"/>
        <cdr:cNvSpPr/>
      </cdr:nvSpPr>
      <cdr:spPr>
        <a:xfrm flipH="1">
          <a:off x="4098240" y="1375200"/>
          <a:ext cx="201240" cy="9648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GlobalMgmtSum-Q101-0330%20FINA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MgmtSum-Q101-Global-w%20overview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2Q%202001/Management%20Summaries/MgmtSum-Q201-Global-0630%20v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2Q%202001/Management%20Summaries/MgmtSum-Q201-EGM%20Plan%200529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3Q%202001/Mgmt%20Summaries/MgmtSum-Q301-Global-09300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4Q%202001/Mgmt%20Summaries/MgmtSum-Q401-Global-10190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4Q%202001/Mgmt%20Summaries/MgmtSum-Q401-EGM%20Plan%201008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  <sheetName val="GlobalMgmtSum-Q101-0330 FINAL"/>
    </sheetNames>
    <sheetDataSet>
      <sheetData sheetId="0"/>
      <sheetData sheetId="1">
        <row r="9">
          <cell r="C9">
            <v>61971.161</v>
          </cell>
        </row>
        <row r="9">
          <cell r="K9">
            <v>46307.1115</v>
          </cell>
        </row>
        <row r="10">
          <cell r="C10">
            <v>15666.03533</v>
          </cell>
        </row>
        <row r="10">
          <cell r="K10">
            <v>8904.16033</v>
          </cell>
        </row>
        <row r="11">
          <cell r="C11">
            <v>4613.02</v>
          </cell>
        </row>
        <row r="11">
          <cell r="K11">
            <v>4613.02</v>
          </cell>
        </row>
        <row r="12">
          <cell r="C12">
            <v>-6238.153</v>
          </cell>
        </row>
        <row r="12">
          <cell r="K12">
            <v>-7560.353</v>
          </cell>
        </row>
        <row r="13">
          <cell r="C13">
            <v>8725</v>
          </cell>
        </row>
        <row r="13">
          <cell r="K13">
            <v>5839.069</v>
          </cell>
        </row>
        <row r="14">
          <cell r="C14">
            <v>1672.01528</v>
          </cell>
        </row>
        <row r="14">
          <cell r="K14">
            <v>337.99628</v>
          </cell>
        </row>
        <row r="15">
          <cell r="C15">
            <v>13281.757</v>
          </cell>
        </row>
        <row r="15">
          <cell r="K15">
            <v>9464.195</v>
          </cell>
        </row>
        <row r="16">
          <cell r="C16">
            <v>40.954</v>
          </cell>
        </row>
        <row r="16">
          <cell r="K16">
            <v>-1843.474</v>
          </cell>
        </row>
        <row r="17">
          <cell r="C17">
            <v>1679.991</v>
          </cell>
        </row>
        <row r="17">
          <cell r="K17">
            <v>-2158.565</v>
          </cell>
        </row>
        <row r="18">
          <cell r="C18">
            <v>168.794</v>
          </cell>
        </row>
        <row r="18">
          <cell r="K18">
            <v>-1964.977</v>
          </cell>
        </row>
        <row r="19">
          <cell r="C19">
            <v>-959.679</v>
          </cell>
        </row>
        <row r="19">
          <cell r="K19">
            <v>-1885.705</v>
          </cell>
        </row>
        <row r="20">
          <cell r="C20">
            <v>47.174</v>
          </cell>
        </row>
        <row r="20">
          <cell r="K20">
            <v>-377.352</v>
          </cell>
        </row>
        <row r="21">
          <cell r="C21">
            <v>0</v>
          </cell>
        </row>
        <row r="21">
          <cell r="K21">
            <v>-869.124</v>
          </cell>
        </row>
        <row r="25">
          <cell r="C25">
            <v>0</v>
          </cell>
        </row>
        <row r="25">
          <cell r="K25">
            <v>-30757.539</v>
          </cell>
        </row>
        <row r="26">
          <cell r="C26">
            <v>0</v>
          </cell>
        </row>
        <row r="26">
          <cell r="K26">
            <v>18548.3175</v>
          </cell>
        </row>
        <row r="27">
          <cell r="K27">
            <v>-281.118</v>
          </cell>
        </row>
        <row r="32">
          <cell r="C32">
            <v>0</v>
          </cell>
        </row>
      </sheetData>
      <sheetData sheetId="2"/>
      <sheetData sheetId="3"/>
      <sheetData sheetId="4"/>
      <sheetData sheetId="5">
        <row r="9">
          <cell r="D9">
            <v>7068.216</v>
          </cell>
        </row>
        <row r="10">
          <cell r="D10">
            <v>3584.983</v>
          </cell>
        </row>
        <row r="11">
          <cell r="D11">
            <v>0</v>
          </cell>
        </row>
        <row r="12">
          <cell r="D12">
            <v>570.503</v>
          </cell>
        </row>
        <row r="13">
          <cell r="D13">
            <v>1721.372</v>
          </cell>
        </row>
        <row r="14">
          <cell r="D14">
            <v>790.135</v>
          </cell>
        </row>
        <row r="15">
          <cell r="D15">
            <v>2364.778</v>
          </cell>
        </row>
        <row r="16">
          <cell r="D16">
            <v>1615.797</v>
          </cell>
        </row>
        <row r="17">
          <cell r="D17">
            <v>2763.129</v>
          </cell>
        </row>
        <row r="18">
          <cell r="D18">
            <v>1557.302</v>
          </cell>
        </row>
        <row r="19">
          <cell r="D19">
            <v>428.864</v>
          </cell>
        </row>
        <row r="20">
          <cell r="D20">
            <v>326.597</v>
          </cell>
        </row>
        <row r="21">
          <cell r="D21">
            <v>522.074</v>
          </cell>
        </row>
        <row r="25">
          <cell r="D25">
            <v>30757.539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/>
      <sheetData sheetId="2">
        <row r="9">
          <cell r="C9">
            <v>40000</v>
          </cell>
        </row>
        <row r="9">
          <cell r="E9">
            <v>23249.788</v>
          </cell>
        </row>
        <row r="9">
          <cell r="M9">
            <v>6767.77</v>
          </cell>
        </row>
        <row r="10">
          <cell r="C10">
            <v>11250</v>
          </cell>
        </row>
        <row r="10">
          <cell r="E10">
            <v>3837.254</v>
          </cell>
        </row>
        <row r="10">
          <cell r="M10">
            <v>4013.093</v>
          </cell>
        </row>
        <row r="11">
          <cell r="C11">
            <v>2500</v>
          </cell>
        </row>
        <row r="11">
          <cell r="E11">
            <v>2500</v>
          </cell>
        </row>
        <row r="11">
          <cell r="M11">
            <v>0</v>
          </cell>
        </row>
        <row r="12">
          <cell r="C12">
            <v>5000</v>
          </cell>
        </row>
        <row r="12">
          <cell r="E12">
            <v>2915.624</v>
          </cell>
        </row>
        <row r="12">
          <cell r="M12">
            <v>1213.619</v>
          </cell>
        </row>
        <row r="13">
          <cell r="C13">
            <v>8509.251</v>
          </cell>
        </row>
        <row r="13">
          <cell r="E13">
            <v>4460.982</v>
          </cell>
        </row>
        <row r="13">
          <cell r="M13">
            <v>1808.523</v>
          </cell>
        </row>
        <row r="14">
          <cell r="C14">
            <v>4875</v>
          </cell>
        </row>
        <row r="14">
          <cell r="E14">
            <v>2259.021</v>
          </cell>
        </row>
        <row r="14">
          <cell r="M14">
            <v>1802.648</v>
          </cell>
        </row>
        <row r="15">
          <cell r="C15">
            <v>20000</v>
          </cell>
        </row>
        <row r="15">
          <cell r="E15">
            <v>14454.606</v>
          </cell>
        </row>
        <row r="15">
          <cell r="M15">
            <v>3467.386</v>
          </cell>
        </row>
        <row r="16">
          <cell r="C16">
            <v>500</v>
          </cell>
        </row>
        <row r="16">
          <cell r="E16">
            <v>-1244.696</v>
          </cell>
        </row>
        <row r="16">
          <cell r="M16">
            <v>1555.606</v>
          </cell>
        </row>
        <row r="17">
          <cell r="C17">
            <v>3000</v>
          </cell>
        </row>
        <row r="17">
          <cell r="E17">
            <v>365.936</v>
          </cell>
        </row>
        <row r="17">
          <cell r="M17">
            <v>1430.25</v>
          </cell>
        </row>
        <row r="18">
          <cell r="C18">
            <v>1413</v>
          </cell>
        </row>
        <row r="18">
          <cell r="E18">
            <v>-187.847</v>
          </cell>
        </row>
        <row r="18">
          <cell r="M18">
            <v>809.424</v>
          </cell>
        </row>
        <row r="19">
          <cell r="C19">
            <v>-858.501</v>
          </cell>
        </row>
        <row r="19">
          <cell r="E19">
            <v>-1700.567</v>
          </cell>
        </row>
        <row r="19">
          <cell r="M19">
            <v>272.542</v>
          </cell>
        </row>
        <row r="20">
          <cell r="C20">
            <v>0</v>
          </cell>
        </row>
        <row r="20">
          <cell r="E20">
            <v>-783.779</v>
          </cell>
        </row>
        <row r="20">
          <cell r="M20">
            <v>712.17</v>
          </cell>
        </row>
        <row r="21">
          <cell r="C21">
            <v>0</v>
          </cell>
        </row>
        <row r="21">
          <cell r="E21">
            <v>-1008.636</v>
          </cell>
        </row>
        <row r="21">
          <cell r="M21">
            <v>533.369</v>
          </cell>
        </row>
        <row r="22">
          <cell r="C22">
            <v>1110</v>
          </cell>
        </row>
        <row r="22">
          <cell r="E22">
            <v>1110</v>
          </cell>
        </row>
        <row r="22">
          <cell r="M22">
            <v>0</v>
          </cell>
        </row>
        <row r="26">
          <cell r="C26">
            <v>0</v>
          </cell>
        </row>
        <row r="26">
          <cell r="E26">
            <v>-27923.81</v>
          </cell>
        </row>
        <row r="26">
          <cell r="M26">
            <v>27923.81</v>
          </cell>
        </row>
        <row r="27">
          <cell r="C27">
            <v>0</v>
          </cell>
        </row>
        <row r="27">
          <cell r="E27">
            <v>22684.664</v>
          </cell>
        </row>
        <row r="27">
          <cell r="M27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YTD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</sheetNames>
    <sheetDataSet>
      <sheetData sheetId="0"/>
      <sheetData sheetId="1"/>
      <sheetData sheetId="2"/>
      <sheetData sheetId="3">
        <row r="9">
          <cell r="E9">
            <v>15526.516</v>
          </cell>
        </row>
        <row r="9">
          <cell r="G9">
            <v>32796.825</v>
          </cell>
        </row>
        <row r="9">
          <cell r="M9">
            <v>6834.695</v>
          </cell>
        </row>
        <row r="9">
          <cell r="O9">
            <v>17788.538</v>
          </cell>
        </row>
        <row r="10">
          <cell r="E10">
            <v>7446.984</v>
          </cell>
        </row>
        <row r="10">
          <cell r="G10">
            <v>23751.52352</v>
          </cell>
        </row>
        <row r="10">
          <cell r="M10">
            <v>3967.036</v>
          </cell>
        </row>
        <row r="10">
          <cell r="O10">
            <v>16122.85752</v>
          </cell>
        </row>
        <row r="11">
          <cell r="E11">
            <v>1775</v>
          </cell>
        </row>
        <row r="11">
          <cell r="G11">
            <v>2463</v>
          </cell>
        </row>
        <row r="11">
          <cell r="M11">
            <v>348</v>
          </cell>
        </row>
        <row r="11">
          <cell r="O11">
            <v>1844</v>
          </cell>
        </row>
        <row r="12">
          <cell r="E12">
            <v>0</v>
          </cell>
        </row>
        <row r="12">
          <cell r="G12">
            <v>0</v>
          </cell>
        </row>
        <row r="12">
          <cell r="M12">
            <v>0</v>
          </cell>
        </row>
        <row r="12">
          <cell r="O12">
            <v>0</v>
          </cell>
        </row>
        <row r="13">
          <cell r="E13">
            <v>3838.187</v>
          </cell>
        </row>
        <row r="13">
          <cell r="G13">
            <v>8858</v>
          </cell>
        </row>
        <row r="13">
          <cell r="M13">
            <v>1489.305</v>
          </cell>
        </row>
        <row r="13">
          <cell r="O13">
            <v>6646.931</v>
          </cell>
        </row>
        <row r="14">
          <cell r="E14">
            <v>8615.186</v>
          </cell>
        </row>
        <row r="14">
          <cell r="G14">
            <v>2550.569</v>
          </cell>
        </row>
        <row r="14">
          <cell r="M14">
            <v>1299.411</v>
          </cell>
        </row>
        <row r="14">
          <cell r="O14">
            <v>604.991</v>
          </cell>
        </row>
        <row r="15">
          <cell r="E15">
            <v>21486.755</v>
          </cell>
        </row>
        <row r="15">
          <cell r="G15">
            <v>17176</v>
          </cell>
        </row>
        <row r="15">
          <cell r="M15">
            <v>2295.727</v>
          </cell>
        </row>
        <row r="15">
          <cell r="O15">
            <v>13173.132</v>
          </cell>
        </row>
        <row r="16">
          <cell r="E16">
            <v>-3623.711</v>
          </cell>
        </row>
        <row r="16">
          <cell r="G16">
            <v>1648.452</v>
          </cell>
        </row>
        <row r="16">
          <cell r="M16">
            <v>4582.465</v>
          </cell>
        </row>
        <row r="16">
          <cell r="O16">
            <v>-3767.201</v>
          </cell>
        </row>
        <row r="17">
          <cell r="E17">
            <v>2377.904</v>
          </cell>
        </row>
        <row r="17">
          <cell r="G17">
            <v>765.215</v>
          </cell>
        </row>
        <row r="17">
          <cell r="M17">
            <v>5577.472</v>
          </cell>
        </row>
        <row r="17">
          <cell r="O17">
            <v>-5892.272</v>
          </cell>
        </row>
        <row r="18">
          <cell r="E18">
            <v>497.153</v>
          </cell>
        </row>
        <row r="18">
          <cell r="G18">
            <v>2067.854</v>
          </cell>
        </row>
        <row r="18">
          <cell r="M18">
            <v>229.674</v>
          </cell>
        </row>
        <row r="18">
          <cell r="O18">
            <v>1360.729</v>
          </cell>
        </row>
        <row r="19">
          <cell r="C19">
            <v>1603</v>
          </cell>
        </row>
        <row r="19">
          <cell r="E19">
            <v>1454</v>
          </cell>
        </row>
        <row r="19">
          <cell r="G19">
            <v>1960.418</v>
          </cell>
        </row>
        <row r="19">
          <cell r="M19">
            <v>99.017</v>
          </cell>
        </row>
        <row r="19">
          <cell r="O19">
            <v>1861.401</v>
          </cell>
        </row>
        <row r="20">
          <cell r="C20">
            <v>0</v>
          </cell>
        </row>
        <row r="20">
          <cell r="E20">
            <v>-766.232</v>
          </cell>
        </row>
        <row r="20">
          <cell r="G20">
            <v>171.345</v>
          </cell>
        </row>
        <row r="20">
          <cell r="M20">
            <v>374.038</v>
          </cell>
        </row>
        <row r="20">
          <cell r="O20">
            <v>-323.811</v>
          </cell>
        </row>
        <row r="21">
          <cell r="C21">
            <v>0</v>
          </cell>
        </row>
        <row r="21">
          <cell r="E21">
            <v>-1011.224</v>
          </cell>
        </row>
        <row r="21">
          <cell r="G21">
            <v>0</v>
          </cell>
        </row>
        <row r="21">
          <cell r="M21">
            <v>826.36</v>
          </cell>
        </row>
        <row r="21">
          <cell r="O21">
            <v>-944.21</v>
          </cell>
        </row>
        <row r="22">
          <cell r="C22">
            <v>4613.104</v>
          </cell>
        </row>
        <row r="22">
          <cell r="E22">
            <v>4613.104</v>
          </cell>
        </row>
        <row r="22">
          <cell r="G22">
            <v>0</v>
          </cell>
        </row>
        <row r="22">
          <cell r="M22">
            <v>0</v>
          </cell>
        </row>
        <row r="22">
          <cell r="O22">
            <v>0</v>
          </cell>
        </row>
        <row r="26">
          <cell r="E26">
            <v>-28242.491</v>
          </cell>
        </row>
        <row r="26">
          <cell r="M26">
            <v>32056.176</v>
          </cell>
        </row>
        <row r="26">
          <cell r="O26">
            <v>-32056.176</v>
          </cell>
        </row>
        <row r="27">
          <cell r="E27">
            <v>22036.86</v>
          </cell>
        </row>
        <row r="27">
          <cell r="O27">
            <v>17711.055</v>
          </cell>
        </row>
      </sheetData>
      <sheetData sheetId="4"/>
      <sheetData sheetId="5"/>
      <sheetData sheetId="6">
        <row r="19">
          <cell r="E19">
            <v>149</v>
          </cell>
        </row>
        <row r="20">
          <cell r="E20">
            <v>695.866</v>
          </cell>
        </row>
        <row r="21">
          <cell r="E21">
            <v>537.2</v>
          </cell>
        </row>
        <row r="25">
          <cell r="E25">
            <v>28242.491</v>
          </cell>
        </row>
      </sheetData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</sheetNames>
    <sheetDataSet>
      <sheetData sheetId="0"/>
      <sheetData sheetId="1"/>
      <sheetData sheetId="2">
        <row r="9">
          <cell r="C9">
            <v>32500</v>
          </cell>
        </row>
        <row r="9">
          <cell r="M9">
            <v>6994.313</v>
          </cell>
        </row>
        <row r="10">
          <cell r="C10">
            <v>16250</v>
          </cell>
        </row>
        <row r="10">
          <cell r="M10">
            <v>5012.782</v>
          </cell>
        </row>
        <row r="11">
          <cell r="C11">
            <v>2500</v>
          </cell>
        </row>
        <row r="11">
          <cell r="M11">
            <v>348.209</v>
          </cell>
        </row>
        <row r="12">
          <cell r="C12">
            <v>0</v>
          </cell>
        </row>
        <row r="12">
          <cell r="M12">
            <v>0</v>
          </cell>
        </row>
        <row r="13">
          <cell r="C13">
            <v>7078.819</v>
          </cell>
        </row>
        <row r="13">
          <cell r="M13">
            <v>1463.007</v>
          </cell>
        </row>
        <row r="14">
          <cell r="C14">
            <v>11875</v>
          </cell>
        </row>
        <row r="14">
          <cell r="M14">
            <v>2304.122</v>
          </cell>
        </row>
        <row r="15">
          <cell r="C15">
            <v>27500</v>
          </cell>
        </row>
        <row r="15">
          <cell r="M15">
            <v>3742.616</v>
          </cell>
        </row>
        <row r="16">
          <cell r="C16">
            <v>1311</v>
          </cell>
        </row>
        <row r="16">
          <cell r="M16">
            <v>4356.818</v>
          </cell>
        </row>
        <row r="17">
          <cell r="C17">
            <v>5000</v>
          </cell>
        </row>
        <row r="17">
          <cell r="M17">
            <v>1430.25</v>
          </cell>
        </row>
        <row r="18">
          <cell r="C18">
            <v>1372.499</v>
          </cell>
        </row>
        <row r="18">
          <cell r="M18">
            <v>302.281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YTD"/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/>
      <sheetData sheetId="2"/>
      <sheetData sheetId="3">
        <row r="9">
          <cell r="C9">
            <v>32500</v>
          </cell>
        </row>
        <row r="9">
          <cell r="E9">
            <v>15606.718</v>
          </cell>
        </row>
        <row r="9">
          <cell r="J9">
            <v>28864.211</v>
          </cell>
        </row>
        <row r="9">
          <cell r="M9">
            <v>7980.981</v>
          </cell>
        </row>
        <row r="9">
          <cell r="O9">
            <v>13858.068</v>
          </cell>
        </row>
        <row r="10">
          <cell r="C10">
            <v>16250</v>
          </cell>
        </row>
        <row r="10">
          <cell r="E10">
            <v>7349.769</v>
          </cell>
        </row>
        <row r="10">
          <cell r="J10">
            <v>29042.348</v>
          </cell>
        </row>
        <row r="10">
          <cell r="M10">
            <v>4864.403</v>
          </cell>
        </row>
        <row r="10">
          <cell r="O10">
            <v>19116.289</v>
          </cell>
        </row>
        <row r="11">
          <cell r="C11">
            <v>2500</v>
          </cell>
        </row>
        <row r="11">
          <cell r="E11">
            <v>1776.69</v>
          </cell>
        </row>
        <row r="11">
          <cell r="J11">
            <v>3421.699</v>
          </cell>
        </row>
        <row r="11">
          <cell r="M11">
            <v>275.16</v>
          </cell>
        </row>
        <row r="11">
          <cell r="O11">
            <v>2730.689</v>
          </cell>
        </row>
        <row r="12">
          <cell r="C12">
            <v>0</v>
          </cell>
        </row>
        <row r="12">
          <cell r="E12">
            <v>0</v>
          </cell>
        </row>
        <row r="13">
          <cell r="C13">
            <v>8659.352</v>
          </cell>
        </row>
        <row r="13">
          <cell r="E13">
            <v>5352.897</v>
          </cell>
        </row>
        <row r="13">
          <cell r="J13">
            <v>8926</v>
          </cell>
        </row>
        <row r="13">
          <cell r="M13">
            <v>2560.499</v>
          </cell>
        </row>
        <row r="13">
          <cell r="O13">
            <v>5161.736</v>
          </cell>
        </row>
        <row r="14">
          <cell r="C14">
            <v>11875</v>
          </cell>
        </row>
        <row r="14">
          <cell r="E14">
            <v>8401.542</v>
          </cell>
        </row>
        <row r="14">
          <cell r="J14">
            <v>996.886</v>
          </cell>
        </row>
        <row r="14">
          <cell r="M14">
            <v>2093.127</v>
          </cell>
        </row>
        <row r="14">
          <cell r="O14">
            <v>-1683.844</v>
          </cell>
        </row>
        <row r="15">
          <cell r="C15">
            <v>27370</v>
          </cell>
        </row>
        <row r="15">
          <cell r="E15">
            <v>21837.183</v>
          </cell>
        </row>
        <row r="15">
          <cell r="J15">
            <v>5721.45</v>
          </cell>
        </row>
        <row r="15">
          <cell r="M15">
            <v>3047.825</v>
          </cell>
        </row>
        <row r="15">
          <cell r="O15">
            <v>1428.98</v>
          </cell>
        </row>
        <row r="16">
          <cell r="C16">
            <v>5705</v>
          </cell>
        </row>
        <row r="16">
          <cell r="E16">
            <v>246.839999999999</v>
          </cell>
        </row>
        <row r="16">
          <cell r="J16">
            <v>1266.49</v>
          </cell>
        </row>
        <row r="16">
          <cell r="M16">
            <v>3683.199</v>
          </cell>
        </row>
        <row r="16">
          <cell r="O16">
            <v>-4158.13</v>
          </cell>
        </row>
        <row r="17">
          <cell r="C17">
            <v>8000</v>
          </cell>
        </row>
        <row r="17">
          <cell r="E17">
            <v>5376.787</v>
          </cell>
        </row>
        <row r="17">
          <cell r="J17">
            <v>1574.353</v>
          </cell>
        </row>
        <row r="17">
          <cell r="M17">
            <v>6143.468</v>
          </cell>
        </row>
        <row r="17">
          <cell r="O17">
            <v>-5756.62</v>
          </cell>
        </row>
        <row r="18">
          <cell r="C18">
            <v>0</v>
          </cell>
        </row>
        <row r="18">
          <cell r="E18">
            <v>0</v>
          </cell>
        </row>
        <row r="18">
          <cell r="J18">
            <v>0</v>
          </cell>
        </row>
        <row r="18">
          <cell r="M18">
            <v>0</v>
          </cell>
        </row>
        <row r="18">
          <cell r="O18">
            <v>0</v>
          </cell>
        </row>
        <row r="19">
          <cell r="C19">
            <v>3750</v>
          </cell>
        </row>
        <row r="19">
          <cell r="E19">
            <v>383.622</v>
          </cell>
        </row>
        <row r="19">
          <cell r="J19">
            <v>0.849</v>
          </cell>
        </row>
        <row r="19">
          <cell r="M19">
            <v>930.877</v>
          </cell>
        </row>
        <row r="19">
          <cell r="O19">
            <v>-2530.91</v>
          </cell>
        </row>
        <row r="20">
          <cell r="C20">
            <v>1602.701</v>
          </cell>
        </row>
        <row r="20">
          <cell r="E20">
            <v>1464.251</v>
          </cell>
        </row>
        <row r="20">
          <cell r="J20">
            <v>2542.237</v>
          </cell>
        </row>
        <row r="20">
          <cell r="M20">
            <v>162.295</v>
          </cell>
        </row>
        <row r="20">
          <cell r="O20">
            <v>2379.942</v>
          </cell>
        </row>
        <row r="21">
          <cell r="C21">
            <v>0</v>
          </cell>
        </row>
        <row r="21">
          <cell r="E21">
            <v>-766.609</v>
          </cell>
        </row>
        <row r="21">
          <cell r="J21">
            <v>182.957</v>
          </cell>
        </row>
        <row r="21">
          <cell r="M21">
            <v>480.879</v>
          </cell>
        </row>
        <row r="21">
          <cell r="O21">
            <v>-462.694</v>
          </cell>
        </row>
        <row r="22">
          <cell r="C22">
            <v>0</v>
          </cell>
        </row>
        <row r="22">
          <cell r="E22">
            <v>-1011.604</v>
          </cell>
        </row>
        <row r="22">
          <cell r="J22">
            <v>0</v>
          </cell>
        </row>
        <row r="22">
          <cell r="M22">
            <v>533.021</v>
          </cell>
        </row>
        <row r="22">
          <cell r="O22">
            <v>-1051.006</v>
          </cell>
        </row>
        <row r="23">
          <cell r="C23">
            <v>5601</v>
          </cell>
        </row>
        <row r="23">
          <cell r="E23">
            <v>5601</v>
          </cell>
        </row>
        <row r="23">
          <cell r="J23">
            <v>0</v>
          </cell>
        </row>
        <row r="23">
          <cell r="M23">
            <v>0</v>
          </cell>
        </row>
        <row r="23">
          <cell r="O23">
            <v>0</v>
          </cell>
        </row>
        <row r="27">
          <cell r="E27">
            <v>0</v>
          </cell>
        </row>
        <row r="27">
          <cell r="M27">
            <v>1448.015</v>
          </cell>
        </row>
        <row r="27">
          <cell r="O27">
            <v>-1448.015</v>
          </cell>
        </row>
        <row r="28">
          <cell r="E28">
            <v>-29901.169</v>
          </cell>
        </row>
        <row r="28">
          <cell r="M28">
            <v>27940.685</v>
          </cell>
        </row>
        <row r="28">
          <cell r="O28">
            <v>-27940.685</v>
          </cell>
        </row>
        <row r="29">
          <cell r="E29">
            <v>23493.214</v>
          </cell>
        </row>
        <row r="29">
          <cell r="O29">
            <v>20751.246</v>
          </cell>
        </row>
      </sheetData>
      <sheetData sheetId="4"/>
      <sheetData sheetId="5"/>
      <sheetData sheetId="6">
        <row r="9">
          <cell r="E9">
            <v>6913.332</v>
          </cell>
        </row>
        <row r="10">
          <cell r="E10">
            <v>5104.641</v>
          </cell>
        </row>
        <row r="11">
          <cell r="E11">
            <v>348.209</v>
          </cell>
        </row>
        <row r="12">
          <cell r="E12">
            <v>0</v>
          </cell>
        </row>
        <row r="13">
          <cell r="E13">
            <v>1527.724</v>
          </cell>
        </row>
        <row r="14">
          <cell r="E14">
            <v>2517.066</v>
          </cell>
        </row>
        <row r="15">
          <cell r="E15">
            <v>3320.448</v>
          </cell>
        </row>
        <row r="16">
          <cell r="E16">
            <v>4625.078</v>
          </cell>
        </row>
        <row r="17">
          <cell r="E17">
            <v>1430.25</v>
          </cell>
        </row>
        <row r="18">
          <cell r="E18">
            <v>0</v>
          </cell>
        </row>
        <row r="19">
          <cell r="E19">
            <v>1542.486</v>
          </cell>
        </row>
        <row r="20">
          <cell r="E20">
            <v>138.45</v>
          </cell>
        </row>
        <row r="21">
          <cell r="E21">
            <v>695.866</v>
          </cell>
        </row>
        <row r="22">
          <cell r="E22">
            <v>537.203</v>
          </cell>
        </row>
        <row r="27">
          <cell r="E27">
            <v>29901.169</v>
          </cell>
        </row>
      </sheetData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/>
      <sheetData sheetId="2">
        <row r="9">
          <cell r="J9">
            <v>-7726</v>
          </cell>
        </row>
        <row r="9">
          <cell r="M9">
            <v>6903.119</v>
          </cell>
        </row>
        <row r="9">
          <cell r="O9">
            <v>-24647.743</v>
          </cell>
        </row>
        <row r="10">
          <cell r="J10">
            <v>1514.246</v>
          </cell>
        </row>
        <row r="10">
          <cell r="M10">
            <v>5110.533</v>
          </cell>
        </row>
        <row r="10">
          <cell r="O10">
            <v>-7385.241</v>
          </cell>
        </row>
        <row r="11">
          <cell r="J11">
            <v>-394</v>
          </cell>
        </row>
        <row r="11">
          <cell r="M11">
            <v>348.209</v>
          </cell>
        </row>
        <row r="11">
          <cell r="O11">
            <v>-1117.274</v>
          </cell>
        </row>
        <row r="13">
          <cell r="J13">
            <v>1431</v>
          </cell>
        </row>
        <row r="13">
          <cell r="M13">
            <v>1860.081</v>
          </cell>
        </row>
        <row r="13">
          <cell r="O13">
            <v>-2205.833</v>
          </cell>
        </row>
        <row r="14">
          <cell r="J14">
            <v>46.04</v>
          </cell>
        </row>
        <row r="14">
          <cell r="M14">
            <v>2517.066</v>
          </cell>
        </row>
        <row r="14">
          <cell r="O14">
            <v>-3424.368</v>
          </cell>
        </row>
        <row r="15">
          <cell r="J15">
            <v>4499</v>
          </cell>
        </row>
        <row r="15">
          <cell r="M15">
            <v>1849.136</v>
          </cell>
        </row>
        <row r="15">
          <cell r="O15">
            <v>1368.453</v>
          </cell>
        </row>
        <row r="16">
          <cell r="J16">
            <v>-38.317</v>
          </cell>
        </row>
        <row r="16">
          <cell r="M16">
            <v>7322.176</v>
          </cell>
        </row>
        <row r="16">
          <cell r="O16">
            <v>-8801.527</v>
          </cell>
        </row>
        <row r="17">
          <cell r="J17">
            <v>376</v>
          </cell>
        </row>
        <row r="17">
          <cell r="M17">
            <v>3270.25</v>
          </cell>
        </row>
        <row r="17">
          <cell r="O17">
            <v>-4083.428</v>
          </cell>
        </row>
        <row r="19">
          <cell r="J19">
            <v>0</v>
          </cell>
        </row>
        <row r="19">
          <cell r="M19">
            <v>1542.486</v>
          </cell>
        </row>
        <row r="19">
          <cell r="O19">
            <v>-3366.378</v>
          </cell>
        </row>
        <row r="20">
          <cell r="J20">
            <v>0</v>
          </cell>
        </row>
        <row r="20">
          <cell r="M20">
            <v>138.45</v>
          </cell>
        </row>
        <row r="20">
          <cell r="O20">
            <v>-138.45</v>
          </cell>
        </row>
        <row r="21">
          <cell r="J21">
            <v>0</v>
          </cell>
        </row>
        <row r="21">
          <cell r="M21">
            <v>695.867</v>
          </cell>
        </row>
        <row r="21">
          <cell r="O21">
            <v>-765.961</v>
          </cell>
        </row>
        <row r="22">
          <cell r="J22">
            <v>-30000</v>
          </cell>
        </row>
        <row r="22">
          <cell r="M22">
            <v>0</v>
          </cell>
        </row>
        <row r="22">
          <cell r="O22">
            <v>-30000</v>
          </cell>
        </row>
        <row r="23">
          <cell r="J23">
            <v>0</v>
          </cell>
        </row>
        <row r="23">
          <cell r="M23">
            <v>537.204</v>
          </cell>
        </row>
        <row r="23">
          <cell r="O23">
            <v>-1010.956</v>
          </cell>
        </row>
        <row r="24">
          <cell r="J24">
            <v>0</v>
          </cell>
        </row>
        <row r="24">
          <cell r="M24">
            <v>0</v>
          </cell>
        </row>
        <row r="24">
          <cell r="O24">
            <v>0</v>
          </cell>
        </row>
        <row r="28">
          <cell r="M28">
            <v>42641.985</v>
          </cell>
        </row>
        <row r="28">
          <cell r="O28">
            <v>-42641.985</v>
          </cell>
        </row>
        <row r="29">
          <cell r="O29">
            <v>23192.098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/>
      <sheetData sheetId="2">
        <row r="9">
          <cell r="C9">
            <v>45000</v>
          </cell>
        </row>
        <row r="9">
          <cell r="E9">
            <v>28078.257</v>
          </cell>
        </row>
        <row r="10">
          <cell r="C10">
            <v>16250</v>
          </cell>
        </row>
        <row r="10">
          <cell r="E10">
            <v>7350.513</v>
          </cell>
        </row>
        <row r="11">
          <cell r="C11">
            <v>2500</v>
          </cell>
        </row>
        <row r="11">
          <cell r="E11">
            <v>1776.726</v>
          </cell>
        </row>
        <row r="12">
          <cell r="C12">
            <v>0</v>
          </cell>
        </row>
        <row r="12">
          <cell r="E12">
            <v>0</v>
          </cell>
        </row>
        <row r="13">
          <cell r="C13">
            <v>8752.58</v>
          </cell>
        </row>
        <row r="13">
          <cell r="E13">
            <v>5415.747</v>
          </cell>
        </row>
        <row r="14">
          <cell r="C14">
            <v>8875</v>
          </cell>
        </row>
        <row r="14">
          <cell r="E14">
            <v>5404.592</v>
          </cell>
        </row>
        <row r="15">
          <cell r="C15">
            <v>29545</v>
          </cell>
        </row>
        <row r="15">
          <cell r="E15">
            <v>26414.453</v>
          </cell>
        </row>
        <row r="16">
          <cell r="C16">
            <v>13305.5</v>
          </cell>
        </row>
        <row r="16">
          <cell r="E16">
            <v>4542.29</v>
          </cell>
        </row>
        <row r="17">
          <cell r="C17">
            <v>44000</v>
          </cell>
        </row>
        <row r="17">
          <cell r="E17">
            <v>41380.572</v>
          </cell>
        </row>
        <row r="18">
          <cell r="C18">
            <v>0</v>
          </cell>
        </row>
        <row r="18">
          <cell r="E18">
            <v>0</v>
          </cell>
        </row>
        <row r="19">
          <cell r="C19">
            <v>3750</v>
          </cell>
        </row>
        <row r="19">
          <cell r="E19">
            <v>383.622</v>
          </cell>
        </row>
        <row r="20">
          <cell r="C20">
            <v>1602.701</v>
          </cell>
        </row>
        <row r="20">
          <cell r="E20">
            <v>1464.251</v>
          </cell>
        </row>
        <row r="21">
          <cell r="C21">
            <v>0</v>
          </cell>
        </row>
        <row r="21">
          <cell r="E21">
            <v>-765.961</v>
          </cell>
        </row>
        <row r="22">
          <cell r="C22">
            <v>0</v>
          </cell>
        </row>
        <row r="22">
          <cell r="E22">
            <v>-1010.956</v>
          </cell>
        </row>
        <row r="23">
          <cell r="C23">
            <v>1730.691</v>
          </cell>
        </row>
        <row r="23">
          <cell r="E23">
            <v>1730.691</v>
          </cell>
        </row>
        <row r="27">
          <cell r="E27">
            <v>-42641.985</v>
          </cell>
        </row>
        <row r="28">
          <cell r="E28">
            <v>23192.098</v>
          </cell>
        </row>
      </sheetData>
      <sheetData sheetId="3"/>
      <sheetData sheetId="4"/>
      <sheetData sheetId="5">
        <row r="9">
          <cell r="E9">
            <v>6903.119</v>
          </cell>
        </row>
        <row r="10">
          <cell r="E10">
            <v>5110.533</v>
          </cell>
        </row>
        <row r="11">
          <cell r="E11">
            <v>348.209</v>
          </cell>
        </row>
        <row r="12">
          <cell r="E12">
            <v>0</v>
          </cell>
        </row>
        <row r="13">
          <cell r="E13">
            <v>1560.081</v>
          </cell>
        </row>
        <row r="14">
          <cell r="E14">
            <v>2517.066</v>
          </cell>
        </row>
        <row r="15">
          <cell r="E15">
            <v>1849.136</v>
          </cell>
        </row>
        <row r="16">
          <cell r="E16">
            <v>7322.176</v>
          </cell>
        </row>
        <row r="17">
          <cell r="E17">
            <v>1430.25</v>
          </cell>
        </row>
        <row r="18">
          <cell r="E18">
            <v>0</v>
          </cell>
        </row>
        <row r="19">
          <cell r="E19">
            <v>1542.486</v>
          </cell>
        </row>
        <row r="20">
          <cell r="E20">
            <v>138.45</v>
          </cell>
        </row>
        <row r="21">
          <cell r="E21">
            <v>695.867</v>
          </cell>
        </row>
        <row r="22">
          <cell r="E22">
            <v>537.204</v>
          </cell>
        </row>
        <row r="26">
          <cell r="E26">
            <v>42641.985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20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22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23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24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25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26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27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28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8.56"/>
    <col collapsed="false" customWidth="true" hidden="false" outlineLevel="0" max="2" min="2" style="1" width="10.99"/>
    <col collapsed="false" customWidth="true" hidden="false" outlineLevel="0" max="3" min="3" style="1" width="10.71"/>
    <col collapsed="false" customWidth="true" hidden="false" outlineLevel="0" max="4" min="4" style="1" width="12.14"/>
    <col collapsed="false" customWidth="true" hidden="false" outlineLevel="0" max="5" min="5" style="1" width="10.99"/>
    <col collapsed="false" customWidth="true" hidden="false" outlineLevel="0" max="7" min="6" style="1" width="10.71"/>
    <col collapsed="false" customWidth="true" hidden="false" outlineLevel="0" max="8" min="8" style="2" width="24.13"/>
    <col collapsed="false" customWidth="true" hidden="false" outlineLevel="0" max="9" min="9" style="1" width="10.85"/>
    <col collapsed="false" customWidth="true" hidden="false" outlineLevel="0" max="10" min="10" style="1" width="10.71"/>
    <col collapsed="false" customWidth="true" hidden="false" outlineLevel="0" max="11" min="11" style="1" width="12.56"/>
    <col collapsed="false" customWidth="true" hidden="false" outlineLevel="0" max="12" min="12" style="1" width="10.99"/>
    <col collapsed="false" customWidth="true" hidden="false" outlineLevel="0" max="14" min="13" style="1" width="10.71"/>
    <col collapsed="false" customWidth="true" hidden="false" outlineLevel="0" max="15" min="15" style="2" width="2.42"/>
    <col collapsed="false" customWidth="true" hidden="false" outlineLevel="0" max="16" min="16" style="1" width="10.99"/>
    <col collapsed="false" customWidth="true" hidden="false" outlineLevel="0" max="17" min="17" style="1" width="10.71"/>
    <col collapsed="false" customWidth="true" hidden="false" outlineLevel="0" max="18" min="18" style="1" width="12.42"/>
    <col collapsed="false" customWidth="true" hidden="false" outlineLevel="0" max="19" min="19" style="1" width="10.99"/>
    <col collapsed="false" customWidth="true" hidden="false" outlineLevel="0" max="21" min="20" style="1" width="10.71"/>
    <col collapsed="false" customWidth="true" hidden="false" outlineLevel="0" max="22" min="22" style="2" width="4.41"/>
    <col collapsed="false" customWidth="true" hidden="false" outlineLevel="0" max="23" min="23" style="1" width="10.99"/>
    <col collapsed="false" customWidth="true" hidden="false" outlineLevel="0" max="24" min="24" style="1" width="10.71"/>
    <col collapsed="false" customWidth="true" hidden="false" outlineLevel="0" max="25" min="25" style="1" width="12.85"/>
    <col collapsed="false" customWidth="true" hidden="false" outlineLevel="0" max="26" min="26" style="1" width="10.99"/>
    <col collapsed="false" customWidth="true" hidden="false" outlineLevel="0" max="27" min="27" style="1" width="10.71"/>
    <col collapsed="false" customWidth="true" hidden="false" outlineLevel="0" max="28" min="28" style="1" width="10.85"/>
    <col collapsed="false" customWidth="true" hidden="false" outlineLevel="0" max="29" min="29" style="2" width="2.7"/>
    <col collapsed="false" customWidth="true" hidden="false" outlineLevel="0" max="30" min="30" style="1" width="10.99"/>
    <col collapsed="false" customWidth="true" hidden="false" outlineLevel="0" max="31" min="31" style="1" width="10.71"/>
    <col collapsed="false" customWidth="true" hidden="false" outlineLevel="0" max="32" min="32" style="1" width="12.14"/>
    <col collapsed="false" customWidth="true" hidden="false" outlineLevel="0" max="33" min="33" style="1" width="10.99"/>
    <col collapsed="false" customWidth="true" hidden="false" outlineLevel="0" max="34" min="34" style="1" width="10.71"/>
    <col collapsed="false" customWidth="true" hidden="false" outlineLevel="0" max="35" min="35" style="1" width="10.85"/>
    <col collapsed="false" customWidth="false" hidden="false" outlineLevel="0" max="36" min="36" style="1" width="9.14"/>
    <col collapsed="false" customWidth="true" hidden="false" outlineLevel="0" max="37" min="37" style="1" width="31.7"/>
    <col collapsed="false" customWidth="true" hidden="false" outlineLevel="0" max="38" min="38" style="1" width="10.99"/>
    <col collapsed="false" customWidth="false" hidden="false" outlineLevel="0" max="39" min="39" style="1" width="9.14"/>
    <col collapsed="false" customWidth="true" hidden="false" outlineLevel="0" max="40" min="40" style="1" width="10.99"/>
    <col collapsed="false" customWidth="false" hidden="false" outlineLevel="0" max="41" min="41" style="1" width="9.14"/>
    <col collapsed="false" customWidth="true" hidden="false" outlineLevel="0" max="42" min="42" style="1" width="10.99"/>
    <col collapsed="false" customWidth="false" hidden="false" outlineLevel="0" max="43" min="43" style="1" width="9.14"/>
    <col collapsed="false" customWidth="true" hidden="false" outlineLevel="0" max="44" min="44" style="1" width="10.99"/>
    <col collapsed="false" customWidth="false" hidden="false" outlineLevel="0" max="45" min="45" style="1" width="9.14"/>
    <col collapsed="false" customWidth="true" hidden="false" outlineLevel="0" max="46" min="46" style="1" width="10.99"/>
    <col collapsed="false" customWidth="false" hidden="false" outlineLevel="0" max="47" min="47" style="1" width="9.14"/>
    <col collapsed="false" customWidth="true" hidden="false" outlineLevel="0" max="48" min="48" style="1" width="10.99"/>
    <col collapsed="false" customWidth="false" hidden="false" outlineLevel="0" max="49" min="49" style="1" width="9.14"/>
    <col collapsed="false" customWidth="true" hidden="false" outlineLevel="0" max="50" min="50" style="1" width="10.99"/>
    <col collapsed="false" customWidth="false" hidden="false" outlineLevel="0" max="51" min="51" style="1" width="9.14"/>
    <col collapsed="false" customWidth="true" hidden="false" outlineLevel="0" max="52" min="52" style="1" width="10.99"/>
    <col collapsed="false" customWidth="false" hidden="false" outlineLevel="0" max="53" min="53" style="1" width="9.14"/>
    <col collapsed="false" customWidth="true" hidden="false" outlineLevel="0" max="54" min="54" style="1" width="10.99"/>
    <col collapsed="false" customWidth="false" hidden="false" outlineLevel="0" max="55" min="55" style="1" width="9.14"/>
    <col collapsed="false" customWidth="true" hidden="false" outlineLevel="0" max="56" min="56" style="1" width="10.99"/>
    <col collapsed="false" customWidth="false" hidden="false" outlineLevel="0" max="57" min="57" style="1" width="9.14"/>
    <col collapsed="false" customWidth="true" hidden="false" outlineLevel="0" max="58" min="58" style="1" width="10.99"/>
    <col collapsed="false" customWidth="false" hidden="false" outlineLevel="0" max="59" min="59" style="1" width="9.14"/>
    <col collapsed="false" customWidth="true" hidden="false" outlineLevel="0" max="60" min="60" style="1" width="10.99"/>
    <col collapsed="false" customWidth="false" hidden="false" outlineLevel="0" max="257" min="61" style="1" width="9.14"/>
  </cols>
  <sheetData>
    <row r="1" customFormat="false" ht="19.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4" t="s">
        <v>1</v>
      </c>
      <c r="J1" s="4"/>
      <c r="K1" s="4"/>
      <c r="L1" s="4"/>
      <c r="M1" s="4"/>
      <c r="N1" s="4"/>
      <c r="O1" s="5"/>
      <c r="P1" s="4" t="s">
        <v>2</v>
      </c>
      <c r="Q1" s="4"/>
      <c r="R1" s="4"/>
      <c r="S1" s="4"/>
      <c r="T1" s="4"/>
      <c r="U1" s="4"/>
      <c r="V1" s="5"/>
      <c r="W1" s="4" t="s">
        <v>3</v>
      </c>
      <c r="X1" s="4"/>
      <c r="Y1" s="4"/>
      <c r="Z1" s="4"/>
      <c r="AA1" s="4"/>
      <c r="AB1" s="4"/>
      <c r="AC1" s="5"/>
      <c r="AD1" s="4" t="s">
        <v>4</v>
      </c>
      <c r="AE1" s="4"/>
      <c r="AF1" s="4"/>
      <c r="AG1" s="4"/>
      <c r="AH1" s="4"/>
      <c r="AI1" s="4"/>
      <c r="AJ1" s="6"/>
      <c r="AK1" s="7" t="s">
        <v>5</v>
      </c>
      <c r="AM1" s="8"/>
      <c r="AN1" s="8"/>
      <c r="AO1" s="8"/>
      <c r="AP1" s="8"/>
      <c r="AQ1" s="8"/>
      <c r="AX1" s="9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" hidden="false" customHeight="false" outlineLevel="0" collapsed="false">
      <c r="B2" s="10" t="s">
        <v>6</v>
      </c>
      <c r="C2" s="10" t="s">
        <v>7</v>
      </c>
      <c r="D2" s="10" t="s">
        <v>8</v>
      </c>
      <c r="E2" s="11" t="s">
        <v>6</v>
      </c>
      <c r="F2" s="11" t="s">
        <v>7</v>
      </c>
      <c r="G2" s="11" t="s">
        <v>9</v>
      </c>
      <c r="H2" s="12"/>
      <c r="I2" s="10" t="s">
        <v>6</v>
      </c>
      <c r="J2" s="10" t="s">
        <v>7</v>
      </c>
      <c r="K2" s="10" t="s">
        <v>8</v>
      </c>
      <c r="L2" s="11" t="s">
        <v>6</v>
      </c>
      <c r="M2" s="11" t="s">
        <v>7</v>
      </c>
      <c r="N2" s="11" t="s">
        <v>9</v>
      </c>
      <c r="O2" s="12"/>
      <c r="P2" s="10" t="s">
        <v>6</v>
      </c>
      <c r="Q2" s="10" t="s">
        <v>7</v>
      </c>
      <c r="R2" s="10" t="s">
        <v>8</v>
      </c>
      <c r="S2" s="11" t="s">
        <v>6</v>
      </c>
      <c r="T2" s="11" t="s">
        <v>7</v>
      </c>
      <c r="U2" s="11" t="s">
        <v>9</v>
      </c>
      <c r="V2" s="12"/>
      <c r="W2" s="10" t="s">
        <v>6</v>
      </c>
      <c r="X2" s="10" t="s">
        <v>7</v>
      </c>
      <c r="Y2" s="10" t="s">
        <v>8</v>
      </c>
      <c r="Z2" s="11" t="s">
        <v>6</v>
      </c>
      <c r="AA2" s="11" t="s">
        <v>7</v>
      </c>
      <c r="AB2" s="11" t="s">
        <v>9</v>
      </c>
      <c r="AC2" s="12"/>
      <c r="AD2" s="10" t="s">
        <v>6</v>
      </c>
      <c r="AE2" s="10" t="s">
        <v>10</v>
      </c>
      <c r="AF2" s="10" t="s">
        <v>8</v>
      </c>
      <c r="AG2" s="11" t="s">
        <v>6</v>
      </c>
      <c r="AH2" s="11" t="s">
        <v>7</v>
      </c>
      <c r="AI2" s="11" t="s">
        <v>9</v>
      </c>
      <c r="AK2" s="13"/>
      <c r="AL2" s="14" t="s">
        <v>11</v>
      </c>
      <c r="AM2" s="15" t="s">
        <v>12</v>
      </c>
      <c r="AN2" s="16" t="s">
        <v>11</v>
      </c>
      <c r="AO2" s="15" t="s">
        <v>12</v>
      </c>
      <c r="AP2" s="16" t="s">
        <v>11</v>
      </c>
      <c r="AQ2" s="15" t="s">
        <v>12</v>
      </c>
      <c r="AR2" s="14" t="s">
        <v>11</v>
      </c>
      <c r="AS2" s="15" t="s">
        <v>12</v>
      </c>
      <c r="AT2" s="16" t="s">
        <v>11</v>
      </c>
      <c r="AU2" s="15" t="s">
        <v>12</v>
      </c>
      <c r="AV2" s="16" t="s">
        <v>11</v>
      </c>
      <c r="AW2" s="15" t="s">
        <v>12</v>
      </c>
      <c r="AX2" s="16" t="s">
        <v>11</v>
      </c>
      <c r="AY2" s="15" t="s">
        <v>12</v>
      </c>
      <c r="AZ2" s="16" t="s">
        <v>11</v>
      </c>
      <c r="BA2" s="15" t="s">
        <v>12</v>
      </c>
      <c r="BB2" s="16" t="s">
        <v>11</v>
      </c>
      <c r="BC2" s="15" t="s">
        <v>12</v>
      </c>
      <c r="BD2" s="16" t="s">
        <v>11</v>
      </c>
      <c r="BE2" s="15" t="s">
        <v>12</v>
      </c>
      <c r="BF2" s="16" t="s">
        <v>11</v>
      </c>
      <c r="BG2" s="15" t="s">
        <v>12</v>
      </c>
      <c r="BH2" s="16" t="s">
        <v>11</v>
      </c>
      <c r="BI2" s="15" t="s">
        <v>12</v>
      </c>
      <c r="BJ2" s="8"/>
      <c r="BK2" s="8"/>
      <c r="BL2" s="8"/>
      <c r="BM2" s="8"/>
    </row>
    <row r="3" customFormat="false" ht="13.5" hidden="false" customHeight="false" outlineLevel="0" collapsed="false">
      <c r="A3" s="17" t="s">
        <v>13</v>
      </c>
      <c r="B3" s="18" t="n">
        <f aca="false">+B16</f>
        <v>61.971161</v>
      </c>
      <c r="C3" s="18" t="n">
        <f aca="false">+C16</f>
        <v>7.068216</v>
      </c>
      <c r="D3" s="18" t="n">
        <f aca="false">+D16</f>
        <v>46.3071115</v>
      </c>
      <c r="E3" s="19" t="n">
        <f aca="false">+E16</f>
        <v>40</v>
      </c>
      <c r="F3" s="19" t="n">
        <f aca="false">+F16</f>
        <v>6.76777</v>
      </c>
      <c r="G3" s="20" t="n">
        <f aca="false">+G16</f>
        <v>23.249788</v>
      </c>
      <c r="H3" s="17" t="s">
        <v>13</v>
      </c>
      <c r="I3" s="18" t="n">
        <f aca="false">+I16</f>
        <v>32.796825</v>
      </c>
      <c r="J3" s="18" t="n">
        <f aca="false">+J16</f>
        <v>6.834695</v>
      </c>
      <c r="K3" s="18" t="n">
        <f aca="false">+K16</f>
        <v>17.788538</v>
      </c>
      <c r="L3" s="19" t="n">
        <f aca="false">+L16</f>
        <v>32.5</v>
      </c>
      <c r="M3" s="19" t="n">
        <f aca="false">+M16</f>
        <v>6.994313</v>
      </c>
      <c r="N3" s="20" t="n">
        <f aca="false">+N16</f>
        <v>15.526516</v>
      </c>
      <c r="O3" s="21"/>
      <c r="P3" s="18" t="n">
        <f aca="false">+P16</f>
        <v>28.864211</v>
      </c>
      <c r="Q3" s="18" t="n">
        <f aca="false">+Q16</f>
        <v>7.980981</v>
      </c>
      <c r="R3" s="18" t="n">
        <f aca="false">+R16</f>
        <v>13.858068</v>
      </c>
      <c r="S3" s="19" t="n">
        <f aca="false">+S16</f>
        <v>32.5</v>
      </c>
      <c r="T3" s="19" t="n">
        <f aca="false">+T16</f>
        <v>6.913332</v>
      </c>
      <c r="U3" s="20" t="n">
        <f aca="false">+U16</f>
        <v>15.606718</v>
      </c>
      <c r="V3" s="21"/>
      <c r="W3" s="18" t="n">
        <f aca="false">+W16</f>
        <v>-7.726</v>
      </c>
      <c r="X3" s="18" t="n">
        <f aca="false">+X16</f>
        <v>6.903119</v>
      </c>
      <c r="Y3" s="22" t="n">
        <f aca="false">+Y16</f>
        <v>-24.647743</v>
      </c>
      <c r="Z3" s="19" t="n">
        <f aca="false">+Z16</f>
        <v>45</v>
      </c>
      <c r="AA3" s="19" t="n">
        <f aca="false">+AA16</f>
        <v>6.903119</v>
      </c>
      <c r="AB3" s="20" t="n">
        <f aca="false">+AB16</f>
        <v>28.078257</v>
      </c>
      <c r="AC3" s="21"/>
      <c r="AD3" s="18" t="n">
        <f aca="false">+B3+I3+P3+W3</f>
        <v>115.906197</v>
      </c>
      <c r="AE3" s="18" t="n">
        <f aca="false">+C3+J3+Q3+X3</f>
        <v>28.787011</v>
      </c>
      <c r="AF3" s="18" t="n">
        <f aca="false">+D3+K3+R3+Y3</f>
        <v>53.3059745</v>
      </c>
      <c r="AG3" s="19" t="n">
        <f aca="false">+E3+L3+S3+Z3</f>
        <v>150</v>
      </c>
      <c r="AH3" s="19" t="n">
        <f aca="false">+F3+M3+T3+AA3</f>
        <v>27.578534</v>
      </c>
      <c r="AI3" s="20" t="n">
        <f aca="false">+G3+N3+U3+AB3</f>
        <v>82.461279</v>
      </c>
      <c r="AL3" s="23" t="s">
        <v>14</v>
      </c>
      <c r="AM3" s="24"/>
      <c r="AN3" s="25" t="s">
        <v>15</v>
      </c>
      <c r="AO3" s="24"/>
      <c r="AP3" s="25" t="s">
        <v>16</v>
      </c>
      <c r="AQ3" s="24"/>
      <c r="AR3" s="26" t="s">
        <v>17</v>
      </c>
      <c r="AS3" s="24"/>
      <c r="AT3" s="25" t="s">
        <v>18</v>
      </c>
      <c r="AU3" s="24"/>
      <c r="AV3" s="25" t="s">
        <v>19</v>
      </c>
      <c r="AW3" s="24"/>
      <c r="AX3" s="25" t="s">
        <v>20</v>
      </c>
      <c r="AY3" s="24"/>
      <c r="AZ3" s="25" t="s">
        <v>21</v>
      </c>
      <c r="BA3" s="24"/>
      <c r="BB3" s="25" t="s">
        <v>22</v>
      </c>
      <c r="BC3" s="24"/>
      <c r="BD3" s="25" t="s">
        <v>23</v>
      </c>
      <c r="BE3" s="24"/>
      <c r="BF3" s="25" t="s">
        <v>24</v>
      </c>
      <c r="BG3" s="24"/>
      <c r="BH3" s="25" t="s">
        <v>25</v>
      </c>
      <c r="BI3" s="24"/>
      <c r="BJ3" s="8"/>
      <c r="BK3" s="8"/>
      <c r="BL3" s="8"/>
      <c r="BM3" s="8"/>
    </row>
    <row r="4" customFormat="false" ht="12.75" hidden="false" customHeight="false" outlineLevel="0" collapsed="false">
      <c r="A4" s="17" t="s">
        <v>26</v>
      </c>
      <c r="B4" s="18" t="n">
        <f aca="false">+B17+B18</f>
        <v>14.04090233</v>
      </c>
      <c r="C4" s="18" t="n">
        <f aca="false">+C17+C18</f>
        <v>4.155486</v>
      </c>
      <c r="D4" s="18" t="n">
        <f aca="false">+D17+D18</f>
        <v>5.95682733</v>
      </c>
      <c r="E4" s="19" t="n">
        <f aca="false">+E17+E18</f>
        <v>18.75</v>
      </c>
      <c r="F4" s="19" t="n">
        <f aca="false">+F17+F18</f>
        <v>5.226712</v>
      </c>
      <c r="G4" s="20" t="n">
        <f aca="false">+G17+G18</f>
        <v>9.252878</v>
      </c>
      <c r="H4" s="17" t="s">
        <v>26</v>
      </c>
      <c r="I4" s="18" t="n">
        <f aca="false">+I17+I18</f>
        <v>26.21452352</v>
      </c>
      <c r="J4" s="18" t="n">
        <f aca="false">+J17+J18</f>
        <v>4.315036</v>
      </c>
      <c r="K4" s="18" t="n">
        <f aca="false">+K17+K18</f>
        <v>17.96685752</v>
      </c>
      <c r="L4" s="19" t="n">
        <f aca="false">+L17+L18</f>
        <v>18.75</v>
      </c>
      <c r="M4" s="19" t="n">
        <f aca="false">+M17+M18</f>
        <v>5.360991</v>
      </c>
      <c r="N4" s="20" t="n">
        <f aca="false">+N17+N18</f>
        <v>9.221984</v>
      </c>
      <c r="O4" s="21"/>
      <c r="P4" s="18" t="n">
        <f aca="false">+P17+P18</f>
        <v>32.464047</v>
      </c>
      <c r="Q4" s="18" t="n">
        <f aca="false">+Q17+Q18</f>
        <v>5.139563</v>
      </c>
      <c r="R4" s="18" t="n">
        <f aca="false">+R17+R18</f>
        <v>21.846978</v>
      </c>
      <c r="S4" s="19" t="n">
        <f aca="false">+S17+S18</f>
        <v>18.75</v>
      </c>
      <c r="T4" s="19" t="n">
        <f aca="false">+T17+T18</f>
        <v>5.45285</v>
      </c>
      <c r="U4" s="20" t="n">
        <f aca="false">+U17+U18</f>
        <v>9.126459</v>
      </c>
      <c r="V4" s="21"/>
      <c r="W4" s="18" t="n">
        <f aca="false">+W17+W18</f>
        <v>1.120246</v>
      </c>
      <c r="X4" s="18" t="n">
        <f aca="false">+X17+X18</f>
        <v>5.458742</v>
      </c>
      <c r="Y4" s="22" t="n">
        <f aca="false">+Y17+Y18</f>
        <v>-8.502515</v>
      </c>
      <c r="Z4" s="19" t="n">
        <f aca="false">+Z17+Z18</f>
        <v>18.75</v>
      </c>
      <c r="AA4" s="19" t="n">
        <f aca="false">+AA17+AA18</f>
        <v>5.458742</v>
      </c>
      <c r="AB4" s="20" t="n">
        <f aca="false">+AB17+AB18</f>
        <v>9.127239</v>
      </c>
      <c r="AC4" s="21"/>
      <c r="AD4" s="18" t="n">
        <f aca="false">+B4+I4+P4+W4</f>
        <v>73.83971885</v>
      </c>
      <c r="AE4" s="18" t="n">
        <f aca="false">+C4+J4+Q4+X4</f>
        <v>19.068827</v>
      </c>
      <c r="AF4" s="18" t="n">
        <f aca="false">+D4+K4+R4+Y4</f>
        <v>37.26814785</v>
      </c>
      <c r="AG4" s="19" t="n">
        <f aca="false">+E4+L4+S4+Z4</f>
        <v>75</v>
      </c>
      <c r="AH4" s="19" t="n">
        <f aca="false">+F4+M4+T4+AA4</f>
        <v>21.499295</v>
      </c>
      <c r="AI4" s="20" t="n">
        <f aca="false">+G4+N4+U4+AB4</f>
        <v>36.72856</v>
      </c>
      <c r="AK4" s="9" t="s">
        <v>13</v>
      </c>
      <c r="AL4" s="1" t="n">
        <f aca="false">+AL19</f>
        <v>112</v>
      </c>
      <c r="AM4" s="8" t="n">
        <f aca="false">+AM19</f>
        <v>117</v>
      </c>
      <c r="AN4" s="8" t="n">
        <f aca="false">+AN19</f>
        <v>111</v>
      </c>
      <c r="AO4" s="8" t="n">
        <f aca="false">+AO19</f>
        <v>117</v>
      </c>
      <c r="AP4" s="8" t="n">
        <f aca="false">+AP19</f>
        <v>111.5</v>
      </c>
      <c r="AQ4" s="8" t="n">
        <f aca="false">+AQ19</f>
        <v>117</v>
      </c>
      <c r="AR4" s="8" t="n">
        <f aca="false">+AR19</f>
        <v>110.5</v>
      </c>
      <c r="AS4" s="8" t="n">
        <f aca="false">+AS19</f>
        <v>118</v>
      </c>
      <c r="AT4" s="8" t="n">
        <f aca="false">+AT19</f>
        <v>105</v>
      </c>
      <c r="AU4" s="8" t="n">
        <f aca="false">+AU19</f>
        <v>118</v>
      </c>
      <c r="AV4" s="8" t="n">
        <f aca="false">+AV19</f>
        <v>111</v>
      </c>
      <c r="AW4" s="8" t="n">
        <f aca="false">+AW19</f>
        <v>118</v>
      </c>
      <c r="AX4" s="8" t="n">
        <f aca="false">+AX19</f>
        <v>126</v>
      </c>
      <c r="AY4" s="8" t="n">
        <f aca="false">+AY19</f>
        <v>119</v>
      </c>
      <c r="AZ4" s="8" t="n">
        <f aca="false">+AZ19</f>
        <v>131</v>
      </c>
      <c r="BA4" s="8" t="n">
        <f aca="false">+BA19</f>
        <v>119</v>
      </c>
      <c r="BB4" s="8" t="n">
        <f aca="false">+BB19</f>
        <v>132</v>
      </c>
      <c r="BC4" s="8" t="n">
        <f aca="false">+BC19</f>
        <v>119</v>
      </c>
      <c r="BD4" s="8"/>
      <c r="BE4" s="8" t="n">
        <f aca="false">+BE19</f>
        <v>119</v>
      </c>
      <c r="BF4" s="27"/>
      <c r="BG4" s="8" t="n">
        <f aca="false">+BG19</f>
        <v>119</v>
      </c>
      <c r="BH4" s="8"/>
      <c r="BI4" s="8" t="n">
        <f aca="false">+BI19</f>
        <v>119</v>
      </c>
      <c r="BJ4" s="8"/>
      <c r="BK4" s="8"/>
      <c r="BL4" s="8"/>
      <c r="BM4" s="8"/>
    </row>
    <row r="5" customFormat="false" ht="12.75" hidden="false" customHeight="false" outlineLevel="0" collapsed="false">
      <c r="A5" s="17" t="s">
        <v>27</v>
      </c>
      <c r="B5" s="18" t="n">
        <f aca="false">+B19</f>
        <v>8.725</v>
      </c>
      <c r="C5" s="18" t="n">
        <f aca="false">+C19</f>
        <v>1.721372</v>
      </c>
      <c r="D5" s="18" t="n">
        <f aca="false">+D19</f>
        <v>5.839069</v>
      </c>
      <c r="E5" s="19" t="n">
        <f aca="false">+E19</f>
        <v>8.509251</v>
      </c>
      <c r="F5" s="19" t="n">
        <f aca="false">+F19</f>
        <v>1.808523</v>
      </c>
      <c r="G5" s="20" t="n">
        <f aca="false">+G19</f>
        <v>4.460982</v>
      </c>
      <c r="H5" s="17" t="s">
        <v>27</v>
      </c>
      <c r="I5" s="18" t="n">
        <f aca="false">+I19</f>
        <v>8.858</v>
      </c>
      <c r="J5" s="18" t="n">
        <f aca="false">+J19</f>
        <v>1.489305</v>
      </c>
      <c r="K5" s="18" t="n">
        <f aca="false">+K19</f>
        <v>6.646931</v>
      </c>
      <c r="L5" s="19" t="n">
        <f aca="false">+L19</f>
        <v>7.078819</v>
      </c>
      <c r="M5" s="19" t="n">
        <f aca="false">+M19</f>
        <v>1.463007</v>
      </c>
      <c r="N5" s="20" t="n">
        <f aca="false">+N19</f>
        <v>3.838187</v>
      </c>
      <c r="O5" s="21"/>
      <c r="P5" s="18" t="n">
        <f aca="false">+P19</f>
        <v>8.926</v>
      </c>
      <c r="Q5" s="18" t="n">
        <f aca="false">+Q19</f>
        <v>2.560499</v>
      </c>
      <c r="R5" s="18" t="n">
        <f aca="false">+R19</f>
        <v>5.161736</v>
      </c>
      <c r="S5" s="19" t="n">
        <f aca="false">+S19</f>
        <v>8.659352</v>
      </c>
      <c r="T5" s="19" t="n">
        <f aca="false">+T19</f>
        <v>1.527724</v>
      </c>
      <c r="U5" s="20" t="n">
        <f aca="false">+U19</f>
        <v>5.352897</v>
      </c>
      <c r="V5" s="21"/>
      <c r="W5" s="18" t="n">
        <f aca="false">+W19</f>
        <v>1.431</v>
      </c>
      <c r="X5" s="18" t="n">
        <f aca="false">+X19</f>
        <v>1.860081</v>
      </c>
      <c r="Y5" s="22" t="n">
        <f aca="false">+Y19</f>
        <v>-2.205833</v>
      </c>
      <c r="Z5" s="19" t="n">
        <f aca="false">+Z19</f>
        <v>8.75258</v>
      </c>
      <c r="AA5" s="19" t="n">
        <f aca="false">+AA19</f>
        <v>1.560081</v>
      </c>
      <c r="AB5" s="20" t="n">
        <f aca="false">+AB19</f>
        <v>5.415747</v>
      </c>
      <c r="AC5" s="21"/>
      <c r="AD5" s="18" t="n">
        <f aca="false">+B5+I5+P5+W5</f>
        <v>27.94</v>
      </c>
      <c r="AE5" s="18" t="n">
        <f aca="false">+C5+J5+Q5+X5</f>
        <v>7.631257</v>
      </c>
      <c r="AF5" s="18" t="n">
        <f aca="false">+D5+K5+R5+Y5</f>
        <v>15.441903</v>
      </c>
      <c r="AG5" s="19" t="n">
        <f aca="false">+E5+L5+S5+Z5</f>
        <v>33.000002</v>
      </c>
      <c r="AH5" s="19" t="n">
        <f aca="false">+F5+M5+T5+AA5</f>
        <v>6.359335</v>
      </c>
      <c r="AI5" s="20" t="n">
        <f aca="false">+G5+N5+U5+AB5</f>
        <v>19.067813</v>
      </c>
      <c r="AK5" s="9" t="s">
        <v>28</v>
      </c>
      <c r="AL5" s="8" t="n">
        <f aca="false">+AL20+AL21</f>
        <v>66</v>
      </c>
      <c r="AM5" s="8" t="n">
        <f aca="false">+AM20+AM21</f>
        <v>85</v>
      </c>
      <c r="AN5" s="8" t="n">
        <f aca="false">+AN20+AN21</f>
        <v>65</v>
      </c>
      <c r="AO5" s="8" t="n">
        <f aca="false">+AO20+AO21</f>
        <v>85</v>
      </c>
      <c r="AP5" s="8" t="n">
        <f aca="false">+AP20+AP21</f>
        <v>65</v>
      </c>
      <c r="AQ5" s="8" t="n">
        <f aca="false">+AQ20+AQ21</f>
        <v>85</v>
      </c>
      <c r="AR5" s="8" t="n">
        <f aca="false">+AR20+AR21</f>
        <v>65</v>
      </c>
      <c r="AS5" s="8" t="n">
        <f aca="false">+AS20+AS21</f>
        <v>87</v>
      </c>
      <c r="AT5" s="8" t="n">
        <f aca="false">+AT20+AT21</f>
        <v>71</v>
      </c>
      <c r="AU5" s="8" t="n">
        <f aca="false">+AU20+AU21</f>
        <v>86</v>
      </c>
      <c r="AV5" s="8" t="n">
        <f aca="false">+AV20+AV21</f>
        <v>68</v>
      </c>
      <c r="AW5" s="8" t="n">
        <f aca="false">+AW20+AW21</f>
        <v>87</v>
      </c>
      <c r="AX5" s="8" t="n">
        <f aca="false">+AX20+AX21</f>
        <v>73</v>
      </c>
      <c r="AY5" s="8" t="n">
        <f aca="false">+AY20+AY21</f>
        <v>88</v>
      </c>
      <c r="AZ5" s="8" t="n">
        <f aca="false">+AZ20+AZ21</f>
        <v>81</v>
      </c>
      <c r="BA5" s="8" t="n">
        <f aca="false">+BA20+BA21</f>
        <v>88</v>
      </c>
      <c r="BB5" s="8" t="n">
        <f aca="false">+BB20+BB21</f>
        <v>82</v>
      </c>
      <c r="BC5" s="8" t="n">
        <f aca="false">+BC20+BC21</f>
        <v>88</v>
      </c>
      <c r="BD5" s="8"/>
      <c r="BE5" s="8" t="n">
        <f aca="false">+BE20+BE21</f>
        <v>88</v>
      </c>
      <c r="BF5" s="8"/>
      <c r="BG5" s="8" t="n">
        <f aca="false">+BG20+BG21</f>
        <v>88</v>
      </c>
      <c r="BH5" s="8"/>
      <c r="BI5" s="8" t="n">
        <f aca="false">+BI20+BI21</f>
        <v>88</v>
      </c>
      <c r="BJ5" s="8"/>
      <c r="BK5" s="8"/>
      <c r="BL5" s="8"/>
      <c r="BM5" s="8"/>
    </row>
    <row r="6" customFormat="false" ht="12.75" hidden="false" customHeight="false" outlineLevel="0" collapsed="false">
      <c r="A6" s="17" t="s">
        <v>29</v>
      </c>
      <c r="B6" s="18" t="n">
        <f aca="false">+B20</f>
        <v>1.67201528</v>
      </c>
      <c r="C6" s="18" t="n">
        <f aca="false">+C20</f>
        <v>0.790135</v>
      </c>
      <c r="D6" s="18" t="n">
        <f aca="false">+D20</f>
        <v>0.33799628</v>
      </c>
      <c r="E6" s="19" t="n">
        <f aca="false">+E20</f>
        <v>4.875</v>
      </c>
      <c r="F6" s="19" t="n">
        <f aca="false">+F20</f>
        <v>1.802648</v>
      </c>
      <c r="G6" s="20" t="n">
        <f aca="false">+G20</f>
        <v>2.259021</v>
      </c>
      <c r="H6" s="17" t="s">
        <v>29</v>
      </c>
      <c r="I6" s="18" t="n">
        <f aca="false">+I20</f>
        <v>2.550569</v>
      </c>
      <c r="J6" s="18" t="n">
        <f aca="false">+J20</f>
        <v>1.299411</v>
      </c>
      <c r="K6" s="18" t="n">
        <f aca="false">+K20</f>
        <v>0.604991</v>
      </c>
      <c r="L6" s="19" t="n">
        <f aca="false">+L20</f>
        <v>11.875</v>
      </c>
      <c r="M6" s="19" t="n">
        <f aca="false">+M20</f>
        <v>2.304122</v>
      </c>
      <c r="N6" s="20" t="n">
        <f aca="false">+N20</f>
        <v>8.615186</v>
      </c>
      <c r="O6" s="21"/>
      <c r="P6" s="18" t="n">
        <f aca="false">+P20</f>
        <v>0.996886</v>
      </c>
      <c r="Q6" s="18" t="n">
        <f aca="false">+Q20</f>
        <v>2.093127</v>
      </c>
      <c r="R6" s="18" t="n">
        <f aca="false">+R20</f>
        <v>-1.683844</v>
      </c>
      <c r="S6" s="19" t="n">
        <f aca="false">+S20</f>
        <v>11.875</v>
      </c>
      <c r="T6" s="19" t="n">
        <f aca="false">+T20</f>
        <v>2.517066</v>
      </c>
      <c r="U6" s="20" t="n">
        <f aca="false">+U20</f>
        <v>8.401542</v>
      </c>
      <c r="V6" s="21"/>
      <c r="W6" s="18" t="n">
        <f aca="false">+W20</f>
        <v>0.04604</v>
      </c>
      <c r="X6" s="18" t="n">
        <f aca="false">+X20</f>
        <v>2.517066</v>
      </c>
      <c r="Y6" s="22" t="n">
        <f aca="false">+Y20</f>
        <v>-3.424368</v>
      </c>
      <c r="Z6" s="19" t="n">
        <f aca="false">+Z20</f>
        <v>8.875</v>
      </c>
      <c r="AA6" s="19" t="n">
        <f aca="false">+AA20</f>
        <v>2.517066</v>
      </c>
      <c r="AB6" s="20" t="n">
        <f aca="false">+AB20</f>
        <v>5.404592</v>
      </c>
      <c r="AC6" s="21"/>
      <c r="AD6" s="18" t="n">
        <f aca="false">+B6+I6+P6+W6</f>
        <v>5.26551028</v>
      </c>
      <c r="AE6" s="18" t="n">
        <f aca="false">+C6+J6+Q6+X6</f>
        <v>6.699739</v>
      </c>
      <c r="AF6" s="18" t="n">
        <f aca="false">+D6+K6+R6+Y6</f>
        <v>-4.16522472</v>
      </c>
      <c r="AG6" s="19" t="n">
        <f aca="false">+E6+L6+S6+Z6</f>
        <v>37.5</v>
      </c>
      <c r="AH6" s="19" t="n">
        <f aca="false">+F6+M6+T6+AA6</f>
        <v>9.140902</v>
      </c>
      <c r="AI6" s="20" t="n">
        <f aca="false">+G6+N6+U6+AB6</f>
        <v>24.680341</v>
      </c>
      <c r="AK6" s="9" t="s">
        <v>27</v>
      </c>
      <c r="AL6" s="9" t="n">
        <f aca="false">+AL22</f>
        <v>27</v>
      </c>
      <c r="AM6" s="8" t="n">
        <f aca="false">+AM22</f>
        <v>32</v>
      </c>
      <c r="AN6" s="9" t="n">
        <f aca="false">+AN22</f>
        <v>19</v>
      </c>
      <c r="AO6" s="8" t="n">
        <f aca="false">+AO22</f>
        <v>32</v>
      </c>
      <c r="AP6" s="9" t="n">
        <f aca="false">+AP22</f>
        <v>21</v>
      </c>
      <c r="AQ6" s="8" t="n">
        <f aca="false">+AQ22</f>
        <v>32</v>
      </c>
      <c r="AR6" s="9" t="n">
        <f aca="false">+AR22</f>
        <v>23</v>
      </c>
      <c r="AS6" s="8" t="n">
        <f aca="false">+AS22</f>
        <v>24</v>
      </c>
      <c r="AT6" s="9" t="n">
        <f aca="false">+AT22</f>
        <v>27</v>
      </c>
      <c r="AU6" s="8" t="n">
        <f aca="false">+AU22</f>
        <v>24</v>
      </c>
      <c r="AV6" s="9" t="n">
        <f aca="false">+AV22</f>
        <v>25</v>
      </c>
      <c r="AW6" s="8" t="n">
        <f aca="false">+AW22</f>
        <v>24</v>
      </c>
      <c r="AX6" s="9" t="n">
        <f aca="false">+AX22</f>
        <v>31</v>
      </c>
      <c r="AY6" s="8" t="n">
        <f aca="false">+AY22</f>
        <v>24</v>
      </c>
      <c r="AZ6" s="9" t="n">
        <f aca="false">+AZ22</f>
        <v>34</v>
      </c>
      <c r="BA6" s="8" t="n">
        <f aca="false">+BA22</f>
        <v>26</v>
      </c>
      <c r="BB6" s="9" t="n">
        <f aca="false">+BB22</f>
        <v>40</v>
      </c>
      <c r="BC6" s="8" t="n">
        <f aca="false">+BC22</f>
        <v>26</v>
      </c>
      <c r="BD6" s="8"/>
      <c r="BE6" s="8" t="n">
        <f aca="false">+BE22</f>
        <v>26</v>
      </c>
      <c r="BF6" s="8"/>
      <c r="BG6" s="8" t="n">
        <f aca="false">+BG22</f>
        <v>26</v>
      </c>
      <c r="BH6" s="8"/>
      <c r="BI6" s="8" t="n">
        <f aca="false">+BI22</f>
        <v>26</v>
      </c>
      <c r="BJ6" s="8"/>
      <c r="BK6" s="8"/>
      <c r="BL6" s="8"/>
      <c r="BM6" s="8"/>
    </row>
    <row r="7" customFormat="false" ht="12.75" hidden="false" customHeight="false" outlineLevel="0" collapsed="false">
      <c r="A7" s="17" t="s">
        <v>30</v>
      </c>
      <c r="B7" s="18" t="n">
        <f aca="false">+B21</f>
        <v>13.281757</v>
      </c>
      <c r="C7" s="18" t="n">
        <f aca="false">+C21</f>
        <v>2.364778</v>
      </c>
      <c r="D7" s="18" t="n">
        <f aca="false">+D21</f>
        <v>9.464195</v>
      </c>
      <c r="E7" s="19" t="n">
        <f aca="false">+E21</f>
        <v>20</v>
      </c>
      <c r="F7" s="19" t="n">
        <f aca="false">+F21</f>
        <v>3.467386</v>
      </c>
      <c r="G7" s="20" t="n">
        <f aca="false">+G21</f>
        <v>14.454606</v>
      </c>
      <c r="H7" s="17" t="s">
        <v>30</v>
      </c>
      <c r="I7" s="18" t="n">
        <f aca="false">+I21</f>
        <v>17.176</v>
      </c>
      <c r="J7" s="18" t="n">
        <f aca="false">+J21</f>
        <v>2.295727</v>
      </c>
      <c r="K7" s="18" t="n">
        <f aca="false">+K21</f>
        <v>13.173132</v>
      </c>
      <c r="L7" s="19" t="n">
        <f aca="false">+L21</f>
        <v>27.5</v>
      </c>
      <c r="M7" s="19" t="n">
        <f aca="false">+M21</f>
        <v>3.742616</v>
      </c>
      <c r="N7" s="20" t="n">
        <f aca="false">+N21</f>
        <v>21.486755</v>
      </c>
      <c r="O7" s="21"/>
      <c r="P7" s="18" t="n">
        <f aca="false">+P21</f>
        <v>5.72145</v>
      </c>
      <c r="Q7" s="18" t="n">
        <f aca="false">+Q21</f>
        <v>3.047825</v>
      </c>
      <c r="R7" s="18" t="n">
        <f aca="false">+R21</f>
        <v>1.42898</v>
      </c>
      <c r="S7" s="19" t="n">
        <f aca="false">+S21</f>
        <v>27.37</v>
      </c>
      <c r="T7" s="19" t="n">
        <f aca="false">+T21</f>
        <v>3.320448</v>
      </c>
      <c r="U7" s="20" t="n">
        <f aca="false">+U21</f>
        <v>21.837183</v>
      </c>
      <c r="V7" s="21"/>
      <c r="W7" s="18" t="n">
        <f aca="false">+W21</f>
        <v>4.499</v>
      </c>
      <c r="X7" s="18" t="n">
        <f aca="false">+X21</f>
        <v>1.849136</v>
      </c>
      <c r="Y7" s="22" t="n">
        <f aca="false">+Y21</f>
        <v>1.368453</v>
      </c>
      <c r="Z7" s="19" t="n">
        <f aca="false">+Z21</f>
        <v>29.545</v>
      </c>
      <c r="AA7" s="19" t="n">
        <f aca="false">+AA21</f>
        <v>1.849136</v>
      </c>
      <c r="AB7" s="20" t="n">
        <f aca="false">+AB21</f>
        <v>26.414453</v>
      </c>
      <c r="AC7" s="21"/>
      <c r="AD7" s="18" t="n">
        <f aca="false">+B7+I7+P7+W7</f>
        <v>40.678207</v>
      </c>
      <c r="AE7" s="18" t="n">
        <f aca="false">+C7+J7+Q7+X7</f>
        <v>9.557466</v>
      </c>
      <c r="AF7" s="18" t="n">
        <f aca="false">+D7+K7+R7+Y7</f>
        <v>25.43476</v>
      </c>
      <c r="AG7" s="19" t="n">
        <f aca="false">+E7+L7+S7+Z7</f>
        <v>104.415</v>
      </c>
      <c r="AH7" s="19" t="n">
        <f aca="false">+F7+M7+T7+AA7</f>
        <v>12.379586</v>
      </c>
      <c r="AI7" s="20" t="n">
        <f aca="false">+G7+N7+U7+AB7</f>
        <v>84.192997</v>
      </c>
      <c r="AK7" s="9" t="s">
        <v>31</v>
      </c>
      <c r="AL7" s="9" t="n">
        <f aca="false">+AL23</f>
        <v>15</v>
      </c>
      <c r="AM7" s="8" t="n">
        <f aca="false">+AM23</f>
        <v>26</v>
      </c>
      <c r="AN7" s="9" t="n">
        <f aca="false">+AN23</f>
        <v>17</v>
      </c>
      <c r="AO7" s="8" t="n">
        <f aca="false">+AO23</f>
        <v>26</v>
      </c>
      <c r="AP7" s="9" t="n">
        <f aca="false">+AP23</f>
        <v>18</v>
      </c>
      <c r="AQ7" s="8" t="n">
        <f aca="false">+AQ23</f>
        <v>26</v>
      </c>
      <c r="AR7" s="9" t="n">
        <f aca="false">+AR23</f>
        <v>18</v>
      </c>
      <c r="AS7" s="8" t="n">
        <f aca="false">+AS23</f>
        <v>36</v>
      </c>
      <c r="AT7" s="9" t="n">
        <f aca="false">+AT23</f>
        <v>18</v>
      </c>
      <c r="AU7" s="8" t="n">
        <f aca="false">+AU23</f>
        <v>36</v>
      </c>
      <c r="AV7" s="9" t="n">
        <f aca="false">+AV23</f>
        <v>15</v>
      </c>
      <c r="AW7" s="8" t="n">
        <f aca="false">+AW23</f>
        <v>40</v>
      </c>
      <c r="AX7" s="9" t="n">
        <f aca="false">+AX23</f>
        <v>16</v>
      </c>
      <c r="AY7" s="8" t="n">
        <f aca="false">+AY23</f>
        <v>42</v>
      </c>
      <c r="AZ7" s="9" t="n">
        <f aca="false">+AZ23</f>
        <v>15</v>
      </c>
      <c r="BA7" s="8" t="n">
        <f aca="false">+BA23</f>
        <v>42</v>
      </c>
      <c r="BB7" s="9" t="n">
        <f aca="false">+BB23</f>
        <v>13</v>
      </c>
      <c r="BC7" s="8" t="n">
        <f aca="false">+BC23</f>
        <v>42</v>
      </c>
      <c r="BD7" s="8"/>
      <c r="BE7" s="8" t="n">
        <f aca="false">+BE23</f>
        <v>42</v>
      </c>
      <c r="BF7" s="8"/>
      <c r="BG7" s="8" t="n">
        <f aca="false">+BG23</f>
        <v>42</v>
      </c>
      <c r="BH7" s="8"/>
      <c r="BI7" s="8" t="n">
        <f aca="false">+BI23</f>
        <v>42</v>
      </c>
      <c r="BJ7" s="8"/>
      <c r="BK7" s="8"/>
      <c r="BL7" s="8"/>
      <c r="BM7" s="8"/>
    </row>
    <row r="8" customFormat="false" ht="12.75" hidden="false" customHeight="false" outlineLevel="0" collapsed="false">
      <c r="A8" s="17" t="s">
        <v>32</v>
      </c>
      <c r="B8" s="18" t="n">
        <f aca="false">+B22</f>
        <v>0.040954</v>
      </c>
      <c r="C8" s="18" t="n">
        <f aca="false">+C22</f>
        <v>1.615797</v>
      </c>
      <c r="D8" s="18" t="n">
        <f aca="false">+D22</f>
        <v>-1.843474</v>
      </c>
      <c r="E8" s="19" t="n">
        <f aca="false">+E22</f>
        <v>0.5</v>
      </c>
      <c r="F8" s="19" t="n">
        <f aca="false">+F22</f>
        <v>1.555606</v>
      </c>
      <c r="G8" s="20" t="n">
        <f aca="false">+G22</f>
        <v>-1.244696</v>
      </c>
      <c r="H8" s="17" t="s">
        <v>32</v>
      </c>
      <c r="I8" s="18" t="n">
        <f aca="false">+I22</f>
        <v>1.648452</v>
      </c>
      <c r="J8" s="18" t="n">
        <f aca="false">+J22</f>
        <v>4.582465</v>
      </c>
      <c r="K8" s="18" t="n">
        <f aca="false">+K22</f>
        <v>-3.767201</v>
      </c>
      <c r="L8" s="19" t="n">
        <f aca="false">+L22</f>
        <v>1.311</v>
      </c>
      <c r="M8" s="19" t="n">
        <f aca="false">+M22</f>
        <v>4.356818</v>
      </c>
      <c r="N8" s="20" t="n">
        <f aca="false">+N22</f>
        <v>-3.623711</v>
      </c>
      <c r="O8" s="21"/>
      <c r="P8" s="18" t="n">
        <f aca="false">+P22</f>
        <v>1.26649</v>
      </c>
      <c r="Q8" s="18" t="n">
        <f aca="false">+Q22</f>
        <v>3.683199</v>
      </c>
      <c r="R8" s="18" t="n">
        <f aca="false">+R22</f>
        <v>-4.15813</v>
      </c>
      <c r="S8" s="19" t="n">
        <f aca="false">+S22</f>
        <v>5.705</v>
      </c>
      <c r="T8" s="19" t="n">
        <f aca="false">+T22</f>
        <v>4.625078</v>
      </c>
      <c r="U8" s="20" t="n">
        <f aca="false">+U22</f>
        <v>0.246839999999999</v>
      </c>
      <c r="V8" s="21"/>
      <c r="W8" s="18" t="n">
        <f aca="false">+W22</f>
        <v>-0.038317</v>
      </c>
      <c r="X8" s="18" t="n">
        <f aca="false">+X22</f>
        <v>7.322176</v>
      </c>
      <c r="Y8" s="22" t="n">
        <f aca="false">+Y22</f>
        <v>-8.801527</v>
      </c>
      <c r="Z8" s="19" t="n">
        <f aca="false">+Z22</f>
        <v>13.3055</v>
      </c>
      <c r="AA8" s="19" t="n">
        <f aca="false">+AA22</f>
        <v>7.322176</v>
      </c>
      <c r="AB8" s="20" t="n">
        <f aca="false">+AB22</f>
        <v>4.54229</v>
      </c>
      <c r="AC8" s="21"/>
      <c r="AD8" s="18" t="n">
        <f aca="false">+B8+I8+P8+W8</f>
        <v>2.917579</v>
      </c>
      <c r="AE8" s="18" t="n">
        <f aca="false">+C8+J8+Q8+X8</f>
        <v>17.203637</v>
      </c>
      <c r="AF8" s="18" t="n">
        <f aca="false">+D8+K8+R8+Y8</f>
        <v>-18.570332</v>
      </c>
      <c r="AG8" s="19" t="n">
        <f aca="false">+E8+L8+S8+Z8</f>
        <v>20.8215</v>
      </c>
      <c r="AH8" s="20" t="n">
        <f aca="false">+F8+M8+T8+AA8</f>
        <v>17.859678</v>
      </c>
      <c r="AI8" s="20" t="n">
        <f aca="false">+G8+N8+U8+AB8</f>
        <v>-0.0792769999999985</v>
      </c>
      <c r="AK8" s="9" t="s">
        <v>33</v>
      </c>
      <c r="AL8" s="9" t="n">
        <f aca="false">+AL29</f>
        <v>40</v>
      </c>
      <c r="AM8" s="9" t="n">
        <f aca="false">+AM29</f>
        <v>54</v>
      </c>
      <c r="AN8" s="9" t="n">
        <f aca="false">+AN29</f>
        <v>42</v>
      </c>
      <c r="AO8" s="9" t="n">
        <f aca="false">+AO29</f>
        <v>54</v>
      </c>
      <c r="AP8" s="9" t="n">
        <f aca="false">+AP29</f>
        <v>41</v>
      </c>
      <c r="AQ8" s="9" t="n">
        <f aca="false">+AQ29</f>
        <v>54</v>
      </c>
      <c r="AR8" s="9" t="n">
        <f aca="false">+AR29</f>
        <v>41</v>
      </c>
      <c r="AS8" s="9" t="n">
        <f aca="false">+AS29</f>
        <v>54</v>
      </c>
      <c r="AT8" s="9" t="n">
        <f aca="false">+AT29</f>
        <v>46</v>
      </c>
      <c r="AU8" s="9" t="n">
        <f aca="false">+AU29</f>
        <v>54</v>
      </c>
      <c r="AV8" s="9" t="n">
        <f aca="false">+AV29</f>
        <v>48</v>
      </c>
      <c r="AW8" s="9" t="n">
        <f aca="false">+AW29</f>
        <v>54</v>
      </c>
      <c r="AX8" s="9" t="n">
        <f aca="false">+AX29</f>
        <v>46</v>
      </c>
      <c r="AY8" s="9" t="n">
        <f aca="false">+AY29</f>
        <v>54</v>
      </c>
      <c r="AZ8" s="9" t="n">
        <f aca="false">+AZ29</f>
        <v>41</v>
      </c>
      <c r="BA8" s="9" t="n">
        <f aca="false">+BA29</f>
        <v>54</v>
      </c>
      <c r="BB8" s="9" t="n">
        <f aca="false">+BB29</f>
        <v>38</v>
      </c>
      <c r="BC8" s="9" t="n">
        <f aca="false">+BC29</f>
        <v>54</v>
      </c>
      <c r="BD8" s="8"/>
      <c r="BE8" s="9" t="n">
        <f aca="false">+BE29</f>
        <v>54</v>
      </c>
      <c r="BF8" s="8"/>
      <c r="BG8" s="9" t="n">
        <f aca="false">+BG29</f>
        <v>54</v>
      </c>
      <c r="BH8" s="8"/>
      <c r="BI8" s="9" t="n">
        <f aca="false">+BI29</f>
        <v>54</v>
      </c>
      <c r="BJ8" s="8"/>
      <c r="BK8" s="8"/>
      <c r="BL8" s="8"/>
      <c r="BM8" s="8"/>
    </row>
    <row r="9" customFormat="false" ht="12.75" hidden="false" customHeight="false" outlineLevel="0" collapsed="false">
      <c r="A9" s="17" t="s">
        <v>34</v>
      </c>
      <c r="B9" s="18" t="n">
        <f aca="false">+B23+B24</f>
        <v>0.720312</v>
      </c>
      <c r="C9" s="18" t="n">
        <f aca="false">+C23+C24</f>
        <v>3.191993</v>
      </c>
      <c r="D9" s="18" t="n">
        <f aca="false">+D23+D24</f>
        <v>-4.04427</v>
      </c>
      <c r="E9" s="19" t="n">
        <f aca="false">+E23+E24</f>
        <v>2.141499</v>
      </c>
      <c r="F9" s="19" t="n">
        <f aca="false">+F23+F24</f>
        <v>1.702792</v>
      </c>
      <c r="G9" s="20" t="n">
        <f aca="false">+G23+G24</f>
        <v>-1.334631</v>
      </c>
      <c r="H9" s="17" t="s">
        <v>34</v>
      </c>
      <c r="I9" s="18" t="n">
        <f aca="false">+I23+I24</f>
        <v>2.833069</v>
      </c>
      <c r="J9" s="18" t="n">
        <f aca="false">+J23+J24</f>
        <v>5.807146</v>
      </c>
      <c r="K9" s="18" t="n">
        <f aca="false">+K23+K24</f>
        <v>-4.531543</v>
      </c>
      <c r="L9" s="19" t="n">
        <f aca="false">+L23+L24</f>
        <v>6.372499</v>
      </c>
      <c r="M9" s="19" t="n">
        <f aca="false">+M23+M24</f>
        <v>1.732531</v>
      </c>
      <c r="N9" s="20" t="n">
        <f aca="false">+N23+N24</f>
        <v>2.875057</v>
      </c>
      <c r="O9" s="21"/>
      <c r="P9" s="18" t="n">
        <f aca="false">+P23+P24</f>
        <v>1.574353</v>
      </c>
      <c r="Q9" s="18" t="n">
        <f aca="false">+Q23+Q24</f>
        <v>6.143468</v>
      </c>
      <c r="R9" s="18" t="n">
        <f aca="false">+R23+R24</f>
        <v>-5.75662</v>
      </c>
      <c r="S9" s="19" t="n">
        <f aca="false">+S23+S24</f>
        <v>8</v>
      </c>
      <c r="T9" s="19" t="n">
        <f aca="false">+T23+T24</f>
        <v>1.43025</v>
      </c>
      <c r="U9" s="20" t="n">
        <f aca="false">+U23+U24</f>
        <v>5.376787</v>
      </c>
      <c r="V9" s="21"/>
      <c r="W9" s="18" t="n">
        <f aca="false">+W23+W24</f>
        <v>0.376</v>
      </c>
      <c r="X9" s="18" t="n">
        <f aca="false">+X23+X24</f>
        <v>3.27025</v>
      </c>
      <c r="Y9" s="22" t="n">
        <f aca="false">+Y23+Y24</f>
        <v>-4.083428</v>
      </c>
      <c r="Z9" s="19" t="n">
        <f aca="false">+Z23+Z24</f>
        <v>44</v>
      </c>
      <c r="AA9" s="19" t="n">
        <f aca="false">+AA23+AA24</f>
        <v>1.43025</v>
      </c>
      <c r="AB9" s="20" t="n">
        <f aca="false">+AB23+AB24</f>
        <v>41.380572</v>
      </c>
      <c r="AC9" s="21"/>
      <c r="AD9" s="18" t="n">
        <f aca="false">+B9+I9+P9+W9</f>
        <v>5.503734</v>
      </c>
      <c r="AE9" s="18" t="n">
        <f aca="false">+C9+J9+Q9+X9</f>
        <v>18.412857</v>
      </c>
      <c r="AF9" s="18" t="n">
        <f aca="false">+D9+K9+R9+Y9</f>
        <v>-18.415861</v>
      </c>
      <c r="AG9" s="19" t="n">
        <f aca="false">+E9+L9+S9+Z9</f>
        <v>60.513998</v>
      </c>
      <c r="AH9" s="20" t="n">
        <f aca="false">+F9+M9+T9+AA9</f>
        <v>6.295823</v>
      </c>
      <c r="AI9" s="20" t="n">
        <f aca="false">+G9+N9+U9+AB9</f>
        <v>48.297785</v>
      </c>
      <c r="AK9" s="9" t="s">
        <v>32</v>
      </c>
      <c r="AL9" s="9" t="n">
        <f aca="false">+AL24</f>
        <v>7</v>
      </c>
      <c r="AM9" s="8" t="n">
        <f aca="false">+AM24</f>
        <v>6</v>
      </c>
      <c r="AN9" s="9" t="n">
        <f aca="false">+AN24</f>
        <v>8</v>
      </c>
      <c r="AO9" s="8" t="n">
        <f aca="false">+AO24</f>
        <v>6</v>
      </c>
      <c r="AP9" s="9" t="n">
        <f aca="false">+AP24</f>
        <v>20</v>
      </c>
      <c r="AQ9" s="8" t="n">
        <f aca="false">+AQ24</f>
        <v>20</v>
      </c>
      <c r="AR9" s="9" t="n">
        <f aca="false">+AR24</f>
        <v>22</v>
      </c>
      <c r="AS9" s="8" t="n">
        <f aca="false">+AS24</f>
        <v>37</v>
      </c>
      <c r="AT9" s="9" t="n">
        <f aca="false">+AT24</f>
        <v>57</v>
      </c>
      <c r="AU9" s="8" t="n">
        <f aca="false">+AU24</f>
        <v>37</v>
      </c>
      <c r="AV9" s="9" t="n">
        <f aca="false">+AV24</f>
        <v>42</v>
      </c>
      <c r="AW9" s="8" t="n">
        <f aca="false">+AW24</f>
        <v>37</v>
      </c>
      <c r="AX9" s="9" t="n">
        <f aca="false">+AX24</f>
        <v>51</v>
      </c>
      <c r="AY9" s="8" t="n">
        <f aca="false">+AY24</f>
        <v>63</v>
      </c>
      <c r="AZ9" s="9" t="n">
        <f aca="false">+AZ24</f>
        <v>55</v>
      </c>
      <c r="BA9" s="8" t="n">
        <f aca="false">+BA24</f>
        <v>63</v>
      </c>
      <c r="BB9" s="9" t="n">
        <f aca="false">+BB24</f>
        <v>62</v>
      </c>
      <c r="BC9" s="8" t="n">
        <f aca="false">+BC24</f>
        <v>63</v>
      </c>
      <c r="BD9" s="8"/>
      <c r="BE9" s="8" t="n">
        <f aca="false">+BE24</f>
        <v>92</v>
      </c>
      <c r="BF9" s="8"/>
      <c r="BG9" s="8" t="n">
        <f aca="false">+BG24</f>
        <v>92</v>
      </c>
      <c r="BH9" s="8"/>
      <c r="BI9" s="8" t="n">
        <f aca="false">+BI24</f>
        <v>92</v>
      </c>
      <c r="BJ9" s="8"/>
      <c r="BK9" s="8"/>
      <c r="BL9" s="8"/>
      <c r="BM9" s="8"/>
    </row>
    <row r="10" customFormat="false" ht="12.75" hidden="false" customHeight="false" outlineLevel="0" collapsed="false">
      <c r="A10" s="17" t="s">
        <v>35</v>
      </c>
      <c r="B10" s="18"/>
      <c r="C10" s="18"/>
      <c r="D10" s="18"/>
      <c r="E10" s="19"/>
      <c r="F10" s="19"/>
      <c r="G10" s="20"/>
      <c r="H10" s="17" t="s">
        <v>35</v>
      </c>
      <c r="I10" s="18"/>
      <c r="J10" s="18"/>
      <c r="K10" s="18"/>
      <c r="L10" s="19"/>
      <c r="M10" s="19"/>
      <c r="N10" s="20"/>
      <c r="O10" s="21"/>
      <c r="P10" s="18" t="n">
        <f aca="false">+P25</f>
        <v>0.000849</v>
      </c>
      <c r="Q10" s="18" t="n">
        <f aca="false">+Q25</f>
        <v>0.930877</v>
      </c>
      <c r="R10" s="18" t="n">
        <f aca="false">+R25</f>
        <v>-2.53091</v>
      </c>
      <c r="S10" s="19" t="n">
        <f aca="false">+S25</f>
        <v>3.75</v>
      </c>
      <c r="T10" s="19" t="n">
        <f aca="false">+T25</f>
        <v>1.542486</v>
      </c>
      <c r="U10" s="20" t="n">
        <f aca="false">+U25</f>
        <v>0.383622</v>
      </c>
      <c r="V10" s="21"/>
      <c r="W10" s="18" t="n">
        <f aca="false">+W25</f>
        <v>0</v>
      </c>
      <c r="X10" s="18" t="n">
        <f aca="false">+X25</f>
        <v>1.542486</v>
      </c>
      <c r="Y10" s="22" t="n">
        <f aca="false">+Y25</f>
        <v>-3.366378</v>
      </c>
      <c r="Z10" s="19" t="n">
        <f aca="false">+Z25</f>
        <v>3.75</v>
      </c>
      <c r="AA10" s="19" t="n">
        <f aca="false">+AA25</f>
        <v>1.542486</v>
      </c>
      <c r="AB10" s="20" t="n">
        <f aca="false">+AB25</f>
        <v>0.383622</v>
      </c>
      <c r="AC10" s="21"/>
      <c r="AD10" s="18" t="n">
        <f aca="false">+B10+I10+P10+W10</f>
        <v>0.000849</v>
      </c>
      <c r="AE10" s="18" t="n">
        <f aca="false">+C10+J10+Q10+X10</f>
        <v>2.473363</v>
      </c>
      <c r="AF10" s="18" t="n">
        <f aca="false">+D10+K10+R10+Y10</f>
        <v>-5.897288</v>
      </c>
      <c r="AG10" s="19" t="n">
        <f aca="false">+E10+L10+S10+Z10</f>
        <v>7.5</v>
      </c>
      <c r="AH10" s="20" t="n">
        <f aca="false">+F10+M10+T10+AA10</f>
        <v>3.084972</v>
      </c>
      <c r="AI10" s="20" t="n">
        <f aca="false">+G10+N10+U10+AB10</f>
        <v>0.767244</v>
      </c>
      <c r="AK10" s="9" t="s">
        <v>36</v>
      </c>
      <c r="AL10" s="9" t="n">
        <f aca="false">+AL26+AL27+AL28</f>
        <v>58</v>
      </c>
      <c r="AM10" s="9" t="n">
        <f aca="false">+AM26+AM27+AM28</f>
        <v>72</v>
      </c>
      <c r="AN10" s="9" t="n">
        <f aca="false">+AN26+AN27+AN28</f>
        <v>56</v>
      </c>
      <c r="AO10" s="9" t="n">
        <f aca="false">+AO26+AO27+AO28</f>
        <v>72</v>
      </c>
      <c r="AP10" s="9" t="n">
        <f aca="false">+AP26+AP27+AP28</f>
        <v>57.5</v>
      </c>
      <c r="AQ10" s="9" t="n">
        <f aca="false">+AQ26+AQ27+AQ28</f>
        <v>73</v>
      </c>
      <c r="AR10" s="9" t="n">
        <f aca="false">+AR26+AR27+AR28</f>
        <v>39.5</v>
      </c>
      <c r="AS10" s="9" t="n">
        <f aca="false">+AS26+AS27+AS28</f>
        <v>51</v>
      </c>
      <c r="AT10" s="9" t="n">
        <f aca="false">+AT26+AT27+AT28</f>
        <v>41</v>
      </c>
      <c r="AU10" s="9" t="n">
        <f aca="false">+AU26+AU27+AU28</f>
        <v>51</v>
      </c>
      <c r="AV10" s="9" t="n">
        <f aca="false">+AV26+AV27+AV28</f>
        <v>37</v>
      </c>
      <c r="AW10" s="9" t="n">
        <f aca="false">+AW26+AW27+AW28</f>
        <v>53</v>
      </c>
      <c r="AX10" s="9" t="n">
        <f aca="false">+AX26+AX27+AX28</f>
        <v>35</v>
      </c>
      <c r="AY10" s="9" t="n">
        <f aca="false">+AY26+AY27+AY28</f>
        <v>44</v>
      </c>
      <c r="AZ10" s="9" t="n">
        <f aca="false">+AZ26+AZ27+AZ28</f>
        <v>36</v>
      </c>
      <c r="BA10" s="9" t="n">
        <f aca="false">+BA26+BA27+BA28</f>
        <v>44</v>
      </c>
      <c r="BB10" s="9" t="n">
        <f aca="false">+BB26+BB27+BB28</f>
        <v>34</v>
      </c>
      <c r="BC10" s="9" t="n">
        <f aca="false">+BC26+BC27+BC28</f>
        <v>44</v>
      </c>
      <c r="BD10" s="8"/>
      <c r="BE10" s="9" t="n">
        <f aca="false">+BE26+BE27+BE28</f>
        <v>44</v>
      </c>
      <c r="BF10" s="8"/>
      <c r="BG10" s="9" t="n">
        <f aca="false">+BG26+BG27+BG28</f>
        <v>44</v>
      </c>
      <c r="BH10" s="8"/>
      <c r="BI10" s="9" t="n">
        <f aca="false">+BI26+BI27+BI28</f>
        <v>44</v>
      </c>
      <c r="BJ10" s="8"/>
      <c r="BK10" s="8"/>
      <c r="BL10" s="8"/>
      <c r="BM10" s="8"/>
    </row>
    <row r="11" customFormat="false" ht="13.5" hidden="false" customHeight="false" outlineLevel="0" collapsed="false">
      <c r="A11" s="28" t="s">
        <v>37</v>
      </c>
      <c r="B11" s="18" t="n">
        <f aca="false">+B26</f>
        <v>0.215968</v>
      </c>
      <c r="C11" s="18" t="n">
        <f aca="false">+C26</f>
        <v>33.163512</v>
      </c>
      <c r="D11" s="18" t="n">
        <f aca="false">+D26</f>
        <v>-15.7017925</v>
      </c>
      <c r="E11" s="19" t="n">
        <f aca="false">+E26</f>
        <v>2.523</v>
      </c>
      <c r="F11" s="19" t="n">
        <f aca="false">+F26</f>
        <v>29.978773</v>
      </c>
      <c r="G11" s="20" t="n">
        <f aca="false">+G26</f>
        <v>-6.109408</v>
      </c>
      <c r="H11" s="28" t="s">
        <v>38</v>
      </c>
      <c r="I11" s="18" t="n">
        <f aca="false">+I26</f>
        <v>2.131763</v>
      </c>
      <c r="J11" s="18" t="n">
        <f aca="false">+J26</f>
        <v>33.355591</v>
      </c>
      <c r="K11" s="18" t="n">
        <f aca="false">+K26</f>
        <v>-13.751741</v>
      </c>
      <c r="L11" s="19" t="n">
        <f aca="false">+L26</f>
        <v>6.216104</v>
      </c>
      <c r="M11" s="19" t="n">
        <f aca="false">+M26</f>
        <v>29.624557</v>
      </c>
      <c r="N11" s="20" t="n">
        <f aca="false">+N26</f>
        <v>-1.91598299999999</v>
      </c>
      <c r="O11" s="21"/>
      <c r="P11" s="18" t="n">
        <f aca="false">+P26</f>
        <v>2.725194</v>
      </c>
      <c r="Q11" s="18" t="n">
        <f aca="false">+Q26</f>
        <v>30.564895</v>
      </c>
      <c r="R11" s="18" t="n">
        <f aca="false">+R26</f>
        <v>-7.771212</v>
      </c>
      <c r="S11" s="19" t="n">
        <f aca="false">+S26</f>
        <v>7.203701</v>
      </c>
      <c r="T11" s="19" t="n">
        <f aca="false">+T26</f>
        <v>31.272688</v>
      </c>
      <c r="U11" s="20" t="n">
        <f aca="false">+U26</f>
        <v>-1.120917</v>
      </c>
      <c r="V11" s="21"/>
      <c r="W11" s="18" t="n">
        <f aca="false">+W26</f>
        <v>-30</v>
      </c>
      <c r="X11" s="18" t="n">
        <f aca="false">+X26</f>
        <v>44.013506</v>
      </c>
      <c r="Y11" s="22" t="n">
        <f aca="false">+Y26</f>
        <v>-51.365254</v>
      </c>
      <c r="Z11" s="19" t="n">
        <f aca="false">+Z26</f>
        <v>3.333392</v>
      </c>
      <c r="AA11" s="19" t="n">
        <f aca="false">+AA26</f>
        <v>44.013506</v>
      </c>
      <c r="AB11" s="20" t="n">
        <f aca="false">+AB26</f>
        <v>-18.031862</v>
      </c>
      <c r="AC11" s="21"/>
      <c r="AD11" s="18" t="n">
        <f aca="false">+B11+I11+P11+W11</f>
        <v>-24.927075</v>
      </c>
      <c r="AE11" s="18" t="n">
        <f aca="false">+C11+J11+Q11+X11</f>
        <v>141.097504</v>
      </c>
      <c r="AF11" s="18" t="n">
        <f aca="false">+D11+K11+R11+Y11</f>
        <v>-88.5899995</v>
      </c>
      <c r="AG11" s="19" t="n">
        <f aca="false">+E11+L11+S11+Z11</f>
        <v>19.276197</v>
      </c>
      <c r="AH11" s="19" t="n">
        <f aca="false">+F11+M11+T11+AA11</f>
        <v>134.889524</v>
      </c>
      <c r="AI11" s="20" t="n">
        <f aca="false">+G11+N11+U11+AB11</f>
        <v>-27.17817</v>
      </c>
      <c r="AK11" s="9" t="s">
        <v>35</v>
      </c>
      <c r="AL11" s="9" t="n">
        <f aca="false">+AL25</f>
        <v>0</v>
      </c>
      <c r="AM11" s="9" t="n">
        <f aca="false">+AM25</f>
        <v>0</v>
      </c>
      <c r="AN11" s="9" t="n">
        <f aca="false">+AN25</f>
        <v>0</v>
      </c>
      <c r="AO11" s="9" t="n">
        <f aca="false">+AO25</f>
        <v>0</v>
      </c>
      <c r="AP11" s="9" t="n">
        <f aca="false">+AP25</f>
        <v>0</v>
      </c>
      <c r="AQ11" s="9" t="n">
        <f aca="false">+AQ25</f>
        <v>0</v>
      </c>
      <c r="AR11" s="9" t="n">
        <f aca="false">+AR25</f>
        <v>0</v>
      </c>
      <c r="AS11" s="9" t="n">
        <f aca="false">+AS25</f>
        <v>0</v>
      </c>
      <c r="AT11" s="9" t="n">
        <f aca="false">+AT25</f>
        <v>0</v>
      </c>
      <c r="AU11" s="9" t="n">
        <f aca="false">+AU25</f>
        <v>0</v>
      </c>
      <c r="AV11" s="9" t="n">
        <f aca="false">+AV25</f>
        <v>0</v>
      </c>
      <c r="AW11" s="9" t="n">
        <f aca="false">+AW25</f>
        <v>0</v>
      </c>
      <c r="AX11" s="9" t="n">
        <f aca="false">+AX25</f>
        <v>19</v>
      </c>
      <c r="AY11" s="9" t="n">
        <f aca="false">+AY25</f>
        <v>24</v>
      </c>
      <c r="AZ11" s="9" t="n">
        <f aca="false">+AZ25</f>
        <v>19</v>
      </c>
      <c r="BA11" s="9" t="n">
        <f aca="false">+BA25</f>
        <v>24</v>
      </c>
      <c r="BB11" s="9" t="n">
        <f aca="false">+BB25</f>
        <v>18</v>
      </c>
      <c r="BC11" s="9" t="n">
        <f aca="false">+BC25</f>
        <v>24</v>
      </c>
      <c r="BD11" s="9"/>
      <c r="BE11" s="9" t="n">
        <f aca="false">+BE25</f>
        <v>27</v>
      </c>
      <c r="BF11" s="9"/>
      <c r="BG11" s="9" t="n">
        <f aca="false">+BG25</f>
        <v>27</v>
      </c>
      <c r="BH11" s="9"/>
      <c r="BI11" s="9" t="n">
        <f aca="false">+BI25</f>
        <v>27</v>
      </c>
      <c r="BJ11" s="8"/>
      <c r="BK11" s="8"/>
      <c r="BL11" s="8"/>
      <c r="BM11" s="8"/>
    </row>
    <row r="12" customFormat="false" ht="13.5" hidden="false" customHeight="false" outlineLevel="0" collapsed="false">
      <c r="A12" s="17" t="s">
        <v>39</v>
      </c>
      <c r="B12" s="29" t="n">
        <f aca="false">SUM(B3:B11)</f>
        <v>100.66806961</v>
      </c>
      <c r="C12" s="30" t="n">
        <f aca="false">SUM(C3:C11)</f>
        <v>54.071289</v>
      </c>
      <c r="D12" s="30" t="n">
        <f aca="false">SUM(D3:D11)</f>
        <v>46.31566261</v>
      </c>
      <c r="E12" s="31" t="n">
        <f aca="false">SUM(E3:E11)</f>
        <v>97.29875</v>
      </c>
      <c r="F12" s="31" t="n">
        <f aca="false">SUM(F3:F11)</f>
        <v>52.31021</v>
      </c>
      <c r="G12" s="32" t="n">
        <f aca="false">SUM(G3:G11)</f>
        <v>44.98854</v>
      </c>
      <c r="H12" s="17" t="s">
        <v>39</v>
      </c>
      <c r="I12" s="29" t="n">
        <f aca="false">SUM(I3:I11)</f>
        <v>94.20920152</v>
      </c>
      <c r="J12" s="30" t="n">
        <f aca="false">SUM(J3:J11)</f>
        <v>59.979376</v>
      </c>
      <c r="K12" s="30" t="n">
        <f aca="false">SUM(K3:K11)</f>
        <v>34.12996452</v>
      </c>
      <c r="L12" s="33" t="n">
        <f aca="false">SUM(L3:L11)</f>
        <v>111.603422</v>
      </c>
      <c r="M12" s="31" t="n">
        <f aca="false">SUM(M3:M11)</f>
        <v>55.578955</v>
      </c>
      <c r="N12" s="32" t="n">
        <f aca="false">SUM(N3:N11)</f>
        <v>56.023991</v>
      </c>
      <c r="O12" s="34"/>
      <c r="P12" s="29" t="n">
        <f aca="false">SUM(P3:P11)</f>
        <v>82.53948</v>
      </c>
      <c r="Q12" s="30" t="n">
        <f aca="false">SUM(Q3:Q11)</f>
        <v>62.144434</v>
      </c>
      <c r="R12" s="30" t="n">
        <f aca="false">SUM(R3:R11)</f>
        <v>20.395046</v>
      </c>
      <c r="S12" s="33" t="n">
        <f aca="false">SUM(S3:S11)</f>
        <v>123.813053</v>
      </c>
      <c r="T12" s="31" t="n">
        <f aca="false">SUM(T3:T11)</f>
        <v>58.601922</v>
      </c>
      <c r="U12" s="32" t="n">
        <f aca="false">SUM(U3:U11)</f>
        <v>65.211131</v>
      </c>
      <c r="V12" s="34"/>
      <c r="W12" s="30" t="n">
        <f aca="false">SUM(W3:W11)</f>
        <v>-30.292031</v>
      </c>
      <c r="X12" s="35" t="n">
        <f aca="false">SUM(X3:X11)</f>
        <v>74.736562</v>
      </c>
      <c r="Y12" s="36" t="n">
        <f aca="false">SUM(Y3:Y11)</f>
        <v>-105.028593</v>
      </c>
      <c r="Z12" s="33" t="n">
        <f aca="false">SUM(Z3:Z11)</f>
        <v>175.311472</v>
      </c>
      <c r="AA12" s="31" t="n">
        <f aca="false">SUM(AA3:AA11)</f>
        <v>72.596562</v>
      </c>
      <c r="AB12" s="32" t="n">
        <f aca="false">SUM(AB3:AB11)</f>
        <v>102.71491</v>
      </c>
      <c r="AC12" s="21"/>
      <c r="AD12" s="29" t="n">
        <f aca="false">SUM(AD3:AD11)</f>
        <v>247.12472013</v>
      </c>
      <c r="AE12" s="30" t="n">
        <f aca="false">SUM(AE3:AE11)</f>
        <v>250.931661</v>
      </c>
      <c r="AF12" s="30" t="n">
        <f aca="false">SUM(AF3:AF11)</f>
        <v>-4.18791987</v>
      </c>
      <c r="AG12" s="33" t="n">
        <f aca="false">SUM(AG3:AG11)</f>
        <v>508.026697</v>
      </c>
      <c r="AH12" s="31" t="n">
        <f aca="false">SUM(AH3:AH11)</f>
        <v>239.087649</v>
      </c>
      <c r="AI12" s="32" t="n">
        <f aca="false">SUM(AI3:AI11)</f>
        <v>268.938572</v>
      </c>
      <c r="AK12" s="9" t="s">
        <v>40</v>
      </c>
      <c r="AL12" s="9" t="n">
        <f aca="false">+AL30</f>
        <v>220</v>
      </c>
      <c r="AM12" s="9" t="n">
        <f aca="false">+AM30</f>
        <v>230</v>
      </c>
      <c r="AN12" s="9" t="n">
        <f aca="false">+AN30</f>
        <v>233</v>
      </c>
      <c r="AO12" s="9" t="n">
        <f aca="false">+AO30</f>
        <v>228</v>
      </c>
      <c r="AP12" s="9" t="n">
        <f aca="false">+AP30</f>
        <v>228</v>
      </c>
      <c r="AQ12" s="9" t="n">
        <f aca="false">+AQ30</f>
        <v>228</v>
      </c>
      <c r="AR12" s="9" t="n">
        <f aca="false">+AR30</f>
        <v>145</v>
      </c>
      <c r="AS12" s="9" t="n">
        <f aca="false">+AS30</f>
        <v>106</v>
      </c>
      <c r="AT12" s="9" t="n">
        <f aca="false">+AT30</f>
        <v>158</v>
      </c>
      <c r="AU12" s="9" t="n">
        <f aca="false">+AU30</f>
        <v>118</v>
      </c>
      <c r="AV12" s="9" t="n">
        <f aca="false">+AV30</f>
        <v>151</v>
      </c>
      <c r="AW12" s="9" t="n">
        <f aca="false">+AW30</f>
        <v>120</v>
      </c>
      <c r="AX12" s="9" t="n">
        <f aca="false">+AX30</f>
        <v>144</v>
      </c>
      <c r="AY12" s="9" t="n">
        <f aca="false">+AY30</f>
        <v>120</v>
      </c>
      <c r="AZ12" s="9" t="n">
        <f aca="false">+AZ30</f>
        <v>141</v>
      </c>
      <c r="BA12" s="9" t="n">
        <f aca="false">+BA30</f>
        <v>120</v>
      </c>
      <c r="BB12" s="9" t="n">
        <f aca="false">+BB30</f>
        <v>138</v>
      </c>
      <c r="BC12" s="9" t="n">
        <f aca="false">+BC30</f>
        <v>118</v>
      </c>
      <c r="BD12" s="37"/>
      <c r="BE12" s="9" t="n">
        <f aca="false">+BE30</f>
        <v>118</v>
      </c>
      <c r="BF12" s="37"/>
      <c r="BG12" s="9" t="n">
        <f aca="false">+BG30</f>
        <v>118</v>
      </c>
      <c r="BH12" s="8"/>
      <c r="BI12" s="9" t="n">
        <f aca="false">+BI30</f>
        <v>118</v>
      </c>
      <c r="BJ12" s="8"/>
      <c r="BK12" s="8"/>
      <c r="BL12" s="8"/>
      <c r="BM12" s="8"/>
    </row>
    <row r="13" customFormat="false" ht="12.75" hidden="false" customHeight="false" outlineLevel="0" collapsed="false">
      <c r="A13" s="9"/>
      <c r="B13" s="21"/>
      <c r="C13" s="21"/>
      <c r="D13" s="21"/>
      <c r="E13" s="21"/>
      <c r="F13" s="21"/>
      <c r="G13" s="21"/>
      <c r="H13" s="9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34"/>
      <c r="AD13" s="21"/>
      <c r="AE13" s="21"/>
      <c r="AF13" s="21"/>
      <c r="AG13" s="21"/>
      <c r="AH13" s="21"/>
      <c r="AI13" s="21"/>
      <c r="AK13" s="7" t="s">
        <v>41</v>
      </c>
      <c r="AL13" s="7" t="n">
        <f aca="false">SUM(AL4:AL12)</f>
        <v>545</v>
      </c>
      <c r="AM13" s="37" t="n">
        <f aca="false">SUM(AM4:AM12)</f>
        <v>622</v>
      </c>
      <c r="AN13" s="37" t="n">
        <f aca="false">SUM(AN4:AN12)</f>
        <v>551</v>
      </c>
      <c r="AO13" s="37" t="n">
        <f aca="false">SUM(AO4:AO12)</f>
        <v>620</v>
      </c>
      <c r="AP13" s="37" t="n">
        <f aca="false">SUM(AP4:AP12)</f>
        <v>562</v>
      </c>
      <c r="AQ13" s="37" t="n">
        <f aca="false">SUM(AQ4:AQ12)</f>
        <v>635</v>
      </c>
      <c r="AR13" s="37" t="n">
        <f aca="false">SUM(AR4:AR12)</f>
        <v>464</v>
      </c>
      <c r="AS13" s="37" t="n">
        <f aca="false">SUM(AS4:AS12)</f>
        <v>513</v>
      </c>
      <c r="AT13" s="37" t="n">
        <f aca="false">SUM(AT4:AT12)</f>
        <v>523</v>
      </c>
      <c r="AU13" s="37" t="n">
        <f aca="false">SUM(AU4:AU12)</f>
        <v>524</v>
      </c>
      <c r="AV13" s="37" t="n">
        <f aca="false">SUM(AV4:AV12)</f>
        <v>497</v>
      </c>
      <c r="AW13" s="37" t="n">
        <f aca="false">SUM(AW4:AW12)</f>
        <v>533</v>
      </c>
      <c r="AX13" s="37" t="n">
        <f aca="false">SUM(AX4:AX12)</f>
        <v>541</v>
      </c>
      <c r="AY13" s="37" t="n">
        <f aca="false">SUM(AY4:AY12)</f>
        <v>578</v>
      </c>
      <c r="AZ13" s="37" t="n">
        <f aca="false">SUM(AZ4:AZ12)</f>
        <v>553</v>
      </c>
      <c r="BA13" s="37" t="n">
        <f aca="false">SUM(BA4:BA12)</f>
        <v>580</v>
      </c>
      <c r="BB13" s="37" t="n">
        <f aca="false">SUM(BB4:BB12)</f>
        <v>557</v>
      </c>
      <c r="BC13" s="37" t="n">
        <f aca="false">SUM(BC4:BC12)</f>
        <v>578</v>
      </c>
      <c r="BD13" s="8"/>
      <c r="BE13" s="37" t="n">
        <f aca="false">SUM(BE4:BE12)</f>
        <v>610</v>
      </c>
      <c r="BF13" s="8"/>
      <c r="BG13" s="37" t="n">
        <f aca="false">SUM(BG4:BG12)</f>
        <v>610</v>
      </c>
      <c r="BH13" s="8"/>
      <c r="BI13" s="37" t="n">
        <f aca="false">SUM(BI4:BI12)</f>
        <v>610</v>
      </c>
      <c r="BJ13" s="8"/>
      <c r="BK13" s="8"/>
      <c r="BL13" s="8"/>
      <c r="BM13" s="8"/>
    </row>
    <row r="14" customFormat="false" ht="15" hidden="false" customHeight="false" outlineLevel="0" collapsed="false">
      <c r="A14" s="3"/>
      <c r="B14" s="4" t="s">
        <v>0</v>
      </c>
      <c r="C14" s="4"/>
      <c r="D14" s="4"/>
      <c r="E14" s="4" t="s">
        <v>0</v>
      </c>
      <c r="F14" s="4"/>
      <c r="G14" s="4"/>
      <c r="H14" s="3"/>
      <c r="I14" s="4" t="s">
        <v>1</v>
      </c>
      <c r="J14" s="4"/>
      <c r="K14" s="4"/>
      <c r="L14" s="4"/>
      <c r="M14" s="4"/>
      <c r="N14" s="4"/>
      <c r="O14" s="5"/>
      <c r="P14" s="4" t="s">
        <v>2</v>
      </c>
      <c r="Q14" s="4"/>
      <c r="R14" s="4"/>
      <c r="S14" s="4"/>
      <c r="T14" s="4"/>
      <c r="U14" s="4"/>
      <c r="V14" s="5"/>
      <c r="W14" s="4" t="s">
        <v>3</v>
      </c>
      <c r="X14" s="4"/>
      <c r="Y14" s="4"/>
      <c r="Z14" s="4"/>
      <c r="AA14" s="4"/>
      <c r="AB14" s="4"/>
      <c r="AC14" s="21"/>
      <c r="AD14" s="4" t="s">
        <v>4</v>
      </c>
      <c r="AE14" s="4"/>
      <c r="AF14" s="4"/>
      <c r="AG14" s="4"/>
      <c r="AH14" s="4"/>
      <c r="AI14" s="4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9"/>
      <c r="BK14" s="9"/>
      <c r="BL14" s="9"/>
      <c r="BM14" s="9"/>
    </row>
    <row r="15" customFormat="false" ht="15" hidden="false" customHeight="false" outlineLevel="0" collapsed="false">
      <c r="B15" s="10" t="s">
        <v>6</v>
      </c>
      <c r="C15" s="10" t="s">
        <v>7</v>
      </c>
      <c r="D15" s="10" t="s">
        <v>8</v>
      </c>
      <c r="E15" s="11" t="s">
        <v>6</v>
      </c>
      <c r="F15" s="11" t="s">
        <v>7</v>
      </c>
      <c r="G15" s="11" t="s">
        <v>9</v>
      </c>
      <c r="H15" s="1"/>
      <c r="I15" s="10" t="s">
        <v>6</v>
      </c>
      <c r="J15" s="10" t="s">
        <v>7</v>
      </c>
      <c r="K15" s="10" t="s">
        <v>8</v>
      </c>
      <c r="L15" s="11" t="s">
        <v>6</v>
      </c>
      <c r="M15" s="11" t="s">
        <v>7</v>
      </c>
      <c r="N15" s="11" t="s">
        <v>9</v>
      </c>
      <c r="O15" s="12"/>
      <c r="P15" s="10" t="s">
        <v>6</v>
      </c>
      <c r="Q15" s="10" t="s">
        <v>7</v>
      </c>
      <c r="R15" s="10" t="s">
        <v>8</v>
      </c>
      <c r="S15" s="11" t="s">
        <v>6</v>
      </c>
      <c r="T15" s="11" t="s">
        <v>7</v>
      </c>
      <c r="U15" s="11" t="s">
        <v>9</v>
      </c>
      <c r="V15" s="12"/>
      <c r="W15" s="10" t="s">
        <v>6</v>
      </c>
      <c r="X15" s="10" t="s">
        <v>7</v>
      </c>
      <c r="Y15" s="10" t="s">
        <v>8</v>
      </c>
      <c r="Z15" s="11" t="s">
        <v>6</v>
      </c>
      <c r="AA15" s="11" t="s">
        <v>7</v>
      </c>
      <c r="AB15" s="11" t="s">
        <v>9</v>
      </c>
      <c r="AC15" s="5"/>
      <c r="AD15" s="10" t="s">
        <v>6</v>
      </c>
      <c r="AE15" s="10" t="s">
        <v>10</v>
      </c>
      <c r="AF15" s="10" t="s">
        <v>8</v>
      </c>
      <c r="AG15" s="11" t="s">
        <v>6</v>
      </c>
      <c r="AH15" s="11" t="s">
        <v>7</v>
      </c>
      <c r="AI15" s="11" t="s">
        <v>9</v>
      </c>
      <c r="AJ15" s="2"/>
      <c r="AM15" s="8"/>
      <c r="AN15" s="8"/>
      <c r="AO15" s="8"/>
      <c r="AP15" s="8"/>
      <c r="AQ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2"/>
      <c r="BO15" s="2"/>
      <c r="BP15" s="2"/>
      <c r="BQ15" s="2"/>
    </row>
    <row r="16" customFormat="false" ht="13.5" hidden="false" customHeight="false" outlineLevel="0" collapsed="false">
      <c r="A16" s="17" t="s">
        <v>13</v>
      </c>
      <c r="B16" s="18" t="n">
        <f aca="false">+'[1]QTD Mgmt Summary'!C9/1000</f>
        <v>61.971161</v>
      </c>
      <c r="C16" s="18" t="n">
        <f aca="false">+[1]Expenses!D9/1000</f>
        <v>7.068216</v>
      </c>
      <c r="D16" s="18" t="n">
        <f aca="false">+'[1]QTD Mgmt Summary'!K9/1000</f>
        <v>46.3071115</v>
      </c>
      <c r="E16" s="19" t="n">
        <f aca="false">+'[2]Mgmt Summary'!C9/1000</f>
        <v>40</v>
      </c>
      <c r="F16" s="19" t="n">
        <f aca="false">+'[2]Mgmt Summary'!M9/1000</f>
        <v>6.76777</v>
      </c>
      <c r="G16" s="20" t="n">
        <f aca="false">+'[2]Mgmt Summary'!E9/1000</f>
        <v>23.249788</v>
      </c>
      <c r="H16" s="17" t="s">
        <v>13</v>
      </c>
      <c r="I16" s="18" t="n">
        <f aca="false">+'[3]Mgmt Summary'!G9/1000</f>
        <v>32.796825</v>
      </c>
      <c r="J16" s="18" t="n">
        <f aca="false">+'[3]Mgmt Summary'!M9/1000</f>
        <v>6.834695</v>
      </c>
      <c r="K16" s="18" t="n">
        <f aca="false">+'[3]Mgmt Summary'!O9/1000</f>
        <v>17.788538</v>
      </c>
      <c r="L16" s="19" t="n">
        <f aca="false">+'[4]Mgmt Summary'!C9/1000</f>
        <v>32.5</v>
      </c>
      <c r="M16" s="19" t="n">
        <f aca="false">+'[4]Mgmt Summary'!M9/1000</f>
        <v>6.994313</v>
      </c>
      <c r="N16" s="38" t="n">
        <f aca="false">+'[3]Mgmt Summary'!E9/1000</f>
        <v>15.526516</v>
      </c>
      <c r="O16" s="21"/>
      <c r="P16" s="18" t="n">
        <f aca="false">+'[5]Mgmt Summary'!J9/1000</f>
        <v>28.864211</v>
      </c>
      <c r="Q16" s="18" t="n">
        <f aca="false">+'[5]Mgmt Summary'!M9/1000</f>
        <v>7.980981</v>
      </c>
      <c r="R16" s="18" t="n">
        <f aca="false">+'[5]Mgmt Summary'!O9/1000</f>
        <v>13.858068</v>
      </c>
      <c r="S16" s="19" t="n">
        <f aca="false">+'[5]Mgmt Summary'!C9/1000</f>
        <v>32.5</v>
      </c>
      <c r="T16" s="19" t="n">
        <f aca="false">+[5]Expenses!E9/1000</f>
        <v>6.913332</v>
      </c>
      <c r="U16" s="38" t="n">
        <f aca="false">+'[5]Mgmt Summary'!E9/1000</f>
        <v>15.606718</v>
      </c>
      <c r="V16" s="21"/>
      <c r="W16" s="18" t="n">
        <f aca="false">+'[6]Mgmt Summary'!J9/1000</f>
        <v>-7.726</v>
      </c>
      <c r="X16" s="18" t="n">
        <f aca="false">+'[6]Mgmt Summary'!M9/1000</f>
        <v>6.903119</v>
      </c>
      <c r="Y16" s="18" t="n">
        <f aca="false">+'[6]Mgmt Summary'!O9/1000</f>
        <v>-24.647743</v>
      </c>
      <c r="Z16" s="19" t="n">
        <f aca="false">+'[7]Mgmt Summary'!C9/1000</f>
        <v>45</v>
      </c>
      <c r="AA16" s="19" t="n">
        <f aca="false">+[7]Expenses!E9/1000</f>
        <v>6.903119</v>
      </c>
      <c r="AB16" s="38" t="n">
        <f aca="false">+'[7]Mgmt Summary'!E9/1000</f>
        <v>28.078257</v>
      </c>
      <c r="AC16" s="12"/>
      <c r="AD16" s="18" t="n">
        <f aca="false">+B16+I16+P16+W16</f>
        <v>115.906197</v>
      </c>
      <c r="AE16" s="18" t="n">
        <f aca="false">+C16+J16+Q16+X16</f>
        <v>28.787011</v>
      </c>
      <c r="AF16" s="18" t="n">
        <f aca="false">+D16+K16+R16+Y16</f>
        <v>53.3059745</v>
      </c>
      <c r="AG16" s="19" t="n">
        <f aca="false">+E16+L16+S16+Z16</f>
        <v>150</v>
      </c>
      <c r="AH16" s="19" t="n">
        <f aca="false">+F16+M16+T16+AA16</f>
        <v>27.578534</v>
      </c>
      <c r="AI16" s="20" t="n">
        <f aca="false">+G16+N16+U16+AB16</f>
        <v>82.461279</v>
      </c>
      <c r="AK16" s="7" t="s">
        <v>5</v>
      </c>
      <c r="AM16" s="8"/>
      <c r="AN16" s="8"/>
      <c r="AO16" s="8"/>
      <c r="AP16" s="8"/>
      <c r="AQ16" s="8"/>
      <c r="AS16" s="8"/>
      <c r="AT16" s="8"/>
      <c r="AU16" s="8"/>
      <c r="AV16" s="8"/>
      <c r="AW16" s="8"/>
      <c r="AX16" s="9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" hidden="false" customHeight="false" outlineLevel="0" collapsed="false">
      <c r="A17" s="17" t="s">
        <v>42</v>
      </c>
      <c r="B17" s="18" t="n">
        <f aca="false">+'[1]QTD Mgmt Summary'!C10/1000+'[1]QTD Mgmt Summary'!C11/1000</f>
        <v>20.27905533</v>
      </c>
      <c r="C17" s="18" t="n">
        <f aca="false">+[1]Expenses!D10/1000+[1]Expenses!D11/1000</f>
        <v>3.584983</v>
      </c>
      <c r="D17" s="18" t="n">
        <f aca="false">+'[1]QTD Mgmt Summary'!K10/1000+'[1]QTD Mgmt Summary'!K11/1000</f>
        <v>13.51718033</v>
      </c>
      <c r="E17" s="19" t="n">
        <f aca="false">+'[2]Mgmt Summary'!C10/1000+'[2]Mgmt Summary'!C11/1000</f>
        <v>13.75</v>
      </c>
      <c r="F17" s="19" t="n">
        <f aca="false">+'[2]Mgmt Summary'!M10/1000+'[2]Mgmt Summary'!M11/1000</f>
        <v>4.013093</v>
      </c>
      <c r="G17" s="20" t="n">
        <f aca="false">+'[2]Mgmt Summary'!E10/1000+'[2]Mgmt Summary'!E11/1000</f>
        <v>6.337254</v>
      </c>
      <c r="H17" s="17" t="s">
        <v>42</v>
      </c>
      <c r="I17" s="18" t="n">
        <f aca="false">(+'[3]Mgmt Summary'!G10+'[3]Mgmt Summary'!G11)/1000</f>
        <v>26.21452352</v>
      </c>
      <c r="J17" s="18" t="n">
        <f aca="false">(+'[3]Mgmt Summary'!M10+'[3]Mgmt Summary'!M11)/1000</f>
        <v>4.315036</v>
      </c>
      <c r="K17" s="18" t="n">
        <f aca="false">(+'[3]Mgmt Summary'!O10+'[3]Mgmt Summary'!O11)/1000</f>
        <v>17.96685752</v>
      </c>
      <c r="L17" s="19" t="n">
        <f aca="false">+'[4]Mgmt Summary'!C10/1000+'[4]Mgmt Summary'!C11/1000</f>
        <v>18.75</v>
      </c>
      <c r="M17" s="19" t="n">
        <f aca="false">+'[4]Mgmt Summary'!M10/1000+'[4]Mgmt Summary'!M11/1000</f>
        <v>5.360991</v>
      </c>
      <c r="N17" s="20" t="n">
        <f aca="false">+'[3]Mgmt Summary'!E10/1000+'[3]Mgmt Summary'!E11/1000</f>
        <v>9.221984</v>
      </c>
      <c r="O17" s="21"/>
      <c r="P17" s="18" t="n">
        <f aca="false">+('[5]Mgmt Summary'!J10+'[5]Mgmt Summary'!$J$11)/1000</f>
        <v>32.464047</v>
      </c>
      <c r="Q17" s="18" t="n">
        <f aca="false">+('[5]Mgmt Summary'!M10+'[5]Mgmt Summary'!M11)/1000</f>
        <v>5.139563</v>
      </c>
      <c r="R17" s="18" t="n">
        <f aca="false">+('[5]Mgmt Summary'!O10+'[5]Mgmt Summary'!O11)/1000</f>
        <v>21.846978</v>
      </c>
      <c r="S17" s="19" t="n">
        <f aca="false">+'[5]Mgmt Summary'!C10/1000+'[5]Mgmt Summary'!C11/1000</f>
        <v>18.75</v>
      </c>
      <c r="T17" s="19" t="n">
        <f aca="false">+[5]Expenses!E10/1000+[5]Expenses!E11/1000</f>
        <v>5.45285</v>
      </c>
      <c r="U17" s="20" t="n">
        <f aca="false">+'[5]Mgmt Summary'!E10/1000+'[5]Mgmt Summary'!E11/1000</f>
        <v>9.126459</v>
      </c>
      <c r="V17" s="21"/>
      <c r="W17" s="18" t="n">
        <f aca="false">+'[6]Mgmt Summary'!J10/1000+'[6]Mgmt Summary'!J11/1000</f>
        <v>1.120246</v>
      </c>
      <c r="X17" s="18" t="n">
        <f aca="false">+'[6]Mgmt Summary'!M10/1000+'[6]Mgmt Summary'!M11/1000</f>
        <v>5.458742</v>
      </c>
      <c r="Y17" s="18" t="n">
        <f aca="false">+'[6]Mgmt Summary'!O10/1000+'[6]Mgmt Summary'!O11/1000</f>
        <v>-8.502515</v>
      </c>
      <c r="Z17" s="19" t="n">
        <f aca="false">+'[7]Mgmt Summary'!C10/1000+'[7]Mgmt Summary'!C11/1000</f>
        <v>18.75</v>
      </c>
      <c r="AA17" s="19" t="n">
        <f aca="false">+[7]Expenses!E10/1000+[7]Expenses!E11/1000</f>
        <v>5.458742</v>
      </c>
      <c r="AB17" s="20" t="n">
        <f aca="false">+'[7]Mgmt Summary'!E10/1000+'[7]Mgmt Summary'!E11/1000</f>
        <v>9.127239</v>
      </c>
      <c r="AC17" s="21"/>
      <c r="AD17" s="18" t="n">
        <f aca="false">+B17+I17+P17+W17</f>
        <v>80.07787185</v>
      </c>
      <c r="AE17" s="18" t="n">
        <f aca="false">+C17+J17+Q17+X17</f>
        <v>18.498324</v>
      </c>
      <c r="AF17" s="18" t="n">
        <f aca="false">+D17+K17+R17+Y17</f>
        <v>44.82850085</v>
      </c>
      <c r="AG17" s="19" t="n">
        <f aca="false">+E17+L17+S17+Z17</f>
        <v>70</v>
      </c>
      <c r="AH17" s="19" t="n">
        <f aca="false">+F17+M17+T17+AA17</f>
        <v>20.285676</v>
      </c>
      <c r="AI17" s="20" t="n">
        <f aca="false">+G17+N17+U17+AB17</f>
        <v>33.812936</v>
      </c>
      <c r="AK17" s="13"/>
      <c r="AL17" s="14" t="s">
        <v>11</v>
      </c>
      <c r="AM17" s="15" t="s">
        <v>12</v>
      </c>
      <c r="AN17" s="16" t="s">
        <v>11</v>
      </c>
      <c r="AO17" s="15" t="s">
        <v>12</v>
      </c>
      <c r="AP17" s="16" t="s">
        <v>11</v>
      </c>
      <c r="AQ17" s="15" t="s">
        <v>12</v>
      </c>
      <c r="AR17" s="14" t="s">
        <v>11</v>
      </c>
      <c r="AS17" s="15" t="s">
        <v>12</v>
      </c>
      <c r="AT17" s="14" t="s">
        <v>11</v>
      </c>
      <c r="AU17" s="15" t="s">
        <v>12</v>
      </c>
      <c r="AV17" s="14" t="s">
        <v>11</v>
      </c>
      <c r="AW17" s="15" t="s">
        <v>12</v>
      </c>
      <c r="AX17" s="14" t="s">
        <v>11</v>
      </c>
      <c r="AY17" s="39" t="s">
        <v>12</v>
      </c>
      <c r="AZ17" s="14" t="s">
        <v>11</v>
      </c>
      <c r="BA17" s="39" t="s">
        <v>12</v>
      </c>
      <c r="BB17" s="14" t="s">
        <v>11</v>
      </c>
      <c r="BC17" s="39" t="s">
        <v>12</v>
      </c>
      <c r="BD17" s="14" t="s">
        <v>11</v>
      </c>
      <c r="BE17" s="39" t="s">
        <v>12</v>
      </c>
      <c r="BF17" s="14" t="s">
        <v>11</v>
      </c>
      <c r="BG17" s="39" t="s">
        <v>12</v>
      </c>
      <c r="BH17" s="14" t="s">
        <v>11</v>
      </c>
      <c r="BI17" s="39" t="s">
        <v>12</v>
      </c>
    </row>
    <row r="18" customFormat="false" ht="13.5" hidden="false" customHeight="false" outlineLevel="0" collapsed="false">
      <c r="A18" s="17" t="s">
        <v>43</v>
      </c>
      <c r="B18" s="18" t="n">
        <f aca="false">+'[1]QTD Mgmt Summary'!C12/1000</f>
        <v>-6.238153</v>
      </c>
      <c r="C18" s="18" t="n">
        <f aca="false">+[1]Expenses!D12/1000</f>
        <v>0.570503</v>
      </c>
      <c r="D18" s="18" t="n">
        <f aca="false">+'[1]QTD Mgmt Summary'!K12/1000</f>
        <v>-7.560353</v>
      </c>
      <c r="E18" s="19" t="n">
        <f aca="false">+'[2]Mgmt Summary'!C12/1000</f>
        <v>5</v>
      </c>
      <c r="F18" s="19" t="n">
        <f aca="false">+'[2]Mgmt Summary'!M12/1000</f>
        <v>1.213619</v>
      </c>
      <c r="G18" s="20" t="n">
        <f aca="false">+'[2]Mgmt Summary'!E12/1000</f>
        <v>2.915624</v>
      </c>
      <c r="H18" s="17" t="s">
        <v>43</v>
      </c>
      <c r="I18" s="18" t="n">
        <f aca="false">+'[3]Mgmt Summary'!G12/1000</f>
        <v>0</v>
      </c>
      <c r="J18" s="18" t="n">
        <f aca="false">+'[3]Mgmt Summary'!M12/1000</f>
        <v>0</v>
      </c>
      <c r="K18" s="18" t="n">
        <f aca="false">+'[3]Mgmt Summary'!O12/1000</f>
        <v>0</v>
      </c>
      <c r="L18" s="19" t="n">
        <f aca="false">+'[4]Mgmt Summary'!C12/1000</f>
        <v>0</v>
      </c>
      <c r="M18" s="19" t="n">
        <f aca="false">+'[4]Mgmt Summary'!M12/1000</f>
        <v>0</v>
      </c>
      <c r="N18" s="20" t="n">
        <f aca="false">+'[3]Mgmt Summary'!E12/1000</f>
        <v>0</v>
      </c>
      <c r="O18" s="21"/>
      <c r="P18" s="18"/>
      <c r="Q18" s="18"/>
      <c r="R18" s="18"/>
      <c r="S18" s="19" t="n">
        <f aca="false">+'[5]Mgmt Summary'!C12/1000</f>
        <v>0</v>
      </c>
      <c r="T18" s="19" t="n">
        <f aca="false">+[5]Expenses!E12/1000</f>
        <v>0</v>
      </c>
      <c r="U18" s="20" t="n">
        <f aca="false">+'[5]Mgmt Summary'!E12/1000</f>
        <v>0</v>
      </c>
      <c r="V18" s="21"/>
      <c r="W18" s="18"/>
      <c r="X18" s="18"/>
      <c r="Y18" s="18"/>
      <c r="Z18" s="19" t="n">
        <f aca="false">+'[7]Mgmt Summary'!C12/1000</f>
        <v>0</v>
      </c>
      <c r="AA18" s="19" t="n">
        <f aca="false">+[7]Expenses!E12/1000</f>
        <v>0</v>
      </c>
      <c r="AB18" s="20" t="n">
        <f aca="false">+'[7]Mgmt Summary'!E12/1000</f>
        <v>0</v>
      </c>
      <c r="AC18" s="21"/>
      <c r="AD18" s="18" t="n">
        <f aca="false">+B18+I18+P18+W18</f>
        <v>-6.238153</v>
      </c>
      <c r="AE18" s="18" t="n">
        <f aca="false">+C18+J18+Q18+X18</f>
        <v>0.570503</v>
      </c>
      <c r="AF18" s="18" t="n">
        <f aca="false">+D18+K18+R18+Y18</f>
        <v>-7.560353</v>
      </c>
      <c r="AG18" s="19" t="n">
        <f aca="false">+E18+L18+S18+Z18</f>
        <v>5</v>
      </c>
      <c r="AH18" s="19" t="n">
        <f aca="false">+F18+M18+T18+AA18</f>
        <v>1.213619</v>
      </c>
      <c r="AI18" s="20" t="n">
        <f aca="false">+G18+N18+U18+AB18</f>
        <v>2.915624</v>
      </c>
      <c r="AL18" s="23" t="s">
        <v>14</v>
      </c>
      <c r="AM18" s="24"/>
      <c r="AN18" s="40" t="s">
        <v>15</v>
      </c>
      <c r="AO18" s="24"/>
      <c r="AP18" s="40" t="s">
        <v>16</v>
      </c>
      <c r="AQ18" s="24"/>
      <c r="AR18" s="26" t="s">
        <v>17</v>
      </c>
      <c r="AS18" s="24"/>
      <c r="AT18" s="26" t="s">
        <v>18</v>
      </c>
      <c r="AU18" s="24"/>
      <c r="AV18" s="26" t="s">
        <v>19</v>
      </c>
      <c r="AW18" s="24"/>
      <c r="AX18" s="26" t="s">
        <v>20</v>
      </c>
      <c r="AY18" s="41"/>
      <c r="AZ18" s="26" t="s">
        <v>21</v>
      </c>
      <c r="BA18" s="41"/>
      <c r="BB18" s="26" t="s">
        <v>22</v>
      </c>
      <c r="BC18" s="41"/>
      <c r="BD18" s="26" t="s">
        <v>23</v>
      </c>
      <c r="BE18" s="41"/>
      <c r="BF18" s="26" t="s">
        <v>24</v>
      </c>
      <c r="BG18" s="41"/>
      <c r="BH18" s="26" t="s">
        <v>25</v>
      </c>
      <c r="BI18" s="41"/>
    </row>
    <row r="19" customFormat="false" ht="14.25" hidden="false" customHeight="true" outlineLevel="0" collapsed="false">
      <c r="A19" s="17" t="s">
        <v>27</v>
      </c>
      <c r="B19" s="18" t="n">
        <f aca="false">+'[1]QTD Mgmt Summary'!C13/1000</f>
        <v>8.725</v>
      </c>
      <c r="C19" s="18" t="n">
        <f aca="false">+[1]Expenses!D13/1000</f>
        <v>1.721372</v>
      </c>
      <c r="D19" s="18" t="n">
        <f aca="false">+'[1]QTD Mgmt Summary'!K13/1000</f>
        <v>5.839069</v>
      </c>
      <c r="E19" s="19" t="n">
        <f aca="false">+'[2]Mgmt Summary'!C13/1000</f>
        <v>8.509251</v>
      </c>
      <c r="F19" s="19" t="n">
        <f aca="false">+'[2]Mgmt Summary'!M13/1000</f>
        <v>1.808523</v>
      </c>
      <c r="G19" s="20" t="n">
        <f aca="false">+'[2]Mgmt Summary'!E13/1000</f>
        <v>4.460982</v>
      </c>
      <c r="H19" s="17" t="s">
        <v>27</v>
      </c>
      <c r="I19" s="18" t="n">
        <f aca="false">+'[3]Mgmt Summary'!G13/1000</f>
        <v>8.858</v>
      </c>
      <c r="J19" s="18" t="n">
        <f aca="false">+'[3]Mgmt Summary'!M13/1000</f>
        <v>1.489305</v>
      </c>
      <c r="K19" s="18" t="n">
        <f aca="false">+'[3]Mgmt Summary'!O13/1000</f>
        <v>6.646931</v>
      </c>
      <c r="L19" s="19" t="n">
        <f aca="false">+'[4]Mgmt Summary'!C13/1000</f>
        <v>7.078819</v>
      </c>
      <c r="M19" s="19" t="n">
        <f aca="false">+'[4]Mgmt Summary'!M13/1000</f>
        <v>1.463007</v>
      </c>
      <c r="N19" s="20" t="n">
        <f aca="false">+'[3]Mgmt Summary'!E13/1000</f>
        <v>3.838187</v>
      </c>
      <c r="O19" s="21"/>
      <c r="P19" s="18" t="n">
        <f aca="false">+'[5]Mgmt Summary'!J13/1000</f>
        <v>8.926</v>
      </c>
      <c r="Q19" s="18" t="n">
        <f aca="false">+'[5]Mgmt Summary'!M13/1000</f>
        <v>2.560499</v>
      </c>
      <c r="R19" s="18" t="n">
        <f aca="false">+'[5]Mgmt Summary'!O13/1000</f>
        <v>5.161736</v>
      </c>
      <c r="S19" s="19" t="n">
        <f aca="false">+'[5]Mgmt Summary'!C13/1000</f>
        <v>8.659352</v>
      </c>
      <c r="T19" s="19" t="n">
        <f aca="false">+[5]Expenses!E13/1000</f>
        <v>1.527724</v>
      </c>
      <c r="U19" s="20" t="n">
        <f aca="false">+'[5]Mgmt Summary'!E13/1000</f>
        <v>5.352897</v>
      </c>
      <c r="V19" s="21"/>
      <c r="W19" s="18" t="n">
        <f aca="false">+'[6]Mgmt Summary'!J13/1000</f>
        <v>1.431</v>
      </c>
      <c r="X19" s="18" t="n">
        <f aca="false">+'[6]Mgmt Summary'!M13/1000</f>
        <v>1.860081</v>
      </c>
      <c r="Y19" s="18" t="n">
        <f aca="false">+'[6]Mgmt Summary'!O13/1000</f>
        <v>-2.205833</v>
      </c>
      <c r="Z19" s="19" t="n">
        <f aca="false">+'[7]Mgmt Summary'!C13/1000</f>
        <v>8.75258</v>
      </c>
      <c r="AA19" s="19" t="n">
        <f aca="false">+[7]Expenses!E13/1000</f>
        <v>1.560081</v>
      </c>
      <c r="AB19" s="20" t="n">
        <f aca="false">+'[7]Mgmt Summary'!E13/1000</f>
        <v>5.415747</v>
      </c>
      <c r="AC19" s="21"/>
      <c r="AD19" s="18" t="n">
        <f aca="false">+B19+I19+P19+W19</f>
        <v>27.94</v>
      </c>
      <c r="AE19" s="18" t="n">
        <f aca="false">+C19+J19+Q19+X19</f>
        <v>7.631257</v>
      </c>
      <c r="AF19" s="18" t="n">
        <f aca="false">+D19+K19+R19+Y19</f>
        <v>15.441903</v>
      </c>
      <c r="AG19" s="19" t="n">
        <f aca="false">+E19+L19+S19+Z19</f>
        <v>33.000002</v>
      </c>
      <c r="AH19" s="19" t="n">
        <f aca="false">+F19+M19+T19+AA19</f>
        <v>6.359335</v>
      </c>
      <c r="AI19" s="20" t="n">
        <f aca="false">+G19+N19+U19+AB19</f>
        <v>19.067813</v>
      </c>
      <c r="AK19" s="9" t="s">
        <v>13</v>
      </c>
      <c r="AL19" s="1" t="n">
        <v>112</v>
      </c>
      <c r="AM19" s="8" t="n">
        <v>117</v>
      </c>
      <c r="AN19" s="8" t="n">
        <v>111</v>
      </c>
      <c r="AO19" s="8" t="n">
        <v>117</v>
      </c>
      <c r="AP19" s="8" t="n">
        <v>111.5</v>
      </c>
      <c r="AQ19" s="8" t="n">
        <v>117</v>
      </c>
      <c r="AR19" s="8" t="n">
        <v>110.5</v>
      </c>
      <c r="AS19" s="8" t="n">
        <v>118</v>
      </c>
      <c r="AT19" s="8" t="n">
        <v>105</v>
      </c>
      <c r="AU19" s="8" t="n">
        <v>118</v>
      </c>
      <c r="AV19" s="8" t="n">
        <v>111</v>
      </c>
      <c r="AW19" s="8" t="n">
        <v>118</v>
      </c>
      <c r="AX19" s="0" t="n">
        <f aca="false">79+35+12</f>
        <v>126</v>
      </c>
      <c r="AY19" s="42" t="n">
        <v>119</v>
      </c>
      <c r="AZ19" s="1" t="n">
        <f aca="false">83+38+10</f>
        <v>131</v>
      </c>
      <c r="BA19" s="42" t="n">
        <v>119</v>
      </c>
      <c r="BB19" s="0" t="n">
        <f aca="false">83+40+9</f>
        <v>132</v>
      </c>
      <c r="BC19" s="42" t="n">
        <v>119</v>
      </c>
      <c r="BE19" s="42" t="n">
        <v>119</v>
      </c>
      <c r="BF19" s="0"/>
      <c r="BG19" s="42" t="n">
        <v>119</v>
      </c>
      <c r="BI19" s="42" t="n">
        <v>119</v>
      </c>
    </row>
    <row r="20" customFormat="false" ht="12.75" hidden="false" customHeight="false" outlineLevel="0" collapsed="false">
      <c r="A20" s="17" t="s">
        <v>29</v>
      </c>
      <c r="B20" s="18" t="n">
        <f aca="false">+'[1]QTD Mgmt Summary'!C14/1000</f>
        <v>1.67201528</v>
      </c>
      <c r="C20" s="18" t="n">
        <f aca="false">+[1]Expenses!D14/1000</f>
        <v>0.790135</v>
      </c>
      <c r="D20" s="18" t="n">
        <f aca="false">+'[1]QTD Mgmt Summary'!K14/1000</f>
        <v>0.33799628</v>
      </c>
      <c r="E20" s="19" t="n">
        <f aca="false">+'[2]Mgmt Summary'!C14/1000</f>
        <v>4.875</v>
      </c>
      <c r="F20" s="19" t="n">
        <f aca="false">+'[2]Mgmt Summary'!M14/1000</f>
        <v>1.802648</v>
      </c>
      <c r="G20" s="20" t="n">
        <f aca="false">+'[2]Mgmt Summary'!E14/1000</f>
        <v>2.259021</v>
      </c>
      <c r="H20" s="17" t="s">
        <v>29</v>
      </c>
      <c r="I20" s="18" t="n">
        <f aca="false">+'[3]Mgmt Summary'!G14/1000</f>
        <v>2.550569</v>
      </c>
      <c r="J20" s="18" t="n">
        <f aca="false">+'[3]Mgmt Summary'!M14/1000</f>
        <v>1.299411</v>
      </c>
      <c r="K20" s="18" t="n">
        <f aca="false">+'[3]Mgmt Summary'!O14/1000</f>
        <v>0.604991</v>
      </c>
      <c r="L20" s="19" t="n">
        <f aca="false">+'[4]Mgmt Summary'!C14/1000</f>
        <v>11.875</v>
      </c>
      <c r="M20" s="19" t="n">
        <f aca="false">+'[4]Mgmt Summary'!M14/1000</f>
        <v>2.304122</v>
      </c>
      <c r="N20" s="20" t="n">
        <f aca="false">+'[3]Mgmt Summary'!E14/1000</f>
        <v>8.615186</v>
      </c>
      <c r="O20" s="21"/>
      <c r="P20" s="18" t="n">
        <f aca="false">+'[5]Mgmt Summary'!J14/1000</f>
        <v>0.996886</v>
      </c>
      <c r="Q20" s="18" t="n">
        <f aca="false">+'[5]Mgmt Summary'!M14/1000</f>
        <v>2.093127</v>
      </c>
      <c r="R20" s="18" t="n">
        <f aca="false">+'[5]Mgmt Summary'!O14/1000</f>
        <v>-1.683844</v>
      </c>
      <c r="S20" s="19" t="n">
        <f aca="false">+'[5]Mgmt Summary'!C14/1000</f>
        <v>11.875</v>
      </c>
      <c r="T20" s="19" t="n">
        <f aca="false">+[5]Expenses!E14/1000</f>
        <v>2.517066</v>
      </c>
      <c r="U20" s="20" t="n">
        <f aca="false">+'[5]Mgmt Summary'!E14/1000</f>
        <v>8.401542</v>
      </c>
      <c r="V20" s="21"/>
      <c r="W20" s="18" t="n">
        <f aca="false">+'[6]Mgmt Summary'!J14/1000</f>
        <v>0.04604</v>
      </c>
      <c r="X20" s="18" t="n">
        <f aca="false">+'[6]Mgmt Summary'!M14/1000</f>
        <v>2.517066</v>
      </c>
      <c r="Y20" s="18" t="n">
        <f aca="false">+'[6]Mgmt Summary'!O14/1000</f>
        <v>-3.424368</v>
      </c>
      <c r="Z20" s="19" t="n">
        <f aca="false">+'[7]Mgmt Summary'!C14/1000</f>
        <v>8.875</v>
      </c>
      <c r="AA20" s="19" t="n">
        <f aca="false">+[7]Expenses!E14/1000</f>
        <v>2.517066</v>
      </c>
      <c r="AB20" s="20" t="n">
        <f aca="false">+'[7]Mgmt Summary'!E14/1000</f>
        <v>5.404592</v>
      </c>
      <c r="AC20" s="21"/>
      <c r="AD20" s="18" t="n">
        <f aca="false">+B20+I20+P20+W20</f>
        <v>5.26551028</v>
      </c>
      <c r="AE20" s="18" t="n">
        <f aca="false">+C20+J20+Q20+X20</f>
        <v>6.699739</v>
      </c>
      <c r="AF20" s="18" t="n">
        <f aca="false">+D20+K20+R20+Y20</f>
        <v>-4.16522472</v>
      </c>
      <c r="AG20" s="19" t="n">
        <f aca="false">+E20+L20+S20+Z20</f>
        <v>37.5</v>
      </c>
      <c r="AH20" s="19" t="n">
        <f aca="false">+F20+M20+T20+AA20</f>
        <v>9.140902</v>
      </c>
      <c r="AI20" s="20" t="n">
        <f aca="false">+G20+N20+U20+AB20</f>
        <v>24.680341</v>
      </c>
      <c r="AK20" s="9" t="s">
        <v>42</v>
      </c>
      <c r="AL20" s="8" t="n">
        <v>58</v>
      </c>
      <c r="AM20" s="8" t="n">
        <v>71</v>
      </c>
      <c r="AN20" s="8" t="n">
        <v>58</v>
      </c>
      <c r="AO20" s="8" t="n">
        <v>71</v>
      </c>
      <c r="AP20" s="8" t="n">
        <v>58</v>
      </c>
      <c r="AQ20" s="8" t="n">
        <v>71</v>
      </c>
      <c r="AR20" s="8" t="n">
        <v>57.5</v>
      </c>
      <c r="AS20" s="8" t="n">
        <v>71</v>
      </c>
      <c r="AT20" s="8" t="n">
        <v>62</v>
      </c>
      <c r="AU20" s="8" t="n">
        <v>70</v>
      </c>
      <c r="AV20" s="8" t="n">
        <v>59</v>
      </c>
      <c r="AW20" s="8" t="n">
        <v>71</v>
      </c>
      <c r="AX20" s="1" t="n">
        <f aca="false">38+2+25</f>
        <v>65</v>
      </c>
      <c r="AY20" s="42" t="n">
        <v>71</v>
      </c>
      <c r="AZ20" s="8" t="n">
        <f aca="false">2+26+46</f>
        <v>74</v>
      </c>
      <c r="BA20" s="42" t="n">
        <v>71</v>
      </c>
      <c r="BB20" s="8" t="n">
        <f aca="false">1+27+43</f>
        <v>71</v>
      </c>
      <c r="BC20" s="42" t="n">
        <v>71</v>
      </c>
      <c r="BE20" s="42" t="n">
        <v>71</v>
      </c>
      <c r="BF20" s="8"/>
      <c r="BG20" s="42" t="n">
        <v>71</v>
      </c>
      <c r="BH20" s="8"/>
      <c r="BI20" s="42" t="n">
        <v>71</v>
      </c>
    </row>
    <row r="21" customFormat="false" ht="12.75" hidden="false" customHeight="false" outlineLevel="0" collapsed="false">
      <c r="A21" s="17" t="s">
        <v>30</v>
      </c>
      <c r="B21" s="18" t="n">
        <f aca="false">+'[1]QTD Mgmt Summary'!C15/1000</f>
        <v>13.281757</v>
      </c>
      <c r="C21" s="18" t="n">
        <f aca="false">+[1]Expenses!D15/1000</f>
        <v>2.364778</v>
      </c>
      <c r="D21" s="18" t="n">
        <f aca="false">+'[1]QTD Mgmt Summary'!K15/1000</f>
        <v>9.464195</v>
      </c>
      <c r="E21" s="19" t="n">
        <f aca="false">+'[2]Mgmt Summary'!C15/1000</f>
        <v>20</v>
      </c>
      <c r="F21" s="19" t="n">
        <f aca="false">+'[2]Mgmt Summary'!M15/1000</f>
        <v>3.467386</v>
      </c>
      <c r="G21" s="20" t="n">
        <f aca="false">+'[2]Mgmt Summary'!E15/1000</f>
        <v>14.454606</v>
      </c>
      <c r="H21" s="17" t="s">
        <v>30</v>
      </c>
      <c r="I21" s="18" t="n">
        <f aca="false">+'[3]Mgmt Summary'!G15/1000</f>
        <v>17.176</v>
      </c>
      <c r="J21" s="18" t="n">
        <f aca="false">+'[3]Mgmt Summary'!M15/1000</f>
        <v>2.295727</v>
      </c>
      <c r="K21" s="18" t="n">
        <f aca="false">+'[3]Mgmt Summary'!O15/1000</f>
        <v>13.173132</v>
      </c>
      <c r="L21" s="19" t="n">
        <f aca="false">+'[4]Mgmt Summary'!C15/1000</f>
        <v>27.5</v>
      </c>
      <c r="M21" s="19" t="n">
        <f aca="false">+'[4]Mgmt Summary'!M15/1000</f>
        <v>3.742616</v>
      </c>
      <c r="N21" s="20" t="n">
        <f aca="false">+'[3]Mgmt Summary'!E15/1000</f>
        <v>21.486755</v>
      </c>
      <c r="O21" s="21"/>
      <c r="P21" s="18" t="n">
        <f aca="false">+'[5]Mgmt Summary'!J15/1000</f>
        <v>5.72145</v>
      </c>
      <c r="Q21" s="18" t="n">
        <f aca="false">+'[5]Mgmt Summary'!M15/1000</f>
        <v>3.047825</v>
      </c>
      <c r="R21" s="18" t="n">
        <f aca="false">+'[5]Mgmt Summary'!O15/1000</f>
        <v>1.42898</v>
      </c>
      <c r="S21" s="19" t="n">
        <f aca="false">+'[5]Mgmt Summary'!C15/1000</f>
        <v>27.37</v>
      </c>
      <c r="T21" s="19" t="n">
        <f aca="false">+[5]Expenses!E15/1000</f>
        <v>3.320448</v>
      </c>
      <c r="U21" s="20" t="n">
        <f aca="false">+'[5]Mgmt Summary'!E15/1000</f>
        <v>21.837183</v>
      </c>
      <c r="V21" s="21"/>
      <c r="W21" s="18" t="n">
        <f aca="false">+'[6]Mgmt Summary'!J15/1000</f>
        <v>4.499</v>
      </c>
      <c r="X21" s="18" t="n">
        <f aca="false">+'[6]Mgmt Summary'!M15/1000</f>
        <v>1.849136</v>
      </c>
      <c r="Y21" s="18" t="n">
        <f aca="false">+'[6]Mgmt Summary'!O15/1000</f>
        <v>1.368453</v>
      </c>
      <c r="Z21" s="19" t="n">
        <f aca="false">+'[7]Mgmt Summary'!C15/1000</f>
        <v>29.545</v>
      </c>
      <c r="AA21" s="19" t="n">
        <f aca="false">+[7]Expenses!E15/1000</f>
        <v>1.849136</v>
      </c>
      <c r="AB21" s="20" t="n">
        <f aca="false">+'[7]Mgmt Summary'!E15/1000</f>
        <v>26.414453</v>
      </c>
      <c r="AC21" s="21"/>
      <c r="AD21" s="18" t="n">
        <f aca="false">+B21+I21+P21+W21</f>
        <v>40.678207</v>
      </c>
      <c r="AE21" s="18" t="n">
        <f aca="false">+C21+J21+Q21+X21</f>
        <v>9.557466</v>
      </c>
      <c r="AF21" s="18" t="n">
        <f aca="false">+D21+K21+R21+Y21</f>
        <v>25.43476</v>
      </c>
      <c r="AG21" s="19" t="n">
        <f aca="false">+E21+L21+S21+Z21</f>
        <v>104.415</v>
      </c>
      <c r="AH21" s="19" t="n">
        <f aca="false">+F21+M21+T21+AA21</f>
        <v>12.379586</v>
      </c>
      <c r="AI21" s="20" t="n">
        <f aca="false">+G21+N21+U21+AB21</f>
        <v>84.192997</v>
      </c>
      <c r="AK21" s="9" t="s">
        <v>43</v>
      </c>
      <c r="AL21" s="8" t="n">
        <v>8</v>
      </c>
      <c r="AM21" s="8" t="n">
        <v>14</v>
      </c>
      <c r="AN21" s="8" t="n">
        <v>7</v>
      </c>
      <c r="AO21" s="8" t="n">
        <v>14</v>
      </c>
      <c r="AP21" s="8" t="n">
        <v>7</v>
      </c>
      <c r="AQ21" s="8" t="n">
        <v>14</v>
      </c>
      <c r="AR21" s="8" t="n">
        <v>7.5</v>
      </c>
      <c r="AS21" s="8" t="n">
        <v>16</v>
      </c>
      <c r="AT21" s="8" t="n">
        <v>9</v>
      </c>
      <c r="AU21" s="8" t="n">
        <v>16</v>
      </c>
      <c r="AV21" s="8" t="n">
        <v>9</v>
      </c>
      <c r="AW21" s="8" t="n">
        <v>16</v>
      </c>
      <c r="AX21" s="1" t="n">
        <f aca="false">4+4</f>
        <v>8</v>
      </c>
      <c r="AY21" s="42" t="n">
        <v>17</v>
      </c>
      <c r="AZ21" s="1" t="n">
        <f aca="false">3+4</f>
        <v>7</v>
      </c>
      <c r="BA21" s="42" t="n">
        <v>17</v>
      </c>
      <c r="BB21" s="1" t="n">
        <f aca="false">4+7</f>
        <v>11</v>
      </c>
      <c r="BC21" s="42" t="n">
        <v>17</v>
      </c>
      <c r="BE21" s="42" t="n">
        <v>17</v>
      </c>
      <c r="BG21" s="42" t="n">
        <v>17</v>
      </c>
      <c r="BI21" s="42" t="n">
        <v>17</v>
      </c>
    </row>
    <row r="22" customFormat="false" ht="12.75" hidden="false" customHeight="false" outlineLevel="0" collapsed="false">
      <c r="A22" s="17" t="s">
        <v>32</v>
      </c>
      <c r="B22" s="18" t="n">
        <f aca="false">+'[1]QTD Mgmt Summary'!C16/1000</f>
        <v>0.040954</v>
      </c>
      <c r="C22" s="18" t="n">
        <f aca="false">+[1]Expenses!D16/1000</f>
        <v>1.615797</v>
      </c>
      <c r="D22" s="18" t="n">
        <f aca="false">+'[1]QTD Mgmt Summary'!K16/1000</f>
        <v>-1.843474</v>
      </c>
      <c r="E22" s="19" t="n">
        <f aca="false">+'[2]Mgmt Summary'!C16/1000</f>
        <v>0.5</v>
      </c>
      <c r="F22" s="19" t="n">
        <f aca="false">+'[2]Mgmt Summary'!M16/1000</f>
        <v>1.555606</v>
      </c>
      <c r="G22" s="20" t="n">
        <f aca="false">+'[2]Mgmt Summary'!E16/1000</f>
        <v>-1.244696</v>
      </c>
      <c r="H22" s="17" t="s">
        <v>32</v>
      </c>
      <c r="I22" s="18" t="n">
        <f aca="false">+'[3]Mgmt Summary'!G16/1000</f>
        <v>1.648452</v>
      </c>
      <c r="J22" s="18" t="n">
        <f aca="false">+'[3]Mgmt Summary'!M16/1000</f>
        <v>4.582465</v>
      </c>
      <c r="K22" s="18" t="n">
        <f aca="false">+'[3]Mgmt Summary'!O16/1000</f>
        <v>-3.767201</v>
      </c>
      <c r="L22" s="19" t="n">
        <f aca="false">+'[4]Mgmt Summary'!C16/1000</f>
        <v>1.311</v>
      </c>
      <c r="M22" s="19" t="n">
        <f aca="false">+'[4]Mgmt Summary'!M16/1000</f>
        <v>4.356818</v>
      </c>
      <c r="N22" s="20" t="n">
        <f aca="false">+'[3]Mgmt Summary'!E16/1000</f>
        <v>-3.623711</v>
      </c>
      <c r="O22" s="21"/>
      <c r="P22" s="18" t="n">
        <f aca="false">+'[5]Mgmt Summary'!J16/1000</f>
        <v>1.26649</v>
      </c>
      <c r="Q22" s="18" t="n">
        <f aca="false">+'[5]Mgmt Summary'!M16/1000</f>
        <v>3.683199</v>
      </c>
      <c r="R22" s="18" t="n">
        <f aca="false">+'[5]Mgmt Summary'!O16/1000</f>
        <v>-4.15813</v>
      </c>
      <c r="S22" s="19" t="n">
        <f aca="false">+'[5]Mgmt Summary'!C16/1000</f>
        <v>5.705</v>
      </c>
      <c r="T22" s="19" t="n">
        <f aca="false">+[5]Expenses!E16/1000</f>
        <v>4.625078</v>
      </c>
      <c r="U22" s="20" t="n">
        <f aca="false">+'[5]Mgmt Summary'!E16/1000</f>
        <v>0.246839999999999</v>
      </c>
      <c r="V22" s="21"/>
      <c r="W22" s="18" t="n">
        <f aca="false">+'[6]Mgmt Summary'!J16/1000</f>
        <v>-0.038317</v>
      </c>
      <c r="X22" s="18" t="n">
        <f aca="false">+'[6]Mgmt Summary'!M16/1000</f>
        <v>7.322176</v>
      </c>
      <c r="Y22" s="18" t="n">
        <f aca="false">+'[6]Mgmt Summary'!O16/1000</f>
        <v>-8.801527</v>
      </c>
      <c r="Z22" s="19" t="n">
        <f aca="false">+'[7]Mgmt Summary'!C16/1000</f>
        <v>13.3055</v>
      </c>
      <c r="AA22" s="19" t="n">
        <f aca="false">+[7]Expenses!E16/1000</f>
        <v>7.322176</v>
      </c>
      <c r="AB22" s="20" t="n">
        <f aca="false">+'[7]Mgmt Summary'!E16/1000</f>
        <v>4.54229</v>
      </c>
      <c r="AC22" s="21"/>
      <c r="AD22" s="18" t="n">
        <f aca="false">+B22+I22+P22+W22</f>
        <v>2.917579</v>
      </c>
      <c r="AE22" s="18" t="n">
        <f aca="false">+C22+J22+Q22+X22</f>
        <v>17.203637</v>
      </c>
      <c r="AF22" s="18" t="n">
        <f aca="false">+D22+K22+R22+Y22</f>
        <v>-18.570332</v>
      </c>
      <c r="AG22" s="19" t="n">
        <f aca="false">+E22+L22+S22+Z22</f>
        <v>20.8215</v>
      </c>
      <c r="AH22" s="20" t="n">
        <f aca="false">+F22+M22+T22+AA22</f>
        <v>17.859678</v>
      </c>
      <c r="AI22" s="20" t="n">
        <f aca="false">+G22+N22+U22+AB22</f>
        <v>-0.0792769999999985</v>
      </c>
      <c r="AK22" s="9" t="s">
        <v>27</v>
      </c>
      <c r="AL22" s="9" t="n">
        <v>27</v>
      </c>
      <c r="AM22" s="8" t="n">
        <v>32</v>
      </c>
      <c r="AN22" s="8" t="n">
        <v>19</v>
      </c>
      <c r="AO22" s="8" t="n">
        <v>32</v>
      </c>
      <c r="AP22" s="8" t="n">
        <v>21</v>
      </c>
      <c r="AQ22" s="8" t="n">
        <v>32</v>
      </c>
      <c r="AR22" s="9" t="n">
        <v>23</v>
      </c>
      <c r="AS22" s="8" t="n">
        <v>24</v>
      </c>
      <c r="AT22" s="9" t="n">
        <v>27</v>
      </c>
      <c r="AU22" s="8" t="n">
        <v>24</v>
      </c>
      <c r="AV22" s="9" t="n">
        <v>25</v>
      </c>
      <c r="AW22" s="8" t="n">
        <v>24</v>
      </c>
      <c r="AX22" s="1" t="n">
        <f aca="false">27+4</f>
        <v>31</v>
      </c>
      <c r="AY22" s="42" t="n">
        <v>24</v>
      </c>
      <c r="AZ22" s="1" t="n">
        <f aca="false">3+31</f>
        <v>34</v>
      </c>
      <c r="BA22" s="42" t="n">
        <v>26</v>
      </c>
      <c r="BB22" s="1" t="n">
        <f aca="false">7+33</f>
        <v>40</v>
      </c>
      <c r="BC22" s="42" t="n">
        <v>26</v>
      </c>
      <c r="BE22" s="42" t="n">
        <v>26</v>
      </c>
      <c r="BG22" s="42" t="n">
        <v>26</v>
      </c>
      <c r="BI22" s="42" t="n">
        <v>26</v>
      </c>
    </row>
    <row r="23" customFormat="false" ht="12.75" hidden="false" customHeight="false" outlineLevel="0" collapsed="false">
      <c r="A23" s="17" t="s">
        <v>44</v>
      </c>
      <c r="B23" s="18" t="n">
        <f aca="false">+'[1]QTD Mgmt Summary'!C17/1000</f>
        <v>1.679991</v>
      </c>
      <c r="C23" s="18" t="n">
        <f aca="false">+[1]Expenses!D17/1000</f>
        <v>2.763129</v>
      </c>
      <c r="D23" s="18" t="n">
        <f aca="false">+'[1]QTD Mgmt Summary'!K17/1000</f>
        <v>-2.158565</v>
      </c>
      <c r="E23" s="19" t="n">
        <f aca="false">+'[2]Mgmt Summary'!C17/1000</f>
        <v>3</v>
      </c>
      <c r="F23" s="19" t="n">
        <f aca="false">+'[2]Mgmt Summary'!M17/1000</f>
        <v>1.43025</v>
      </c>
      <c r="G23" s="20" t="n">
        <f aca="false">+'[2]Mgmt Summary'!E17/1000</f>
        <v>0.365936</v>
      </c>
      <c r="H23" s="17" t="s">
        <v>44</v>
      </c>
      <c r="I23" s="18" t="n">
        <f aca="false">+'[3]Mgmt Summary'!G17/1000</f>
        <v>0.765215</v>
      </c>
      <c r="J23" s="18" t="n">
        <f aca="false">+'[3]Mgmt Summary'!M17/1000</f>
        <v>5.577472</v>
      </c>
      <c r="K23" s="18" t="n">
        <f aca="false">+'[3]Mgmt Summary'!O17/1000</f>
        <v>-5.892272</v>
      </c>
      <c r="L23" s="19" t="n">
        <f aca="false">+'[4]Mgmt Summary'!C17/1000</f>
        <v>5</v>
      </c>
      <c r="M23" s="19" t="n">
        <f aca="false">+'[4]Mgmt Summary'!M17/1000</f>
        <v>1.43025</v>
      </c>
      <c r="N23" s="20" t="n">
        <f aca="false">+'[3]Mgmt Summary'!E17/1000</f>
        <v>2.377904</v>
      </c>
      <c r="O23" s="21"/>
      <c r="P23" s="18" t="n">
        <f aca="false">+'[5]Mgmt Summary'!J17/1000</f>
        <v>1.574353</v>
      </c>
      <c r="Q23" s="18" t="n">
        <f aca="false">+'[5]Mgmt Summary'!M17/1000</f>
        <v>6.143468</v>
      </c>
      <c r="R23" s="18" t="n">
        <f aca="false">+'[5]Mgmt Summary'!O17/1000</f>
        <v>-5.75662</v>
      </c>
      <c r="S23" s="19" t="n">
        <f aca="false">+'[5]Mgmt Summary'!C17/1000</f>
        <v>8</v>
      </c>
      <c r="T23" s="19" t="n">
        <f aca="false">+[5]Expenses!E17/1000</f>
        <v>1.43025</v>
      </c>
      <c r="U23" s="20" t="n">
        <f aca="false">+'[5]Mgmt Summary'!E17/1000</f>
        <v>5.376787</v>
      </c>
      <c r="V23" s="21"/>
      <c r="W23" s="18" t="n">
        <f aca="false">+'[6]Mgmt Summary'!J17/1000</f>
        <v>0.376</v>
      </c>
      <c r="X23" s="18" t="n">
        <f aca="false">+'[6]Mgmt Summary'!M17/1000</f>
        <v>3.27025</v>
      </c>
      <c r="Y23" s="18" t="n">
        <f aca="false">+'[6]Mgmt Summary'!O17/1000</f>
        <v>-4.083428</v>
      </c>
      <c r="Z23" s="19" t="n">
        <f aca="false">+'[7]Mgmt Summary'!C17/1000</f>
        <v>44</v>
      </c>
      <c r="AA23" s="19" t="n">
        <f aca="false">+[7]Expenses!E17/1000</f>
        <v>1.43025</v>
      </c>
      <c r="AB23" s="20" t="n">
        <f aca="false">+'[7]Mgmt Summary'!E17/1000</f>
        <v>41.380572</v>
      </c>
      <c r="AC23" s="21"/>
      <c r="AD23" s="18" t="n">
        <f aca="false">+B23+I23+P23+W23</f>
        <v>4.395559</v>
      </c>
      <c r="AE23" s="18" t="n">
        <f aca="false">+C23+J23+Q23+X23</f>
        <v>17.754319</v>
      </c>
      <c r="AF23" s="18" t="n">
        <f aca="false">+D23+K23+R23+Y23</f>
        <v>-17.890885</v>
      </c>
      <c r="AG23" s="19" t="n">
        <f aca="false">+E23+L23+S23+Z23</f>
        <v>60</v>
      </c>
      <c r="AH23" s="20" t="n">
        <f aca="false">+F23+M23+T23+AA23</f>
        <v>5.721</v>
      </c>
      <c r="AI23" s="20" t="n">
        <f aca="false">+G23+N23+U23+AB23</f>
        <v>49.501199</v>
      </c>
      <c r="AK23" s="9" t="s">
        <v>31</v>
      </c>
      <c r="AL23" s="9" t="n">
        <v>15</v>
      </c>
      <c r="AM23" s="8" t="n">
        <v>26</v>
      </c>
      <c r="AN23" s="9" t="n">
        <v>17</v>
      </c>
      <c r="AO23" s="8" t="n">
        <v>26</v>
      </c>
      <c r="AP23" s="9" t="n">
        <v>18</v>
      </c>
      <c r="AQ23" s="8" t="n">
        <v>26</v>
      </c>
      <c r="AR23" s="9" t="n">
        <v>18</v>
      </c>
      <c r="AS23" s="8" t="n">
        <v>36</v>
      </c>
      <c r="AT23" s="9" t="n">
        <v>18</v>
      </c>
      <c r="AU23" s="8" t="n">
        <v>36</v>
      </c>
      <c r="AV23" s="9" t="n">
        <v>15</v>
      </c>
      <c r="AW23" s="8" t="n">
        <v>40</v>
      </c>
      <c r="AX23" s="8" t="n">
        <v>16</v>
      </c>
      <c r="AY23" s="42" t="n">
        <v>42</v>
      </c>
      <c r="AZ23" s="8" t="n">
        <v>15</v>
      </c>
      <c r="BA23" s="42" t="n">
        <v>42</v>
      </c>
      <c r="BB23" s="8" t="n">
        <v>13</v>
      </c>
      <c r="BC23" s="42" t="n">
        <v>42</v>
      </c>
      <c r="BE23" s="42" t="n">
        <v>42</v>
      </c>
      <c r="BG23" s="42" t="n">
        <v>42</v>
      </c>
      <c r="BI23" s="42" t="n">
        <v>42</v>
      </c>
    </row>
    <row r="24" customFormat="false" ht="12.75" hidden="false" customHeight="false" outlineLevel="0" collapsed="false">
      <c r="A24" s="17" t="s">
        <v>45</v>
      </c>
      <c r="B24" s="18" t="n">
        <f aca="false">+'[1]QTD Mgmt Summary'!C19/1000</f>
        <v>-0.959679</v>
      </c>
      <c r="C24" s="18" t="n">
        <f aca="false">+[1]Expenses!D19/1000</f>
        <v>0.428864</v>
      </c>
      <c r="D24" s="18" t="n">
        <f aca="false">+'[1]QTD Mgmt Summary'!K19/1000</f>
        <v>-1.885705</v>
      </c>
      <c r="E24" s="19" t="n">
        <f aca="false">+'[2]Mgmt Summary'!C19/1000</f>
        <v>-0.858501</v>
      </c>
      <c r="F24" s="19" t="n">
        <f aca="false">+'[2]Mgmt Summary'!M19/1000</f>
        <v>0.272542</v>
      </c>
      <c r="G24" s="20" t="n">
        <f aca="false">+'[2]Mgmt Summary'!E19/1000</f>
        <v>-1.700567</v>
      </c>
      <c r="H24" s="17" t="s">
        <v>45</v>
      </c>
      <c r="I24" s="18" t="n">
        <f aca="false">+'[3]Mgmt Summary'!G18/1000</f>
        <v>2.067854</v>
      </c>
      <c r="J24" s="18" t="n">
        <f aca="false">+'[3]Mgmt Summary'!M18/1000</f>
        <v>0.229674</v>
      </c>
      <c r="K24" s="18" t="n">
        <f aca="false">+'[3]Mgmt Summary'!O18/1000</f>
        <v>1.360729</v>
      </c>
      <c r="L24" s="19" t="n">
        <f aca="false">+'[4]Mgmt Summary'!C18/1000</f>
        <v>1.372499</v>
      </c>
      <c r="M24" s="19" t="n">
        <f aca="false">+'[4]Mgmt Summary'!M18/1000</f>
        <v>0.302281</v>
      </c>
      <c r="N24" s="20" t="n">
        <f aca="false">+'[3]Mgmt Summary'!E18/1000</f>
        <v>0.497153</v>
      </c>
      <c r="O24" s="21"/>
      <c r="P24" s="18" t="n">
        <f aca="false">+'[5]Mgmt Summary'!J18/1000</f>
        <v>0</v>
      </c>
      <c r="Q24" s="18" t="n">
        <f aca="false">+'[5]Mgmt Summary'!M18/1000</f>
        <v>0</v>
      </c>
      <c r="R24" s="18" t="n">
        <f aca="false">+'[5]Mgmt Summary'!O18/1000</f>
        <v>0</v>
      </c>
      <c r="S24" s="19" t="n">
        <f aca="false">+'[5]Mgmt Summary'!C18/1000</f>
        <v>0</v>
      </c>
      <c r="T24" s="19" t="n">
        <f aca="false">+[5]Expenses!E18/1000</f>
        <v>0</v>
      </c>
      <c r="U24" s="20" t="n">
        <f aca="false">+'[5]Mgmt Summary'!E18/1000</f>
        <v>0</v>
      </c>
      <c r="V24" s="21"/>
      <c r="W24" s="18"/>
      <c r="X24" s="18"/>
      <c r="Y24" s="18"/>
      <c r="Z24" s="19" t="n">
        <f aca="false">+'[7]Mgmt Summary'!C18/1000</f>
        <v>0</v>
      </c>
      <c r="AA24" s="19" t="n">
        <f aca="false">+[7]Expenses!E18/1000</f>
        <v>0</v>
      </c>
      <c r="AB24" s="20" t="n">
        <f aca="false">+'[7]Mgmt Summary'!E18/1000</f>
        <v>0</v>
      </c>
      <c r="AC24" s="21"/>
      <c r="AD24" s="18" t="n">
        <f aca="false">+B24+I24+P24+W24</f>
        <v>1.108175</v>
      </c>
      <c r="AE24" s="18" t="n">
        <f aca="false">+C24+J24+Q24+X24</f>
        <v>0.658538</v>
      </c>
      <c r="AF24" s="18" t="n">
        <f aca="false">+D24+K24+R24+Y24</f>
        <v>-0.524976</v>
      </c>
      <c r="AG24" s="19" t="n">
        <f aca="false">+E24+L24+S24+Z24</f>
        <v>0.513998</v>
      </c>
      <c r="AH24" s="19" t="n">
        <f aca="false">+F24+M24+T24+AA24</f>
        <v>0.574823</v>
      </c>
      <c r="AI24" s="20" t="n">
        <f aca="false">+G24+N24+U24+AB24</f>
        <v>-1.203414</v>
      </c>
      <c r="AK24" s="9" t="s">
        <v>32</v>
      </c>
      <c r="AL24" s="9" t="n">
        <v>7</v>
      </c>
      <c r="AM24" s="8" t="n">
        <v>6</v>
      </c>
      <c r="AN24" s="8" t="n">
        <v>8</v>
      </c>
      <c r="AO24" s="8" t="n">
        <v>6</v>
      </c>
      <c r="AP24" s="8" t="n">
        <v>20</v>
      </c>
      <c r="AQ24" s="8" t="n">
        <v>20</v>
      </c>
      <c r="AR24" s="9" t="n">
        <v>22</v>
      </c>
      <c r="AS24" s="8" t="n">
        <v>37</v>
      </c>
      <c r="AT24" s="9" t="n">
        <v>57</v>
      </c>
      <c r="AU24" s="8" t="n">
        <v>37</v>
      </c>
      <c r="AV24" s="9" t="n">
        <v>42</v>
      </c>
      <c r="AW24" s="8" t="n">
        <v>37</v>
      </c>
      <c r="AX24" s="8" t="n">
        <v>51</v>
      </c>
      <c r="AY24" s="42" t="n">
        <v>63</v>
      </c>
      <c r="AZ24" s="8" t="n">
        <v>55</v>
      </c>
      <c r="BA24" s="42" t="n">
        <v>63</v>
      </c>
      <c r="BB24" s="8" t="n">
        <v>62</v>
      </c>
      <c r="BC24" s="42" t="n">
        <v>63</v>
      </c>
      <c r="BE24" s="42" t="n">
        <v>92</v>
      </c>
      <c r="BG24" s="42" t="n">
        <v>92</v>
      </c>
      <c r="BI24" s="42" t="n">
        <v>92</v>
      </c>
    </row>
    <row r="25" customFormat="false" ht="12.75" hidden="false" customHeight="false" outlineLevel="0" collapsed="false">
      <c r="A25" s="17" t="s">
        <v>35</v>
      </c>
      <c r="B25" s="18"/>
      <c r="C25" s="18"/>
      <c r="D25" s="18"/>
      <c r="E25" s="19"/>
      <c r="F25" s="19"/>
      <c r="G25" s="20"/>
      <c r="H25" s="17" t="s">
        <v>35</v>
      </c>
      <c r="I25" s="18"/>
      <c r="J25" s="18"/>
      <c r="K25" s="18"/>
      <c r="L25" s="19"/>
      <c r="M25" s="19"/>
      <c r="N25" s="20"/>
      <c r="O25" s="21"/>
      <c r="P25" s="18" t="n">
        <f aca="false">+'[5]Mgmt Summary'!J19/1000</f>
        <v>0.000849</v>
      </c>
      <c r="Q25" s="18" t="n">
        <f aca="false">+'[5]Mgmt Summary'!M19/1000</f>
        <v>0.930877</v>
      </c>
      <c r="R25" s="18" t="n">
        <f aca="false">+'[5]Mgmt Summary'!O19/1000</f>
        <v>-2.53091</v>
      </c>
      <c r="S25" s="19" t="n">
        <f aca="false">+'[5]Mgmt Summary'!C19/1000</f>
        <v>3.75</v>
      </c>
      <c r="T25" s="19" t="n">
        <f aca="false">+[5]Expenses!E19/1000</f>
        <v>1.542486</v>
      </c>
      <c r="U25" s="20" t="n">
        <f aca="false">+'[5]Mgmt Summary'!E19/1000</f>
        <v>0.383622</v>
      </c>
      <c r="V25" s="21"/>
      <c r="W25" s="18" t="n">
        <f aca="false">+'[6]Mgmt Summary'!J19/1000</f>
        <v>0</v>
      </c>
      <c r="X25" s="18" t="n">
        <f aca="false">+'[6]Mgmt Summary'!M19/1000</f>
        <v>1.542486</v>
      </c>
      <c r="Y25" s="18" t="n">
        <f aca="false">+'[6]Mgmt Summary'!O19/1000</f>
        <v>-3.366378</v>
      </c>
      <c r="Z25" s="19" t="n">
        <f aca="false">+'[7]Mgmt Summary'!C19/1000</f>
        <v>3.75</v>
      </c>
      <c r="AA25" s="19" t="n">
        <f aca="false">+[7]Expenses!E19/1000</f>
        <v>1.542486</v>
      </c>
      <c r="AB25" s="20" t="n">
        <f aca="false">+'[7]Mgmt Summary'!E19/1000</f>
        <v>0.383622</v>
      </c>
      <c r="AC25" s="21"/>
      <c r="AD25" s="18" t="n">
        <f aca="false">+B25+I25+P25+W25</f>
        <v>0.000849</v>
      </c>
      <c r="AE25" s="18" t="n">
        <f aca="false">+C25+J25+Q25+X25</f>
        <v>2.473363</v>
      </c>
      <c r="AF25" s="18" t="n">
        <f aca="false">+D25+K25+R25+Y25</f>
        <v>-5.897288</v>
      </c>
      <c r="AG25" s="19" t="n">
        <f aca="false">+E25+L25+S25+Z25</f>
        <v>7.5</v>
      </c>
      <c r="AH25" s="19" t="n">
        <f aca="false">+F25+M25+T25+AA25</f>
        <v>3.084972</v>
      </c>
      <c r="AI25" s="20" t="n">
        <f aca="false">+G25+N25+U25+AB25</f>
        <v>0.767244</v>
      </c>
      <c r="AK25" s="9" t="s">
        <v>35</v>
      </c>
      <c r="AL25" s="9"/>
      <c r="AM25" s="8"/>
      <c r="AN25" s="8"/>
      <c r="AO25" s="8"/>
      <c r="AP25" s="8"/>
      <c r="AQ25" s="8"/>
      <c r="AR25" s="9"/>
      <c r="AS25" s="8"/>
      <c r="AT25" s="9"/>
      <c r="AU25" s="8"/>
      <c r="AW25" s="8"/>
      <c r="AX25" s="1" t="n">
        <v>19</v>
      </c>
      <c r="AY25" s="42" t="n">
        <v>24</v>
      </c>
      <c r="AZ25" s="1" t="n">
        <v>19</v>
      </c>
      <c r="BA25" s="42" t="n">
        <v>24</v>
      </c>
      <c r="BB25" s="1" t="n">
        <v>18</v>
      </c>
      <c r="BC25" s="42" t="n">
        <v>24</v>
      </c>
      <c r="BE25" s="42" t="n">
        <v>27</v>
      </c>
      <c r="BG25" s="42" t="n">
        <v>27</v>
      </c>
      <c r="BI25" s="42" t="n">
        <v>27</v>
      </c>
    </row>
    <row r="26" customFormat="false" ht="13.5" hidden="false" customHeight="false" outlineLevel="0" collapsed="false">
      <c r="A26" s="28" t="s">
        <v>37</v>
      </c>
      <c r="B26" s="18" t="n">
        <f aca="false">+('[1]QTD Mgmt Summary'!C20+'[1]QTD Mgmt Summary'!C21+'[1]QTD Mgmt Summary'!C25+'[1]QTD Mgmt Summary'!C26+'[1]QTD Mgmt Summary'!C32)/1000+'[1]QTD Mgmt Summary'!C18/1000</f>
        <v>0.215968</v>
      </c>
      <c r="C26" s="18" t="n">
        <f aca="false">(+[1]Expenses!$D$20+[1]Expenses!$D$21+[1]Expenses!$D$25)/1000+[1]Expenses!D18/1000</f>
        <v>33.163512</v>
      </c>
      <c r="D26" s="18" t="n">
        <f aca="false">(+'[1]QTD Mgmt Summary'!K20+'[1]QTD Mgmt Summary'!K21+'[1]QTD Mgmt Summary'!K25+'[1]QTD Mgmt Summary'!K26+'[1]QTD Mgmt Summary'!K27)/1000+'[1]QTD Mgmt Summary'!K18/1000</f>
        <v>-15.7017925</v>
      </c>
      <c r="E26" s="19" t="n">
        <f aca="false">+('[2]Mgmt Summary'!$C$18+'[2]Mgmt Summary'!$C$20+'[2]Mgmt Summary'!$C$21+'[2]Mgmt Summary'!$C$22+'[2]Mgmt Summary'!$C$26+'[2]Mgmt Summary'!$C$27)/1000</f>
        <v>2.523</v>
      </c>
      <c r="F26" s="19" t="n">
        <f aca="false">+('[2]Mgmt Summary'!$M$18+'[2]Mgmt Summary'!$M$20+'[2]Mgmt Summary'!$M$21+'[2]Mgmt Summary'!$M$22+'[2]Mgmt Summary'!$M$26+'[2]Mgmt Summary'!$M$27)/1000</f>
        <v>29.978773</v>
      </c>
      <c r="G26" s="20" t="n">
        <f aca="false">+('[2]Mgmt Summary'!$E$18+'[2]Mgmt Summary'!$E$20+'[2]Mgmt Summary'!$E$21+'[2]Mgmt Summary'!$E$22+'[2]Mgmt Summary'!$E$26+'[2]Mgmt Summary'!$E$27)/1000</f>
        <v>-6.109408</v>
      </c>
      <c r="H26" s="28" t="s">
        <v>38</v>
      </c>
      <c r="I26" s="18" t="n">
        <f aca="false">SUM('[3]Mgmt Summary'!$G$19:$G$22)/1000</f>
        <v>2.131763</v>
      </c>
      <c r="J26" s="18" t="n">
        <f aca="false">SUM('[3]Mgmt Summary'!$M$19:$M$22)/1000+'[3]Mgmt Summary'!$M$26/1000</f>
        <v>33.355591</v>
      </c>
      <c r="K26" s="18" t="n">
        <f aca="false">SUM('[3]Mgmt Summary'!$O$19:$O$22)/1000+'[3]Mgmt Summary'!$O$26/1000+'[3]Mgmt Summary'!$O$27/1000</f>
        <v>-13.751741</v>
      </c>
      <c r="L26" s="19" t="n">
        <f aca="false">SUM('[3]Mgmt Summary'!$C$19:$C$22)/1000</f>
        <v>6.216104</v>
      </c>
      <c r="M26" s="19" t="n">
        <f aca="false">SUM(([3]Expenses!$E$19:$E$21))/1000+[3]Expenses!$E$25/1000</f>
        <v>29.624557</v>
      </c>
      <c r="N26" s="43" t="n">
        <f aca="false">+('[3]Mgmt Summary'!E19+'[3]Mgmt Summary'!E20+'[3]Mgmt Summary'!E21+'[3]Mgmt Summary'!E22+'[3]Mgmt Summary'!E26+'[3]Mgmt Summary'!E27)/1000</f>
        <v>-1.91598299999999</v>
      </c>
      <c r="O26" s="21"/>
      <c r="P26" s="18" t="n">
        <f aca="false">SUM('[5]Mgmt Summary'!$J$20:$J$23)/1000</f>
        <v>2.725194</v>
      </c>
      <c r="Q26" s="18" t="n">
        <f aca="false">SUM('[5]Mgmt Summary'!M20:M23)/1000+'[5]Mgmt Summary'!$M$27/1000+'[5]Mgmt Summary'!$M$28/1000</f>
        <v>30.564895</v>
      </c>
      <c r="R26" s="18" t="n">
        <f aca="false">SUM('[5]Mgmt Summary'!O20:O23)/1000+'[5]Mgmt Summary'!$O$27/1000+'[5]Mgmt Summary'!$O$28/1000+'[5]Mgmt Summary'!$O$29/1000</f>
        <v>-7.771212</v>
      </c>
      <c r="S26" s="19" t="n">
        <f aca="false">+SUM(('[5]Mgmt Summary'!C20:C23))/1000</f>
        <v>7.203701</v>
      </c>
      <c r="T26" s="19" t="n">
        <f aca="false">+SUM(([5]Expenses!E20:E22))/1000+[5]Expenses!$E$27/1000</f>
        <v>31.272688</v>
      </c>
      <c r="U26" s="43" t="n">
        <f aca="false">+SUM(('[5]Mgmt Summary'!E20:E23))/1000+'[5]Mgmt Summary'!$E$27/1000+'[5]Mgmt Summary'!$E$28/1000+'[5]Mgmt Summary'!$E$29/1000</f>
        <v>-1.120917</v>
      </c>
      <c r="V26" s="21"/>
      <c r="W26" s="18" t="n">
        <f aca="false">SUM('[6]Mgmt Summary'!$J$20:$J$24)/1000</f>
        <v>-30</v>
      </c>
      <c r="X26" s="18" t="n">
        <f aca="false">SUM('[6]Mgmt Summary'!$M$20:$M$24)/1000+'[6]Mgmt Summary'!$M$28/1000</f>
        <v>44.013506</v>
      </c>
      <c r="Y26" s="18" t="n">
        <f aca="false">SUM('[6]Mgmt Summary'!$O$20:$O$24)/1000+'[6]Mgmt Summary'!$O$28/1000+'[6]Mgmt Summary'!$O$29/1000</f>
        <v>-51.365254</v>
      </c>
      <c r="Z26" s="19" t="n">
        <f aca="false">('[7]Mgmt Summary'!C20+'[7]Mgmt Summary'!C21+'[7]Mgmt Summary'!C22+'[7]Mgmt Summary'!C23)/1000</f>
        <v>3.333392</v>
      </c>
      <c r="AA26" s="19" t="n">
        <f aca="false">+([7]Expenses!$E$20+[7]Expenses!$E$21+[7]Expenses!$E$22+[7]Expenses!$E$26)/1000</f>
        <v>44.013506</v>
      </c>
      <c r="AB26" s="43" t="n">
        <f aca="false">+('[7]Mgmt Summary'!$E$20+'[7]Mgmt Summary'!$E$21+'[7]Mgmt Summary'!$E$22+'[7]Mgmt Summary'!$E$23+'[7]Mgmt Summary'!$E$27+'[7]Mgmt Summary'!$E$28)/1000</f>
        <v>-18.031862</v>
      </c>
      <c r="AC26" s="21"/>
      <c r="AD26" s="18" t="n">
        <f aca="false">+B26+I26+P26+W26</f>
        <v>-24.927075</v>
      </c>
      <c r="AE26" s="18" t="n">
        <f aca="false">+C26+J26+Q26+X26</f>
        <v>141.097504</v>
      </c>
      <c r="AF26" s="18" t="n">
        <f aca="false">+D26+K26+R26+Y26</f>
        <v>-88.5899995</v>
      </c>
      <c r="AG26" s="19" t="n">
        <f aca="false">+E26+L26+S26+Z26</f>
        <v>19.276197</v>
      </c>
      <c r="AH26" s="19" t="n">
        <f aca="false">+F26+M26+T26+AA26</f>
        <v>134.889524</v>
      </c>
      <c r="AI26" s="20" t="n">
        <f aca="false">+G26+N26+U26+AB26</f>
        <v>-27.17817</v>
      </c>
      <c r="AK26" s="9" t="s">
        <v>44</v>
      </c>
      <c r="AL26" s="9" t="n">
        <v>33</v>
      </c>
      <c r="AM26" s="8" t="n">
        <v>44</v>
      </c>
      <c r="AN26" s="8" t="n">
        <v>32</v>
      </c>
      <c r="AO26" s="8" t="n">
        <v>44</v>
      </c>
      <c r="AP26" s="8" t="n">
        <v>33.5</v>
      </c>
      <c r="AQ26" s="8" t="n">
        <v>44</v>
      </c>
      <c r="AR26" s="9" t="n">
        <v>34.5</v>
      </c>
      <c r="AS26" s="8" t="n">
        <v>44</v>
      </c>
      <c r="AT26" s="9" t="n">
        <v>37</v>
      </c>
      <c r="AU26" s="8" t="n">
        <v>44</v>
      </c>
      <c r="AV26" s="8" t="n">
        <v>33</v>
      </c>
      <c r="AW26" s="8" t="n">
        <v>44</v>
      </c>
      <c r="AX26" s="8" t="n">
        <f aca="false">33+2</f>
        <v>35</v>
      </c>
      <c r="AY26" s="42" t="n">
        <v>44</v>
      </c>
      <c r="AZ26" s="8" t="n">
        <v>36</v>
      </c>
      <c r="BA26" s="42" t="n">
        <v>44</v>
      </c>
      <c r="BB26" s="8" t="n">
        <v>34</v>
      </c>
      <c r="BC26" s="42" t="n">
        <v>44</v>
      </c>
      <c r="BE26" s="42" t="n">
        <v>44</v>
      </c>
      <c r="BG26" s="42" t="n">
        <v>44</v>
      </c>
      <c r="BI26" s="42" t="n">
        <v>44</v>
      </c>
    </row>
    <row r="27" customFormat="false" ht="13.5" hidden="false" customHeight="false" outlineLevel="0" collapsed="false">
      <c r="A27" s="17" t="s">
        <v>39</v>
      </c>
      <c r="B27" s="29" t="n">
        <f aca="false">SUM(B16:B26)</f>
        <v>100.66806961</v>
      </c>
      <c r="C27" s="30" t="n">
        <f aca="false">SUM(C16:C26)</f>
        <v>54.071289</v>
      </c>
      <c r="D27" s="30" t="n">
        <f aca="false">SUM(D16:D26)</f>
        <v>46.31566261</v>
      </c>
      <c r="E27" s="31" t="n">
        <f aca="false">SUM(E16:E26)</f>
        <v>97.29875</v>
      </c>
      <c r="F27" s="31" t="n">
        <f aca="false">SUM(F16:F26)</f>
        <v>52.31021</v>
      </c>
      <c r="G27" s="32" t="n">
        <f aca="false">SUM(G16:G26)</f>
        <v>44.98854</v>
      </c>
      <c r="H27" s="17" t="s">
        <v>39</v>
      </c>
      <c r="I27" s="29" t="n">
        <f aca="false">SUM(I16:I26)</f>
        <v>94.20920152</v>
      </c>
      <c r="J27" s="29" t="n">
        <f aca="false">SUM(J16:J26)</f>
        <v>59.979376</v>
      </c>
      <c r="K27" s="29" t="n">
        <f aca="false">SUM(K16:K26)</f>
        <v>34.12996452</v>
      </c>
      <c r="L27" s="33" t="n">
        <f aca="false">SUM(L16:L26)</f>
        <v>111.603422</v>
      </c>
      <c r="M27" s="31" t="n">
        <f aca="false">SUM(M16:M26)</f>
        <v>55.578955</v>
      </c>
      <c r="N27" s="32" t="n">
        <f aca="false">SUM(N16:N26)</f>
        <v>56.023991</v>
      </c>
      <c r="O27" s="34"/>
      <c r="P27" s="29" t="n">
        <f aca="false">SUM(P16:P26)</f>
        <v>82.53948</v>
      </c>
      <c r="Q27" s="30" t="n">
        <f aca="false">SUM(Q16:Q26)</f>
        <v>62.144434</v>
      </c>
      <c r="R27" s="30" t="n">
        <f aca="false">SUM(R16:R26)</f>
        <v>20.395046</v>
      </c>
      <c r="S27" s="33" t="n">
        <f aca="false">SUM(S16:S26)</f>
        <v>123.813053</v>
      </c>
      <c r="T27" s="31" t="n">
        <f aca="false">SUM(T16:T26)</f>
        <v>58.601922</v>
      </c>
      <c r="U27" s="32" t="n">
        <f aca="false">SUM(U16:U26)</f>
        <v>65.211131</v>
      </c>
      <c r="V27" s="34"/>
      <c r="W27" s="29" t="n">
        <f aca="false">SUM(W16:W26)</f>
        <v>-30.292031</v>
      </c>
      <c r="X27" s="30" t="n">
        <f aca="false">SUM(X16:X26)</f>
        <v>74.736562</v>
      </c>
      <c r="Y27" s="30" t="n">
        <f aca="false">SUM(Y16:Y26)</f>
        <v>-105.028593</v>
      </c>
      <c r="Z27" s="33" t="n">
        <f aca="false">SUM(Z16:Z26)</f>
        <v>175.311472</v>
      </c>
      <c r="AA27" s="31" t="n">
        <f aca="false">SUM(AA16:AA26)</f>
        <v>72.596562</v>
      </c>
      <c r="AB27" s="32" t="n">
        <f aca="false">SUM(AB16:AB26)</f>
        <v>102.71491</v>
      </c>
      <c r="AC27" s="21"/>
      <c r="AD27" s="29" t="n">
        <f aca="false">SUM(AD16:AD26)</f>
        <v>247.12472013</v>
      </c>
      <c r="AE27" s="30" t="n">
        <f aca="false">SUM(AE16:AE26)</f>
        <v>250.931661</v>
      </c>
      <c r="AF27" s="30" t="n">
        <f aca="false">SUM(AF16:AF26)</f>
        <v>-4.18791986999999</v>
      </c>
      <c r="AG27" s="33" t="n">
        <f aca="false">SUM(AG16:AG26)</f>
        <v>508.026697</v>
      </c>
      <c r="AH27" s="31" t="n">
        <f aca="false">SUM(AH16:AH26)</f>
        <v>239.087649</v>
      </c>
      <c r="AI27" s="32" t="n">
        <f aca="false">SUM(AI16:AI26)</f>
        <v>268.938572</v>
      </c>
      <c r="AK27" s="9" t="s">
        <v>45</v>
      </c>
      <c r="AL27" s="9" t="n">
        <v>5</v>
      </c>
      <c r="AM27" s="8" t="n">
        <v>6</v>
      </c>
      <c r="AN27" s="8" t="n">
        <v>5</v>
      </c>
      <c r="AO27" s="8" t="n">
        <v>6</v>
      </c>
      <c r="AP27" s="8" t="n">
        <v>5</v>
      </c>
      <c r="AQ27" s="8" t="n">
        <v>7</v>
      </c>
      <c r="AR27" s="9" t="n">
        <v>5</v>
      </c>
      <c r="AS27" s="8" t="n">
        <v>7</v>
      </c>
      <c r="AT27" s="9" t="n">
        <v>4</v>
      </c>
      <c r="AU27" s="8" t="n">
        <v>7</v>
      </c>
      <c r="AV27" s="8" t="n">
        <v>4</v>
      </c>
      <c r="AW27" s="8" t="n">
        <v>9</v>
      </c>
      <c r="AX27" s="8" t="n">
        <v>0</v>
      </c>
      <c r="AY27" s="42"/>
      <c r="BA27" s="42"/>
      <c r="BC27" s="42"/>
      <c r="BE27" s="42"/>
      <c r="BG27" s="42"/>
      <c r="BI27" s="42"/>
    </row>
    <row r="28" customFormat="false" ht="12.75" hidden="false" customHeight="false" outlineLevel="0" collapsed="false">
      <c r="A28" s="9"/>
      <c r="B28" s="34"/>
      <c r="C28" s="34"/>
      <c r="D28" s="34"/>
      <c r="E28" s="34"/>
      <c r="F28" s="34"/>
      <c r="G28" s="34"/>
      <c r="H28" s="9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21"/>
      <c r="AD28" s="34"/>
      <c r="AE28" s="34"/>
      <c r="AF28" s="34"/>
      <c r="AG28" s="34"/>
      <c r="AH28" s="34"/>
      <c r="AI28" s="34"/>
      <c r="AK28" s="9" t="s">
        <v>46</v>
      </c>
      <c r="AL28" s="9" t="n">
        <v>20</v>
      </c>
      <c r="AM28" s="8" t="n">
        <v>22</v>
      </c>
      <c r="AN28" s="9" t="n">
        <v>19</v>
      </c>
      <c r="AO28" s="8" t="n">
        <v>22</v>
      </c>
      <c r="AP28" s="9" t="n">
        <v>19</v>
      </c>
      <c r="AQ28" s="8" t="n">
        <v>22</v>
      </c>
      <c r="AR28" s="9" t="n">
        <v>0</v>
      </c>
      <c r="AS28" s="8" t="n">
        <v>0</v>
      </c>
      <c r="AT28" s="9" t="n">
        <v>0</v>
      </c>
      <c r="AU28" s="8" t="n">
        <v>0</v>
      </c>
      <c r="AW28" s="8" t="n">
        <v>0</v>
      </c>
      <c r="AX28" s="8" t="n">
        <v>0</v>
      </c>
      <c r="AY28" s="42" t="n">
        <v>0</v>
      </c>
      <c r="BA28" s="42" t="n">
        <v>0</v>
      </c>
      <c r="BC28" s="42" t="n">
        <v>0</v>
      </c>
      <c r="BE28" s="42" t="n">
        <v>0</v>
      </c>
      <c r="BG28" s="42" t="n">
        <v>0</v>
      </c>
      <c r="BI28" s="42" t="n">
        <v>0</v>
      </c>
    </row>
    <row r="29" customFormat="false" ht="12.75" hidden="false" customHeight="false" outlineLevel="0" collapsed="false">
      <c r="A29" s="9"/>
      <c r="B29" s="34"/>
      <c r="C29" s="34"/>
      <c r="D29" s="34"/>
      <c r="E29" s="34"/>
      <c r="F29" s="34"/>
      <c r="G29" s="34"/>
      <c r="H29" s="9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K29" s="9" t="s">
        <v>33</v>
      </c>
      <c r="AL29" s="8" t="n">
        <v>40</v>
      </c>
      <c r="AM29" s="8" t="n">
        <v>54</v>
      </c>
      <c r="AN29" s="8" t="n">
        <v>42</v>
      </c>
      <c r="AO29" s="8" t="n">
        <v>54</v>
      </c>
      <c r="AP29" s="8" t="n">
        <v>41</v>
      </c>
      <c r="AQ29" s="8" t="n">
        <v>54</v>
      </c>
      <c r="AR29" s="9" t="n">
        <v>41</v>
      </c>
      <c r="AS29" s="8" t="n">
        <v>54</v>
      </c>
      <c r="AT29" s="9" t="n">
        <v>46</v>
      </c>
      <c r="AU29" s="8" t="n">
        <v>54</v>
      </c>
      <c r="AV29" s="9" t="n">
        <v>48</v>
      </c>
      <c r="AW29" s="8" t="n">
        <v>54</v>
      </c>
      <c r="AX29" s="2" t="n">
        <f aca="false">11+1+20+7+5+2</f>
        <v>46</v>
      </c>
      <c r="AY29" s="42" t="n">
        <v>54</v>
      </c>
      <c r="AZ29" s="2" t="n">
        <f aca="false">6+2+21+7+5</f>
        <v>41</v>
      </c>
      <c r="BA29" s="42" t="n">
        <v>54</v>
      </c>
      <c r="BB29" s="2" t="n">
        <f aca="false">3+2+21+7+5</f>
        <v>38</v>
      </c>
      <c r="BC29" s="42" t="n">
        <v>54</v>
      </c>
      <c r="BD29" s="2"/>
      <c r="BE29" s="42" t="n">
        <v>54</v>
      </c>
      <c r="BF29" s="2"/>
      <c r="BG29" s="42" t="n">
        <v>54</v>
      </c>
      <c r="BH29" s="2"/>
      <c r="BI29" s="42" t="n">
        <v>54</v>
      </c>
    </row>
    <row r="30" customFormat="false" ht="12.75" hidden="false" customHeight="false" outlineLevel="0" collapsed="false">
      <c r="A30" s="9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K30" s="9" t="s">
        <v>40</v>
      </c>
      <c r="AL30" s="8" t="n">
        <f aca="false">5+7+208</f>
        <v>220</v>
      </c>
      <c r="AM30" s="9" t="n">
        <f aca="false">5+8+217</f>
        <v>230</v>
      </c>
      <c r="AN30" s="8" t="n">
        <f aca="false">5+7+221</f>
        <v>233</v>
      </c>
      <c r="AO30" s="9" t="n">
        <f aca="false">8+5+215</f>
        <v>228</v>
      </c>
      <c r="AP30" s="8" t="n">
        <f aca="false">7+5+216</f>
        <v>228</v>
      </c>
      <c r="AQ30" s="9" t="n">
        <f aca="false">8+5+215</f>
        <v>228</v>
      </c>
      <c r="AR30" s="1" t="n">
        <f aca="false">130+5+10</f>
        <v>145</v>
      </c>
      <c r="AS30" s="9" t="n">
        <f aca="false">106</f>
        <v>106</v>
      </c>
      <c r="AT30" s="1" t="n">
        <v>158</v>
      </c>
      <c r="AU30" s="9" t="n">
        <f aca="false">105+8+5</f>
        <v>118</v>
      </c>
      <c r="AV30" s="1" t="n">
        <f aca="false">108+5+10+28</f>
        <v>151</v>
      </c>
      <c r="AW30" s="9" t="n">
        <f aca="false">107+5+8</f>
        <v>120</v>
      </c>
      <c r="AX30" s="1" t="n">
        <f aca="false">11+6+94+32+1</f>
        <v>144</v>
      </c>
      <c r="AY30" s="9" t="n">
        <f aca="false">107+5+8</f>
        <v>120</v>
      </c>
      <c r="AZ30" s="1" t="n">
        <f aca="false">31+11+4+95</f>
        <v>141</v>
      </c>
      <c r="BA30" s="9" t="n">
        <f aca="false">107+5+8</f>
        <v>120</v>
      </c>
      <c r="BB30" s="1" t="n">
        <f aca="false">11+28+4+95</f>
        <v>138</v>
      </c>
      <c r="BC30" s="9" t="n">
        <f aca="false">105+5+8</f>
        <v>118</v>
      </c>
      <c r="BE30" s="9" t="n">
        <f aca="false">105+5+8</f>
        <v>118</v>
      </c>
      <c r="BG30" s="9" t="n">
        <f aca="false">105+5+8</f>
        <v>118</v>
      </c>
      <c r="BI30" s="9" t="n">
        <f aca="false">105+5+8</f>
        <v>118</v>
      </c>
      <c r="BJ30" s="2"/>
      <c r="BK30" s="2"/>
      <c r="BL30" s="2"/>
      <c r="BM30" s="2"/>
    </row>
    <row r="31" customFormat="false" ht="12.75" hidden="false" customHeight="false" outlineLevel="0" collapsed="false">
      <c r="A31" s="44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K31" s="7" t="s">
        <v>41</v>
      </c>
      <c r="AL31" s="7" t="n">
        <f aca="false">SUM(AL19:AL30)</f>
        <v>545</v>
      </c>
      <c r="AM31" s="37" t="n">
        <f aca="false">SUM(AM19:AM30)</f>
        <v>622</v>
      </c>
      <c r="AN31" s="37" t="n">
        <f aca="false">SUM(AN19:AN30)</f>
        <v>551</v>
      </c>
      <c r="AO31" s="37" t="n">
        <f aca="false">SUM(AO19:AO30)</f>
        <v>620</v>
      </c>
      <c r="AP31" s="37" t="n">
        <f aca="false">SUM(AP19:AP30)</f>
        <v>562</v>
      </c>
      <c r="AQ31" s="37" t="n">
        <f aca="false">SUM(AQ19:AQ30)</f>
        <v>635</v>
      </c>
      <c r="AR31" s="37" t="n">
        <f aca="false">SUM(AR19:AR30)</f>
        <v>464</v>
      </c>
      <c r="AS31" s="37" t="n">
        <f aca="false">SUM(AS19:AS30)</f>
        <v>513</v>
      </c>
      <c r="AT31" s="37" t="n">
        <f aca="false">SUM(AT19:AT30)</f>
        <v>523</v>
      </c>
      <c r="AU31" s="37" t="n">
        <f aca="false">SUM(AU19:AU30)</f>
        <v>524</v>
      </c>
      <c r="AV31" s="37" t="n">
        <f aca="false">SUM(AV19:AV30)</f>
        <v>497</v>
      </c>
      <c r="AW31" s="37" t="n">
        <f aca="false">SUM(AW19:AW30)</f>
        <v>533</v>
      </c>
      <c r="AX31" s="37" t="n">
        <f aca="false">SUM(AX19:AX30)</f>
        <v>541</v>
      </c>
      <c r="AY31" s="37" t="n">
        <f aca="false">SUM(AY19:AY30)</f>
        <v>578</v>
      </c>
      <c r="AZ31" s="37" t="n">
        <f aca="false">SUM(AZ19:AZ30)</f>
        <v>553</v>
      </c>
      <c r="BA31" s="37" t="n">
        <f aca="false">SUM(BA19:BA30)</f>
        <v>580</v>
      </c>
      <c r="BB31" s="37" t="n">
        <f aca="false">SUM(BB19:BB30)</f>
        <v>557</v>
      </c>
      <c r="BC31" s="37" t="n">
        <f aca="false">SUM(BC19:BC30)</f>
        <v>578</v>
      </c>
      <c r="BE31" s="37" t="n">
        <f aca="false">SUM(BE19:BE30)</f>
        <v>610</v>
      </c>
      <c r="BG31" s="37" t="n">
        <f aca="false">SUM(BG19:BG30)</f>
        <v>610</v>
      </c>
      <c r="BI31" s="37" t="n">
        <f aca="false">SUM(BI19:BI30)</f>
        <v>610</v>
      </c>
      <c r="BJ31" s="2"/>
      <c r="BK31" s="2"/>
      <c r="BL31" s="2"/>
      <c r="BM31" s="2"/>
    </row>
    <row r="32" customFormat="false" ht="13.5" hidden="false" customHeight="false" outlineLevel="0" collapsed="false">
      <c r="A32" s="9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45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N32" s="2"/>
      <c r="AP32" s="2"/>
      <c r="AQ32" s="9"/>
      <c r="AR32" s="7"/>
      <c r="AS32" s="7"/>
      <c r="AT32" s="7"/>
      <c r="AU32" s="7"/>
      <c r="AV32" s="7"/>
      <c r="AW32" s="7"/>
      <c r="AX32" s="46"/>
      <c r="AY32" s="7"/>
      <c r="BA32" s="7"/>
      <c r="BC32" s="7"/>
      <c r="BJ32" s="2"/>
      <c r="BK32" s="2"/>
      <c r="BL32" s="2"/>
      <c r="BM32" s="2"/>
    </row>
    <row r="33" customFormat="false" ht="12.75" hidden="false" customHeight="false" outlineLevel="0" collapsed="false">
      <c r="A33" s="47"/>
      <c r="B33" s="48" t="s">
        <v>47</v>
      </c>
      <c r="C33" s="49" t="s">
        <v>47</v>
      </c>
      <c r="D33" s="49" t="s">
        <v>47</v>
      </c>
      <c r="E33" s="50" t="s">
        <v>47</v>
      </c>
      <c r="F33" s="51"/>
      <c r="G33" s="51"/>
      <c r="H33" s="47"/>
      <c r="I33" s="48" t="s">
        <v>48</v>
      </c>
      <c r="J33" s="49" t="s">
        <v>48</v>
      </c>
      <c r="K33" s="49" t="s">
        <v>48</v>
      </c>
      <c r="L33" s="50" t="s">
        <v>48</v>
      </c>
      <c r="N33" s="52"/>
      <c r="AK33" s="53"/>
      <c r="AL33" s="7"/>
      <c r="AM33" s="7"/>
      <c r="AR33" s="51"/>
    </row>
    <row r="34" customFormat="false" ht="13.5" hidden="false" customHeight="false" outlineLevel="0" collapsed="false">
      <c r="A34" s="54" t="s">
        <v>49</v>
      </c>
      <c r="B34" s="55" t="s">
        <v>0</v>
      </c>
      <c r="C34" s="56" t="s">
        <v>50</v>
      </c>
      <c r="D34" s="56" t="s">
        <v>51</v>
      </c>
      <c r="E34" s="57" t="s">
        <v>52</v>
      </c>
      <c r="F34" s="51"/>
      <c r="G34" s="51"/>
      <c r="H34" s="54" t="s">
        <v>49</v>
      </c>
      <c r="I34" s="55" t="s">
        <v>0</v>
      </c>
      <c r="J34" s="56" t="s">
        <v>50</v>
      </c>
      <c r="K34" s="56" t="s">
        <v>51</v>
      </c>
      <c r="L34" s="57" t="s">
        <v>52</v>
      </c>
      <c r="M34" s="51"/>
      <c r="N34" s="52"/>
      <c r="AR34" s="58"/>
      <c r="AT34" s="0"/>
      <c r="AU34" s="8"/>
      <c r="AW34" s="8"/>
      <c r="AX34" s="27"/>
      <c r="AY34" s="8"/>
      <c r="AZ34" s="8"/>
      <c r="BA34" s="8"/>
      <c r="BB34" s="27"/>
      <c r="BC34" s="8"/>
      <c r="BD34" s="8"/>
      <c r="BE34" s="8"/>
      <c r="BF34" s="27"/>
      <c r="BG34" s="8"/>
      <c r="BH34" s="8"/>
      <c r="BI34" s="8"/>
      <c r="BJ34" s="1" t="s">
        <v>53</v>
      </c>
    </row>
    <row r="35" customFormat="false" ht="12.75" hidden="false" customHeight="false" outlineLevel="0" collapsed="false">
      <c r="A35" s="59" t="s">
        <v>13</v>
      </c>
      <c r="B35" s="60" t="n">
        <f aca="false">+B3</f>
        <v>61.971161</v>
      </c>
      <c r="C35" s="60" t="n">
        <f aca="false">+B35+I3</f>
        <v>94.767986</v>
      </c>
      <c r="D35" s="60" t="n">
        <f aca="false">+C35+P3</f>
        <v>123.632197</v>
      </c>
      <c r="E35" s="61" t="n">
        <f aca="false">+D35+W3</f>
        <v>115.906197</v>
      </c>
      <c r="H35" s="59" t="s">
        <v>13</v>
      </c>
      <c r="I35" s="62" t="n">
        <f aca="false">+E3</f>
        <v>40</v>
      </c>
      <c r="J35" s="60" t="n">
        <f aca="false">+I35+L3</f>
        <v>72.5</v>
      </c>
      <c r="K35" s="60" t="n">
        <f aca="false">+J35+S3</f>
        <v>105</v>
      </c>
      <c r="L35" s="61" t="n">
        <f aca="false">+K35+Z3</f>
        <v>150</v>
      </c>
      <c r="N35" s="52"/>
      <c r="AR35" s="58"/>
      <c r="AT35" s="8"/>
      <c r="AU35" s="8"/>
      <c r="AV35" s="8"/>
      <c r="AW35" s="8"/>
      <c r="AX35" s="8"/>
      <c r="AY35" s="8"/>
      <c r="AZ35" s="8"/>
      <c r="BA35" s="8"/>
      <c r="BB35" s="8"/>
      <c r="BC35" s="8" t="n">
        <v>63</v>
      </c>
      <c r="BD35" s="8"/>
      <c r="BE35" s="8" t="n">
        <v>65</v>
      </c>
      <c r="BF35" s="8"/>
      <c r="BG35" s="8" t="n">
        <v>67</v>
      </c>
      <c r="BH35" s="8"/>
      <c r="BI35" s="8" t="n">
        <v>69</v>
      </c>
      <c r="BJ35" s="9" t="s">
        <v>32</v>
      </c>
    </row>
    <row r="36" customFormat="false" ht="12.75" hidden="false" customHeight="false" outlineLevel="0" collapsed="false">
      <c r="A36" s="63" t="s">
        <v>26</v>
      </c>
      <c r="B36" s="64" t="n">
        <f aca="false">+B4</f>
        <v>14.04090233</v>
      </c>
      <c r="C36" s="64" t="n">
        <f aca="false">+B36+I4</f>
        <v>40.25542585</v>
      </c>
      <c r="D36" s="64" t="n">
        <f aca="false">+C36+P4</f>
        <v>72.71947285</v>
      </c>
      <c r="E36" s="65" t="n">
        <f aca="false">+D36+W4</f>
        <v>73.83971885</v>
      </c>
      <c r="H36" s="63" t="s">
        <v>26</v>
      </c>
      <c r="I36" s="66" t="n">
        <f aca="false">+E4</f>
        <v>18.75</v>
      </c>
      <c r="J36" s="64" t="n">
        <f aca="false">+I36+L4</f>
        <v>37.5</v>
      </c>
      <c r="K36" s="64" t="n">
        <f aca="false">+J36+S4</f>
        <v>56.25</v>
      </c>
      <c r="L36" s="65" t="n">
        <f aca="false">+K36+Z4</f>
        <v>75</v>
      </c>
      <c r="N36" s="52"/>
      <c r="AU36" s="8" t="s">
        <v>54</v>
      </c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customFormat="false" ht="12.75" hidden="false" customHeight="false" outlineLevel="0" collapsed="false">
      <c r="A37" s="63" t="s">
        <v>27</v>
      </c>
      <c r="B37" s="64" t="n">
        <f aca="false">+B5</f>
        <v>8.725</v>
      </c>
      <c r="C37" s="64" t="n">
        <f aca="false">+B37+I5</f>
        <v>17.583</v>
      </c>
      <c r="D37" s="64" t="n">
        <f aca="false">+C37+P5</f>
        <v>26.509</v>
      </c>
      <c r="E37" s="65" t="n">
        <f aca="false">+D37+W5</f>
        <v>27.94</v>
      </c>
      <c r="H37" s="63" t="s">
        <v>27</v>
      </c>
      <c r="I37" s="66" t="n">
        <f aca="false">+E5</f>
        <v>8.509251</v>
      </c>
      <c r="J37" s="64" t="n">
        <f aca="false">+I37+L5</f>
        <v>15.58807</v>
      </c>
      <c r="K37" s="64" t="n">
        <f aca="false">+J37+S5</f>
        <v>24.247422</v>
      </c>
      <c r="L37" s="65" t="n">
        <f aca="false">+K37+Z5</f>
        <v>33.000002</v>
      </c>
      <c r="N37" s="52"/>
      <c r="AU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customFormat="false" ht="12.75" hidden="false" customHeight="false" outlineLevel="0" collapsed="false">
      <c r="A38" s="63" t="s">
        <v>29</v>
      </c>
      <c r="B38" s="64" t="n">
        <f aca="false">+B6</f>
        <v>1.67201528</v>
      </c>
      <c r="C38" s="64" t="n">
        <f aca="false">+B38+I6</f>
        <v>4.22258428</v>
      </c>
      <c r="D38" s="64" t="n">
        <f aca="false">+C38+P6</f>
        <v>5.21947028</v>
      </c>
      <c r="E38" s="65" t="n">
        <f aca="false">+D38+W6</f>
        <v>5.26551028</v>
      </c>
      <c r="H38" s="63" t="s">
        <v>29</v>
      </c>
      <c r="I38" s="66" t="n">
        <f aca="false">+E6</f>
        <v>4.875</v>
      </c>
      <c r="J38" s="64" t="n">
        <f aca="false">+I38+L6</f>
        <v>16.75</v>
      </c>
      <c r="K38" s="64" t="n">
        <f aca="false">+J38+S6</f>
        <v>28.625</v>
      </c>
      <c r="L38" s="65" t="n">
        <f aca="false">+K38+Z6</f>
        <v>37.5</v>
      </c>
      <c r="N38" s="52"/>
      <c r="AU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customFormat="false" ht="12.75" hidden="false" customHeight="false" outlineLevel="0" collapsed="false">
      <c r="A39" s="63" t="s">
        <v>30</v>
      </c>
      <c r="B39" s="64" t="n">
        <f aca="false">+B7</f>
        <v>13.281757</v>
      </c>
      <c r="C39" s="64" t="n">
        <f aca="false">+B39+I7</f>
        <v>30.457757</v>
      </c>
      <c r="D39" s="64" t="n">
        <f aca="false">+C39+P7</f>
        <v>36.179207</v>
      </c>
      <c r="E39" s="65" t="n">
        <f aca="false">+D39+W7</f>
        <v>40.678207</v>
      </c>
      <c r="H39" s="63" t="s">
        <v>30</v>
      </c>
      <c r="I39" s="66" t="n">
        <f aca="false">+E7</f>
        <v>20</v>
      </c>
      <c r="J39" s="64" t="n">
        <f aca="false">+I39+L7</f>
        <v>47.5</v>
      </c>
      <c r="K39" s="64" t="n">
        <f aca="false">+J39+S7</f>
        <v>74.87</v>
      </c>
      <c r="L39" s="65" t="n">
        <f aca="false">+K39+Z7</f>
        <v>104.415</v>
      </c>
      <c r="N39" s="52"/>
      <c r="AU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</row>
    <row r="40" customFormat="false" ht="12.75" hidden="false" customHeight="false" outlineLevel="0" collapsed="false">
      <c r="A40" s="63" t="s">
        <v>32</v>
      </c>
      <c r="B40" s="64" t="n">
        <f aca="false">+B8</f>
        <v>0.040954</v>
      </c>
      <c r="C40" s="64" t="n">
        <f aca="false">+B40+I8</f>
        <v>1.689406</v>
      </c>
      <c r="D40" s="64" t="n">
        <f aca="false">+C40+P8</f>
        <v>2.955896</v>
      </c>
      <c r="E40" s="65" t="n">
        <f aca="false">+D40+W8</f>
        <v>2.917579</v>
      </c>
      <c r="H40" s="63" t="s">
        <v>32</v>
      </c>
      <c r="I40" s="66" t="n">
        <f aca="false">+E8</f>
        <v>0.5</v>
      </c>
      <c r="J40" s="64" t="n">
        <f aca="false">+I40+L8</f>
        <v>1.811</v>
      </c>
      <c r="K40" s="64" t="n">
        <f aca="false">+J40+S8</f>
        <v>7.516</v>
      </c>
      <c r="L40" s="65" t="n">
        <f aca="false">+K40+Z8</f>
        <v>20.8215</v>
      </c>
      <c r="N40" s="52"/>
      <c r="AU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</row>
    <row r="41" customFormat="false" ht="12.75" hidden="false" customHeight="false" outlineLevel="0" collapsed="false">
      <c r="A41" s="63" t="s">
        <v>34</v>
      </c>
      <c r="B41" s="64" t="n">
        <f aca="false">+B9</f>
        <v>0.720312</v>
      </c>
      <c r="C41" s="64" t="n">
        <f aca="false">+B41+I9</f>
        <v>3.553381</v>
      </c>
      <c r="D41" s="64" t="n">
        <f aca="false">+C41+P9</f>
        <v>5.127734</v>
      </c>
      <c r="E41" s="65" t="n">
        <f aca="false">+D41+W9</f>
        <v>5.503734</v>
      </c>
      <c r="H41" s="63" t="s">
        <v>34</v>
      </c>
      <c r="I41" s="66" t="n">
        <f aca="false">+E9</f>
        <v>2.141499</v>
      </c>
      <c r="J41" s="64" t="n">
        <f aca="false">+I41+L9</f>
        <v>8.513998</v>
      </c>
      <c r="K41" s="64" t="n">
        <f aca="false">+J41+S9</f>
        <v>16.513998</v>
      </c>
      <c r="L41" s="65" t="n">
        <f aca="false">+K41+Z9</f>
        <v>60.513998</v>
      </c>
      <c r="N41" s="52"/>
      <c r="AU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customFormat="false" ht="12.75" hidden="false" customHeight="false" outlineLevel="0" collapsed="false">
      <c r="A42" s="63" t="s">
        <v>35</v>
      </c>
      <c r="B42" s="64" t="n">
        <f aca="false">+B10</f>
        <v>0</v>
      </c>
      <c r="C42" s="64" t="n">
        <f aca="false">+B42+I10</f>
        <v>0</v>
      </c>
      <c r="D42" s="64" t="n">
        <f aca="false">+C42+P10</f>
        <v>0.000849</v>
      </c>
      <c r="E42" s="65" t="n">
        <f aca="false">+D42+W10</f>
        <v>0.000849</v>
      </c>
      <c r="H42" s="63" t="s">
        <v>35</v>
      </c>
      <c r="I42" s="66" t="n">
        <f aca="false">+E10</f>
        <v>0</v>
      </c>
      <c r="J42" s="64" t="n">
        <f aca="false">+I42+L10</f>
        <v>0</v>
      </c>
      <c r="K42" s="64" t="n">
        <f aca="false">+J42+S10</f>
        <v>3.75</v>
      </c>
      <c r="L42" s="65" t="n">
        <f aca="false">+K42+Z10</f>
        <v>7.5</v>
      </c>
      <c r="N42" s="52"/>
      <c r="AU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</row>
    <row r="43" customFormat="false" ht="13.5" hidden="false" customHeight="false" outlineLevel="0" collapsed="false">
      <c r="A43" s="67" t="s">
        <v>55</v>
      </c>
      <c r="B43" s="64" t="n">
        <f aca="false">+B11</f>
        <v>0.215968</v>
      </c>
      <c r="C43" s="64" t="n">
        <f aca="false">+B43+I11</f>
        <v>2.347731</v>
      </c>
      <c r="D43" s="64" t="n">
        <f aca="false">+C43+P11</f>
        <v>5.072925</v>
      </c>
      <c r="E43" s="65" t="n">
        <f aca="false">+D43+W11</f>
        <v>-24.927075</v>
      </c>
      <c r="H43" s="67" t="s">
        <v>55</v>
      </c>
      <c r="I43" s="66" t="n">
        <f aca="false">+E11</f>
        <v>2.523</v>
      </c>
      <c r="J43" s="64" t="n">
        <f aca="false">+I43+L11</f>
        <v>8.739104</v>
      </c>
      <c r="K43" s="64" t="n">
        <f aca="false">+J43+S11</f>
        <v>15.942805</v>
      </c>
      <c r="L43" s="65" t="n">
        <f aca="false">+K43+Z11</f>
        <v>19.276197</v>
      </c>
      <c r="N43" s="52"/>
      <c r="AU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customFormat="false" ht="13.5" hidden="false" customHeight="false" outlineLevel="0" collapsed="false">
      <c r="A44" s="68" t="s">
        <v>39</v>
      </c>
      <c r="B44" s="69" t="n">
        <f aca="false">SUM(B35:B43)</f>
        <v>100.66806961</v>
      </c>
      <c r="C44" s="69" t="n">
        <f aca="false">SUM(C35:C43)</f>
        <v>194.87727113</v>
      </c>
      <c r="D44" s="69" t="n">
        <f aca="false">SUM(D35:D43)</f>
        <v>277.41675113</v>
      </c>
      <c r="E44" s="70" t="n">
        <f aca="false">SUM(E35:E43)</f>
        <v>247.12472013</v>
      </c>
      <c r="F44" s="71"/>
      <c r="H44" s="68" t="s">
        <v>39</v>
      </c>
      <c r="I44" s="72" t="n">
        <f aca="false">SUM(I35:I43)</f>
        <v>97.29875</v>
      </c>
      <c r="J44" s="69" t="n">
        <f aca="false">SUM(J35:J43)</f>
        <v>208.902172</v>
      </c>
      <c r="K44" s="69" t="n">
        <f aca="false">SUM(K35:K43)</f>
        <v>332.715225</v>
      </c>
      <c r="L44" s="70" t="n">
        <f aca="false">SUM(L35:L43)</f>
        <v>508.026697</v>
      </c>
      <c r="N44" s="52"/>
      <c r="AT44" s="2"/>
      <c r="AU44" s="8"/>
      <c r="AV44" s="2"/>
      <c r="AW44" s="8"/>
      <c r="AX44" s="9"/>
      <c r="AY44" s="8"/>
      <c r="AZ44" s="9"/>
      <c r="BA44" s="8"/>
      <c r="BB44" s="9"/>
      <c r="BC44" s="8"/>
      <c r="BD44" s="9"/>
      <c r="BE44" s="8"/>
      <c r="BF44" s="9"/>
      <c r="BG44" s="8"/>
      <c r="BH44" s="9"/>
      <c r="BI44" s="8"/>
    </row>
    <row r="45" customFormat="false" ht="12.75" hidden="false" customHeight="false" outlineLevel="0" collapsed="false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73"/>
      <c r="AT45" s="7"/>
      <c r="AU45" s="9"/>
      <c r="AV45" s="7"/>
      <c r="AW45" s="9"/>
      <c r="AX45" s="37"/>
      <c r="AY45" s="9"/>
      <c r="AZ45" s="37"/>
      <c r="BA45" s="9"/>
      <c r="BB45" s="37"/>
      <c r="BC45" s="9"/>
      <c r="BD45" s="8"/>
      <c r="BE45" s="9"/>
      <c r="BF45" s="8"/>
      <c r="BG45" s="9"/>
      <c r="BH45" s="8"/>
      <c r="BI45" s="9"/>
    </row>
    <row r="46" customFormat="false" ht="12.75" hidden="false" customHeight="false" outlineLevel="0" collapsed="false">
      <c r="A46" s="17"/>
      <c r="B46" s="51" t="s">
        <v>0</v>
      </c>
      <c r="C46" s="51" t="s">
        <v>1</v>
      </c>
      <c r="D46" s="51" t="s">
        <v>2</v>
      </c>
      <c r="E46" s="51" t="s">
        <v>3</v>
      </c>
      <c r="F46" s="51" t="s">
        <v>4</v>
      </c>
      <c r="I46" s="51" t="s">
        <v>0</v>
      </c>
      <c r="J46" s="51" t="s">
        <v>1</v>
      </c>
      <c r="K46" s="51" t="s">
        <v>2</v>
      </c>
      <c r="L46" s="51" t="s">
        <v>3</v>
      </c>
      <c r="M46" s="51" t="s">
        <v>4</v>
      </c>
      <c r="N46" s="52"/>
      <c r="AU46" s="37"/>
      <c r="AW46" s="37"/>
      <c r="AX46" s="8"/>
      <c r="AY46" s="37"/>
      <c r="AZ46" s="8"/>
      <c r="BA46" s="37"/>
      <c r="BB46" s="8"/>
      <c r="BC46" s="37"/>
      <c r="BD46" s="8"/>
      <c r="BE46" s="37"/>
      <c r="BF46" s="8"/>
      <c r="BG46" s="37"/>
      <c r="BH46" s="8"/>
      <c r="BI46" s="37"/>
    </row>
    <row r="47" customFormat="false" ht="12.75" hidden="false" customHeight="false" outlineLevel="0" collapsed="false">
      <c r="A47" s="74" t="s">
        <v>56</v>
      </c>
      <c r="B47" s="75" t="n">
        <f aca="false">+B44</f>
        <v>100.66806961</v>
      </c>
      <c r="C47" s="75" t="n">
        <f aca="false">+I12</f>
        <v>94.20920152</v>
      </c>
      <c r="D47" s="75" t="n">
        <f aca="false">+P12</f>
        <v>82.53948</v>
      </c>
      <c r="E47" s="75" t="n">
        <f aca="false">+W12</f>
        <v>-30.292031</v>
      </c>
      <c r="F47" s="76" t="n">
        <f aca="false">SUM(B47:E47)</f>
        <v>247.12472013</v>
      </c>
      <c r="I47" s="75" t="n">
        <f aca="false">+E12</f>
        <v>97.29875</v>
      </c>
      <c r="J47" s="75" t="n">
        <f aca="false">+L12</f>
        <v>111.603422</v>
      </c>
      <c r="K47" s="75" t="n">
        <f aca="false">+S12</f>
        <v>123.813053</v>
      </c>
      <c r="L47" s="75" t="n">
        <f aca="false">+Z12</f>
        <v>175.311472</v>
      </c>
      <c r="M47" s="77" t="n">
        <f aca="false">SUM(I47:L47)</f>
        <v>508.026697</v>
      </c>
      <c r="N47" s="52"/>
      <c r="O47" s="34"/>
      <c r="P47" s="34"/>
      <c r="Q47" s="34"/>
      <c r="R47" s="34"/>
      <c r="S47" s="34"/>
      <c r="T47" s="34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customFormat="false" ht="12.75" hidden="false" customHeight="false" outlineLevel="0" collapsed="false">
      <c r="A48" s="53"/>
      <c r="B48" s="75"/>
      <c r="C48" s="75"/>
      <c r="D48" s="75"/>
      <c r="E48" s="75"/>
      <c r="F48" s="76"/>
      <c r="I48" s="75"/>
      <c r="J48" s="75"/>
      <c r="K48" s="75"/>
      <c r="L48" s="75"/>
      <c r="M48" s="77"/>
      <c r="N48" s="52"/>
    </row>
    <row r="49" customFormat="false" ht="12.75" hidden="false" customHeight="false" outlineLevel="0" collapsed="false">
      <c r="A49" s="52"/>
      <c r="B49" s="52"/>
      <c r="C49" s="52"/>
      <c r="D49" s="52"/>
      <c r="E49" s="52"/>
      <c r="F49" s="52"/>
      <c r="G49" s="52"/>
      <c r="H49" s="44"/>
      <c r="I49" s="52"/>
      <c r="J49" s="52"/>
      <c r="K49" s="52"/>
      <c r="L49" s="52"/>
      <c r="M49" s="52"/>
      <c r="N49" s="52"/>
    </row>
    <row r="50" customFormat="false" ht="13.5" hidden="false" customHeight="false" outlineLevel="0" collapsed="false">
      <c r="N50" s="52"/>
    </row>
    <row r="51" customFormat="false" ht="12.75" hidden="false" customHeight="false" outlineLevel="0" collapsed="false">
      <c r="A51" s="47"/>
      <c r="B51" s="48" t="s">
        <v>47</v>
      </c>
      <c r="C51" s="49" t="s">
        <v>47</v>
      </c>
      <c r="D51" s="49" t="s">
        <v>47</v>
      </c>
      <c r="E51" s="50" t="s">
        <v>47</v>
      </c>
      <c r="F51" s="51"/>
      <c r="G51" s="51"/>
      <c r="H51" s="47"/>
      <c r="I51" s="48" t="s">
        <v>48</v>
      </c>
      <c r="J51" s="49" t="s">
        <v>48</v>
      </c>
      <c r="K51" s="49" t="s">
        <v>48</v>
      </c>
      <c r="L51" s="50" t="s">
        <v>48</v>
      </c>
      <c r="N51" s="52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customFormat="false" ht="13.5" hidden="false" customHeight="false" outlineLevel="0" collapsed="false">
      <c r="A52" s="54" t="s">
        <v>57</v>
      </c>
      <c r="B52" s="55" t="s">
        <v>0</v>
      </c>
      <c r="C52" s="56" t="s">
        <v>50</v>
      </c>
      <c r="D52" s="56" t="s">
        <v>51</v>
      </c>
      <c r="E52" s="57" t="s">
        <v>52</v>
      </c>
      <c r="F52" s="51"/>
      <c r="G52" s="51"/>
      <c r="H52" s="54" t="s">
        <v>57</v>
      </c>
      <c r="I52" s="55" t="s">
        <v>0</v>
      </c>
      <c r="J52" s="56" t="s">
        <v>50</v>
      </c>
      <c r="K52" s="56" t="s">
        <v>51</v>
      </c>
      <c r="L52" s="57" t="s">
        <v>52</v>
      </c>
      <c r="M52" s="51"/>
      <c r="N52" s="52"/>
      <c r="V52" s="9"/>
    </row>
    <row r="53" customFormat="false" ht="12.75" hidden="false" customHeight="false" outlineLevel="0" collapsed="false">
      <c r="A53" s="59" t="s">
        <v>13</v>
      </c>
      <c r="B53" s="62" t="n">
        <f aca="false">+D3</f>
        <v>46.3071115</v>
      </c>
      <c r="C53" s="60" t="n">
        <f aca="false">+D3+K3</f>
        <v>64.0956495</v>
      </c>
      <c r="D53" s="60" t="n">
        <f aca="false">+D3+K3+R3</f>
        <v>77.9537175</v>
      </c>
      <c r="E53" s="61" t="n">
        <f aca="false">+D3+K3+R3+Y3</f>
        <v>53.3059745</v>
      </c>
      <c r="H53" s="59" t="s">
        <v>13</v>
      </c>
      <c r="I53" s="62" t="n">
        <f aca="false">+G3</f>
        <v>23.249788</v>
      </c>
      <c r="J53" s="60" t="n">
        <f aca="false">+G3+N3</f>
        <v>38.776304</v>
      </c>
      <c r="K53" s="60" t="n">
        <f aca="false">+G3+N3+U3</f>
        <v>54.383022</v>
      </c>
      <c r="L53" s="61" t="n">
        <f aca="false">+G3+N3+U3+AB3</f>
        <v>82.461279</v>
      </c>
      <c r="N53" s="52"/>
    </row>
    <row r="54" customFormat="false" ht="12.75" hidden="false" customHeight="false" outlineLevel="0" collapsed="false">
      <c r="A54" s="63" t="s">
        <v>26</v>
      </c>
      <c r="B54" s="66" t="n">
        <f aca="false">+D4</f>
        <v>5.95682733</v>
      </c>
      <c r="C54" s="64" t="n">
        <f aca="false">+D4+K4</f>
        <v>23.92368485</v>
      </c>
      <c r="D54" s="64" t="n">
        <f aca="false">+D4+K4+R4</f>
        <v>45.77066285</v>
      </c>
      <c r="E54" s="65" t="n">
        <f aca="false">+D4+K4+R4+Y4</f>
        <v>37.26814785</v>
      </c>
      <c r="H54" s="63" t="s">
        <v>26</v>
      </c>
      <c r="I54" s="66" t="n">
        <f aca="false">+G4</f>
        <v>9.252878</v>
      </c>
      <c r="J54" s="64" t="n">
        <f aca="false">+G4+N4</f>
        <v>18.474862</v>
      </c>
      <c r="K54" s="64" t="n">
        <f aca="false">+G4+N4+U4</f>
        <v>27.601321</v>
      </c>
      <c r="L54" s="65" t="n">
        <f aca="false">+G4+N4+U4+AB4</f>
        <v>36.72856</v>
      </c>
      <c r="N54" s="52"/>
    </row>
    <row r="55" customFormat="false" ht="12.75" hidden="false" customHeight="false" outlineLevel="0" collapsed="false">
      <c r="A55" s="63" t="s">
        <v>27</v>
      </c>
      <c r="B55" s="66" t="n">
        <f aca="false">+D5</f>
        <v>5.839069</v>
      </c>
      <c r="C55" s="64" t="n">
        <f aca="false">+D5+K5</f>
        <v>12.486</v>
      </c>
      <c r="D55" s="64" t="n">
        <f aca="false">+D5+K5+R5</f>
        <v>17.647736</v>
      </c>
      <c r="E55" s="65" t="n">
        <f aca="false">+D5+K5+R5+Y5</f>
        <v>15.441903</v>
      </c>
      <c r="H55" s="63" t="s">
        <v>27</v>
      </c>
      <c r="I55" s="66" t="n">
        <f aca="false">+G5</f>
        <v>4.460982</v>
      </c>
      <c r="J55" s="64" t="n">
        <f aca="false">+G5+N5</f>
        <v>8.299169</v>
      </c>
      <c r="K55" s="64" t="n">
        <f aca="false">+G5+N5+U5</f>
        <v>13.652066</v>
      </c>
      <c r="L55" s="65" t="n">
        <f aca="false">+G5+N5+U5+AB5</f>
        <v>19.067813</v>
      </c>
      <c r="N55" s="52"/>
    </row>
    <row r="56" customFormat="false" ht="12.75" hidden="false" customHeight="false" outlineLevel="0" collapsed="false">
      <c r="A56" s="63" t="s">
        <v>29</v>
      </c>
      <c r="B56" s="66" t="n">
        <f aca="false">+D6</f>
        <v>0.33799628</v>
      </c>
      <c r="C56" s="64" t="n">
        <f aca="false">+D6+K6</f>
        <v>0.94298728</v>
      </c>
      <c r="D56" s="64" t="n">
        <f aca="false">+D6+K6+R6</f>
        <v>-0.74085672</v>
      </c>
      <c r="E56" s="65" t="n">
        <f aca="false">+D6+K6+R6+Y6</f>
        <v>-4.16522472</v>
      </c>
      <c r="H56" s="63" t="s">
        <v>29</v>
      </c>
      <c r="I56" s="66" t="n">
        <f aca="false">+G6</f>
        <v>2.259021</v>
      </c>
      <c r="J56" s="64" t="n">
        <f aca="false">+G6+N6</f>
        <v>10.874207</v>
      </c>
      <c r="K56" s="64" t="n">
        <f aca="false">+G6+N6+U6</f>
        <v>19.275749</v>
      </c>
      <c r="L56" s="65" t="n">
        <f aca="false">+G6+N6+U6+AB6</f>
        <v>24.680341</v>
      </c>
      <c r="N56" s="52"/>
    </row>
    <row r="57" customFormat="false" ht="12.75" hidden="false" customHeight="false" outlineLevel="0" collapsed="false">
      <c r="A57" s="63" t="s">
        <v>30</v>
      </c>
      <c r="B57" s="66" t="n">
        <f aca="false">+D7</f>
        <v>9.464195</v>
      </c>
      <c r="C57" s="64" t="n">
        <f aca="false">+D7+K7</f>
        <v>22.637327</v>
      </c>
      <c r="D57" s="64" t="n">
        <f aca="false">+D7+K7+R7</f>
        <v>24.066307</v>
      </c>
      <c r="E57" s="65" t="n">
        <f aca="false">+D7+K7+R7+Y7</f>
        <v>25.43476</v>
      </c>
      <c r="H57" s="63" t="s">
        <v>30</v>
      </c>
      <c r="I57" s="66" t="n">
        <f aca="false">+G7</f>
        <v>14.454606</v>
      </c>
      <c r="J57" s="64" t="n">
        <f aca="false">+G7+N7</f>
        <v>35.941361</v>
      </c>
      <c r="K57" s="64" t="n">
        <f aca="false">+G7+N7+U7</f>
        <v>57.778544</v>
      </c>
      <c r="L57" s="65" t="n">
        <f aca="false">+G7+N7+U7+AB7</f>
        <v>84.192997</v>
      </c>
      <c r="N57" s="52"/>
    </row>
    <row r="58" customFormat="false" ht="12.75" hidden="false" customHeight="false" outlineLevel="0" collapsed="false">
      <c r="A58" s="63" t="s">
        <v>32</v>
      </c>
      <c r="B58" s="66" t="n">
        <f aca="false">+D8</f>
        <v>-1.843474</v>
      </c>
      <c r="C58" s="64" t="n">
        <f aca="false">+D8+K8</f>
        <v>-5.610675</v>
      </c>
      <c r="D58" s="64" t="n">
        <f aca="false">+D8+K8+R8</f>
        <v>-9.768805</v>
      </c>
      <c r="E58" s="65" t="n">
        <f aca="false">+D8+K8+R8+Y8</f>
        <v>-18.570332</v>
      </c>
      <c r="H58" s="63" t="s">
        <v>32</v>
      </c>
      <c r="I58" s="66" t="n">
        <f aca="false">+G8</f>
        <v>-1.244696</v>
      </c>
      <c r="J58" s="64" t="n">
        <f aca="false">+G8+N8</f>
        <v>-4.868407</v>
      </c>
      <c r="K58" s="64" t="n">
        <f aca="false">+G8+N8+U8</f>
        <v>-4.621567</v>
      </c>
      <c r="L58" s="65" t="n">
        <f aca="false">+G8+N8+U8+AB8</f>
        <v>-0.0792769999999985</v>
      </c>
      <c r="N58" s="52"/>
    </row>
    <row r="59" customFormat="false" ht="12.75" hidden="false" customHeight="false" outlineLevel="0" collapsed="false">
      <c r="A59" s="63" t="s">
        <v>34</v>
      </c>
      <c r="B59" s="66" t="n">
        <f aca="false">+D9</f>
        <v>-4.04427</v>
      </c>
      <c r="C59" s="64" t="n">
        <f aca="false">+D9+K9</f>
        <v>-8.575813</v>
      </c>
      <c r="D59" s="64" t="n">
        <f aca="false">+D9+K9+R9</f>
        <v>-14.332433</v>
      </c>
      <c r="E59" s="65" t="n">
        <f aca="false">+D9+K9+R9+Y9</f>
        <v>-18.415861</v>
      </c>
      <c r="H59" s="63" t="s">
        <v>34</v>
      </c>
      <c r="I59" s="66" t="n">
        <f aca="false">+G9</f>
        <v>-1.334631</v>
      </c>
      <c r="J59" s="64" t="n">
        <f aca="false">+G9+N9</f>
        <v>1.540426</v>
      </c>
      <c r="K59" s="64" t="n">
        <f aca="false">+G9+N9+U9</f>
        <v>6.917213</v>
      </c>
      <c r="L59" s="65" t="n">
        <f aca="false">+G9+N9+U9+AB9</f>
        <v>48.297785</v>
      </c>
      <c r="N59" s="52"/>
    </row>
    <row r="60" customFormat="false" ht="12.75" hidden="false" customHeight="false" outlineLevel="0" collapsed="false">
      <c r="A60" s="63" t="s">
        <v>35</v>
      </c>
      <c r="B60" s="66" t="n">
        <f aca="false">+D10</f>
        <v>0</v>
      </c>
      <c r="C60" s="64" t="n">
        <f aca="false">+D10+K10</f>
        <v>0</v>
      </c>
      <c r="D60" s="64" t="n">
        <f aca="false">+D10+K10+R10</f>
        <v>-2.53091</v>
      </c>
      <c r="E60" s="65" t="n">
        <f aca="false">+D10+K10+R10+Y10</f>
        <v>-5.897288</v>
      </c>
      <c r="H60" s="63" t="s">
        <v>35</v>
      </c>
      <c r="I60" s="66" t="n">
        <f aca="false">+G10</f>
        <v>0</v>
      </c>
      <c r="J60" s="64" t="n">
        <f aca="false">+G10+N10</f>
        <v>0</v>
      </c>
      <c r="K60" s="64" t="n">
        <f aca="false">+G10+N10+U10</f>
        <v>0.383622</v>
      </c>
      <c r="L60" s="65" t="n">
        <f aca="false">+G10+N10+U10+AB10</f>
        <v>0.767244</v>
      </c>
      <c r="N60" s="52"/>
    </row>
    <row r="61" customFormat="false" ht="13.5" hidden="false" customHeight="false" outlineLevel="0" collapsed="false">
      <c r="A61" s="67" t="s">
        <v>55</v>
      </c>
      <c r="B61" s="78" t="n">
        <f aca="false">+D11</f>
        <v>-15.7017925</v>
      </c>
      <c r="C61" s="79" t="n">
        <f aca="false">+D11+K11</f>
        <v>-29.4535335</v>
      </c>
      <c r="D61" s="79" t="n">
        <f aca="false">+D11+K11+R11</f>
        <v>-37.2247455</v>
      </c>
      <c r="E61" s="80" t="n">
        <f aca="false">+D11+K11+R11+Y11</f>
        <v>-88.5899995</v>
      </c>
      <c r="F61" s="71"/>
      <c r="H61" s="67" t="s">
        <v>55</v>
      </c>
      <c r="I61" s="78" t="n">
        <f aca="false">+G11</f>
        <v>-6.109408</v>
      </c>
      <c r="J61" s="79" t="n">
        <f aca="false">+G11+N11</f>
        <v>-8.02539099999999</v>
      </c>
      <c r="K61" s="79" t="n">
        <f aca="false">+G11+N11+U11</f>
        <v>-9.14630799999999</v>
      </c>
      <c r="L61" s="80" t="n">
        <f aca="false">+G11+N11+U11+AB11</f>
        <v>-27.17817</v>
      </c>
      <c r="N61" s="52"/>
    </row>
    <row r="62" customFormat="false" ht="13.5" hidden="false" customHeight="false" outlineLevel="0" collapsed="false">
      <c r="A62" s="68" t="s">
        <v>39</v>
      </c>
      <c r="B62" s="72" t="n">
        <f aca="false">SUM(B53:B61)</f>
        <v>46.31566261</v>
      </c>
      <c r="C62" s="69" t="n">
        <f aca="false">SUM(C53:C61)</f>
        <v>80.44562713</v>
      </c>
      <c r="D62" s="69" t="n">
        <f aca="false">SUM(D53:D61)</f>
        <v>100.84067313</v>
      </c>
      <c r="E62" s="70" t="n">
        <f aca="false">SUM(E53:E61)</f>
        <v>-4.18791987</v>
      </c>
      <c r="F62" s="71"/>
      <c r="H62" s="68" t="s">
        <v>39</v>
      </c>
      <c r="I62" s="72" t="n">
        <f aca="false">SUM(I53:I61)</f>
        <v>44.98854</v>
      </c>
      <c r="J62" s="69" t="n">
        <f aca="false">SUM(J53:J61)</f>
        <v>101.012531</v>
      </c>
      <c r="K62" s="69" t="n">
        <f aca="false">SUM(K53:K61)</f>
        <v>166.223662</v>
      </c>
      <c r="L62" s="70" t="n">
        <f aca="false">SUM(L53:L61)</f>
        <v>268.938572</v>
      </c>
      <c r="N62" s="52"/>
    </row>
    <row r="63" customFormat="false" ht="12.75" hidden="false" customHeight="false" outlineLevel="0" collapsed="false">
      <c r="A63" s="17"/>
      <c r="B63" s="75"/>
      <c r="C63" s="75"/>
      <c r="D63" s="75"/>
      <c r="F63" s="71"/>
      <c r="I63" s="75"/>
      <c r="J63" s="75"/>
      <c r="K63" s="75"/>
      <c r="N63" s="52"/>
    </row>
    <row r="64" customFormat="false" ht="12.75" hidden="false" customHeight="false" outlineLevel="0" collapsed="false">
      <c r="A64" s="17"/>
      <c r="B64" s="75"/>
      <c r="C64" s="75"/>
      <c r="D64" s="75"/>
      <c r="F64" s="71"/>
      <c r="I64" s="75"/>
      <c r="J64" s="75"/>
      <c r="K64" s="75"/>
      <c r="N64" s="52"/>
    </row>
    <row r="65" customFormat="false" ht="12.75" hidden="false" customHeight="false" outlineLevel="0" collapsed="false">
      <c r="A65" s="17"/>
      <c r="B65" s="51" t="s">
        <v>0</v>
      </c>
      <c r="C65" s="51" t="s">
        <v>1</v>
      </c>
      <c r="D65" s="51" t="s">
        <v>2</v>
      </c>
      <c r="E65" s="51" t="s">
        <v>3</v>
      </c>
      <c r="F65" s="51" t="s">
        <v>4</v>
      </c>
      <c r="I65" s="51" t="s">
        <v>0</v>
      </c>
      <c r="J65" s="51" t="s">
        <v>1</v>
      </c>
      <c r="K65" s="51" t="s">
        <v>2</v>
      </c>
      <c r="L65" s="51" t="s">
        <v>3</v>
      </c>
      <c r="M65" s="51" t="s">
        <v>4</v>
      </c>
      <c r="N65" s="52"/>
    </row>
    <row r="66" customFormat="false" ht="12.75" hidden="false" customHeight="false" outlineLevel="0" collapsed="false">
      <c r="A66" s="74" t="s">
        <v>58</v>
      </c>
      <c r="B66" s="75" t="n">
        <f aca="false">+D12</f>
        <v>46.31566261</v>
      </c>
      <c r="C66" s="75" t="n">
        <f aca="false">+K12</f>
        <v>34.12996452</v>
      </c>
      <c r="D66" s="75" t="n">
        <f aca="false">+R12</f>
        <v>20.395046</v>
      </c>
      <c r="E66" s="75" t="n">
        <f aca="false">+Y12</f>
        <v>-105.028593</v>
      </c>
      <c r="F66" s="76" t="n">
        <f aca="false">SUM(B66:E66)</f>
        <v>-4.18791987</v>
      </c>
      <c r="I66" s="75" t="n">
        <f aca="false">+G12</f>
        <v>44.98854</v>
      </c>
      <c r="J66" s="75" t="n">
        <f aca="false">+N12</f>
        <v>56.023991</v>
      </c>
      <c r="K66" s="75" t="n">
        <f aca="false">+U12</f>
        <v>65.211131</v>
      </c>
      <c r="L66" s="75" t="n">
        <f aca="false">+AB12</f>
        <v>102.71491</v>
      </c>
      <c r="M66" s="77" t="n">
        <f aca="false">SUM(I66:L66)</f>
        <v>268.938572</v>
      </c>
      <c r="N66" s="52"/>
    </row>
    <row r="67" customFormat="false" ht="12.75" hidden="false" customHeight="false" outlineLevel="0" collapsed="false">
      <c r="A67" s="52"/>
      <c r="B67" s="52"/>
      <c r="C67" s="81"/>
      <c r="D67" s="81"/>
      <c r="E67" s="52"/>
      <c r="F67" s="52"/>
      <c r="G67" s="52"/>
      <c r="H67" s="44"/>
      <c r="I67" s="52"/>
      <c r="J67" s="81"/>
      <c r="K67" s="81"/>
      <c r="L67" s="52"/>
      <c r="M67" s="52"/>
      <c r="N67" s="52"/>
    </row>
    <row r="68" customFormat="false" ht="13.5" hidden="false" customHeight="false" outlineLevel="0" collapsed="false">
      <c r="G68" s="82"/>
    </row>
    <row r="69" customFormat="false" ht="12.75" hidden="false" customHeight="false" outlineLevel="0" collapsed="false">
      <c r="A69" s="47"/>
      <c r="B69" s="48" t="s">
        <v>59</v>
      </c>
      <c r="C69" s="49" t="s">
        <v>59</v>
      </c>
      <c r="D69" s="49" t="s">
        <v>59</v>
      </c>
      <c r="E69" s="50" t="s">
        <v>59</v>
      </c>
      <c r="F69" s="51"/>
      <c r="G69" s="82"/>
    </row>
    <row r="70" customFormat="false" ht="13.5" hidden="false" customHeight="false" outlineLevel="0" collapsed="false">
      <c r="A70" s="54" t="s">
        <v>60</v>
      </c>
      <c r="B70" s="55" t="s">
        <v>0</v>
      </c>
      <c r="C70" s="56" t="s">
        <v>1</v>
      </c>
      <c r="D70" s="56" t="s">
        <v>2</v>
      </c>
      <c r="E70" s="57" t="s">
        <v>3</v>
      </c>
      <c r="F70" s="51"/>
      <c r="G70" s="82"/>
    </row>
    <row r="71" customFormat="false" ht="12.75" hidden="false" customHeight="false" outlineLevel="0" collapsed="false">
      <c r="A71" s="59" t="s">
        <v>13</v>
      </c>
      <c r="B71" s="60" t="n">
        <v>27.4</v>
      </c>
      <c r="C71" s="60" t="n">
        <v>14.5</v>
      </c>
      <c r="D71" s="60" t="n">
        <v>-2.909</v>
      </c>
      <c r="E71" s="61" t="n">
        <v>16.412</v>
      </c>
      <c r="F71" s="75" t="n">
        <f aca="false">SUM(B71:E71)</f>
        <v>55.403</v>
      </c>
      <c r="G71" s="82"/>
    </row>
    <row r="72" customFormat="false" ht="12.75" hidden="false" customHeight="false" outlineLevel="0" collapsed="false">
      <c r="A72" s="63" t="s">
        <v>26</v>
      </c>
      <c r="B72" s="64" t="n">
        <f aca="false">2.359+3.674</f>
        <v>6.033</v>
      </c>
      <c r="C72" s="64" t="n">
        <f aca="false">4.009+-6.918</f>
        <v>-2.909</v>
      </c>
      <c r="D72" s="64" t="n">
        <f aca="false">-1.548+2.948</f>
        <v>1.4</v>
      </c>
      <c r="E72" s="65" t="n">
        <f aca="false">46.518+6.453</f>
        <v>52.971</v>
      </c>
      <c r="F72" s="75" t="n">
        <f aca="false">SUM(B72:E72)</f>
        <v>57.495</v>
      </c>
      <c r="G72" s="82"/>
    </row>
    <row r="73" customFormat="false" ht="12.75" hidden="false" customHeight="false" outlineLevel="0" collapsed="false">
      <c r="A73" s="63" t="s">
        <v>43</v>
      </c>
      <c r="B73" s="64" t="n">
        <v>0</v>
      </c>
      <c r="C73" s="64" t="n">
        <v>0</v>
      </c>
      <c r="D73" s="64" t="n">
        <v>0</v>
      </c>
      <c r="E73" s="65" t="n">
        <v>0</v>
      </c>
      <c r="F73" s="75" t="n">
        <f aca="false">SUM(B73:E73)</f>
        <v>0</v>
      </c>
      <c r="G73" s="82"/>
    </row>
    <row r="74" customFormat="false" ht="12.75" hidden="false" customHeight="false" outlineLevel="0" collapsed="false">
      <c r="A74" s="63" t="s">
        <v>27</v>
      </c>
      <c r="B74" s="64" t="n">
        <v>5.666</v>
      </c>
      <c r="C74" s="64" t="n">
        <v>3.794</v>
      </c>
      <c r="D74" s="64" t="n">
        <v>3.436</v>
      </c>
      <c r="E74" s="65" t="n">
        <v>6.215</v>
      </c>
      <c r="F74" s="75" t="n">
        <f aca="false">SUM(B74:E74)</f>
        <v>19.111</v>
      </c>
      <c r="G74" s="82"/>
    </row>
    <row r="75" customFormat="false" ht="12.75" hidden="false" customHeight="false" outlineLevel="0" collapsed="false">
      <c r="A75" s="63" t="s">
        <v>29</v>
      </c>
      <c r="B75" s="64" t="n">
        <v>0</v>
      </c>
      <c r="C75" s="64" t="n">
        <v>1.22</v>
      </c>
      <c r="D75" s="64" t="n">
        <v>0</v>
      </c>
      <c r="E75" s="65" t="n">
        <v>0</v>
      </c>
      <c r="F75" s="75" t="n">
        <f aca="false">SUM(B75:E75)</f>
        <v>1.22</v>
      </c>
      <c r="G75" s="82"/>
    </row>
    <row r="76" customFormat="false" ht="12.75" hidden="false" customHeight="false" outlineLevel="0" collapsed="false">
      <c r="A76" s="63" t="s">
        <v>30</v>
      </c>
      <c r="B76" s="64" t="n">
        <v>32.515</v>
      </c>
      <c r="C76" s="64" t="n">
        <v>13.6</v>
      </c>
      <c r="D76" s="64" t="n">
        <v>18.67</v>
      </c>
      <c r="E76" s="65" t="n">
        <v>4.083</v>
      </c>
      <c r="F76" s="75" t="n">
        <f aca="false">SUM(B76:E76)</f>
        <v>68.868</v>
      </c>
      <c r="G76" s="82"/>
    </row>
    <row r="77" customFormat="false" ht="12.75" hidden="false" customHeight="false" outlineLevel="0" collapsed="false">
      <c r="A77" s="63" t="s">
        <v>32</v>
      </c>
      <c r="B77" s="64" t="n">
        <v>0</v>
      </c>
      <c r="C77" s="64" t="n">
        <v>0</v>
      </c>
      <c r="D77" s="64" t="n">
        <v>0</v>
      </c>
      <c r="E77" s="65" t="n">
        <v>0</v>
      </c>
      <c r="F77" s="75" t="n">
        <f aca="false">SUM(B77:E77)</f>
        <v>0</v>
      </c>
      <c r="G77" s="82"/>
    </row>
    <row r="78" customFormat="false" ht="12.75" hidden="false" customHeight="false" outlineLevel="0" collapsed="false">
      <c r="A78" s="63" t="s">
        <v>44</v>
      </c>
      <c r="B78" s="64" t="n">
        <v>0</v>
      </c>
      <c r="C78" s="64" t="n">
        <v>0</v>
      </c>
      <c r="D78" s="64" t="n">
        <v>0</v>
      </c>
      <c r="E78" s="65" t="n">
        <f aca="false">5.489</f>
        <v>5.489</v>
      </c>
      <c r="F78" s="75" t="n">
        <f aca="false">SUM(B78:E78)</f>
        <v>5.489</v>
      </c>
      <c r="G78" s="82"/>
    </row>
    <row r="79" customFormat="false" ht="12.75" hidden="false" customHeight="false" outlineLevel="0" collapsed="false">
      <c r="A79" s="63" t="s">
        <v>45</v>
      </c>
      <c r="B79" s="64" t="n">
        <v>0</v>
      </c>
      <c r="C79" s="64" t="n">
        <v>0</v>
      </c>
      <c r="D79" s="64" t="n">
        <v>0</v>
      </c>
      <c r="E79" s="65" t="n">
        <v>-1.304</v>
      </c>
      <c r="F79" s="75" t="n">
        <f aca="false">SUM(B79:E79)</f>
        <v>-1.304</v>
      </c>
      <c r="G79" s="82"/>
    </row>
    <row r="80" customFormat="false" ht="12.75" hidden="false" customHeight="false" outlineLevel="0" collapsed="false">
      <c r="A80" s="63" t="s">
        <v>46</v>
      </c>
      <c r="B80" s="64" t="n">
        <v>0</v>
      </c>
      <c r="C80" s="64" t="n">
        <v>0</v>
      </c>
      <c r="D80" s="64" t="n">
        <v>0</v>
      </c>
      <c r="E80" s="65" t="n">
        <v>0.132</v>
      </c>
      <c r="F80" s="75" t="n">
        <f aca="false">SUM(B80:E80)</f>
        <v>0.132</v>
      </c>
      <c r="G80" s="82"/>
    </row>
    <row r="81" customFormat="false" ht="13.5" hidden="false" customHeight="false" outlineLevel="0" collapsed="false">
      <c r="A81" s="67" t="s">
        <v>55</v>
      </c>
      <c r="B81" s="64" t="n">
        <v>-0.6</v>
      </c>
      <c r="C81" s="64" t="n">
        <v>-0.6</v>
      </c>
      <c r="D81" s="64" t="n">
        <v>-0.5</v>
      </c>
      <c r="E81" s="65" t="n">
        <v>-0.5</v>
      </c>
      <c r="F81" s="75" t="n">
        <f aca="false">SUM(B81:E81)</f>
        <v>-2.2</v>
      </c>
      <c r="G81" s="82"/>
    </row>
    <row r="82" customFormat="false" ht="13.5" hidden="false" customHeight="false" outlineLevel="0" collapsed="false">
      <c r="A82" s="68" t="s">
        <v>39</v>
      </c>
      <c r="B82" s="69" t="n">
        <f aca="false">SUM(B71:B81)</f>
        <v>71.014</v>
      </c>
      <c r="C82" s="69" t="n">
        <f aca="false">SUM(C71:C81)</f>
        <v>29.605</v>
      </c>
      <c r="D82" s="69" t="n">
        <f aca="false">SUM(D71:D81)</f>
        <v>20.097</v>
      </c>
      <c r="E82" s="70" t="n">
        <f aca="false">SUM(E71:E81)</f>
        <v>83.498</v>
      </c>
      <c r="F82" s="71" t="n">
        <f aca="false">SUM(B82:E82)</f>
        <v>204.214</v>
      </c>
      <c r="G82" s="82"/>
    </row>
    <row r="83" customFormat="false" ht="12.75" hidden="false" customHeight="false" outlineLevel="0" collapsed="false">
      <c r="B83" s="34"/>
      <c r="C83" s="34"/>
      <c r="D83" s="34"/>
      <c r="E83" s="34"/>
      <c r="F83" s="34"/>
      <c r="G83" s="82"/>
    </row>
    <row r="84" customFormat="false" ht="12.75" hidden="false" customHeight="false" outlineLevel="0" collapsed="false">
      <c r="A84" s="53"/>
      <c r="B84" s="75"/>
      <c r="C84" s="75"/>
      <c r="D84" s="75"/>
      <c r="E84" s="75"/>
      <c r="F84" s="76"/>
      <c r="G84" s="82"/>
    </row>
    <row r="85" customFormat="false" ht="12.75" hidden="false" customHeight="false" outlineLevel="0" collapsed="false">
      <c r="A85" s="82"/>
      <c r="B85" s="82"/>
      <c r="C85" s="82"/>
      <c r="D85" s="82"/>
      <c r="E85" s="82"/>
      <c r="F85" s="82"/>
      <c r="G85" s="82"/>
    </row>
    <row r="86" customFormat="false" ht="13.5" hidden="false" customHeight="false" outlineLevel="0" collapsed="false">
      <c r="G86" s="82"/>
    </row>
    <row r="87" customFormat="false" ht="12.75" hidden="false" customHeight="false" outlineLevel="0" collapsed="false">
      <c r="A87" s="83" t="n">
        <v>2000</v>
      </c>
      <c r="B87" s="48" t="s">
        <v>59</v>
      </c>
      <c r="C87" s="49" t="s">
        <v>59</v>
      </c>
      <c r="D87" s="49" t="s">
        <v>59</v>
      </c>
      <c r="E87" s="50" t="s">
        <v>59</v>
      </c>
      <c r="F87" s="51"/>
      <c r="G87" s="82"/>
    </row>
    <row r="88" customFormat="false" ht="13.5" hidden="false" customHeight="false" outlineLevel="0" collapsed="false">
      <c r="A88" s="54" t="s">
        <v>61</v>
      </c>
      <c r="B88" s="55" t="s">
        <v>0</v>
      </c>
      <c r="C88" s="56" t="s">
        <v>1</v>
      </c>
      <c r="D88" s="56" t="s">
        <v>2</v>
      </c>
      <c r="E88" s="57" t="s">
        <v>3</v>
      </c>
      <c r="F88" s="51"/>
      <c r="G88" s="82"/>
    </row>
    <row r="89" customFormat="false" ht="12.75" hidden="false" customHeight="false" outlineLevel="0" collapsed="false">
      <c r="A89" s="59" t="s">
        <v>13</v>
      </c>
      <c r="B89" s="62" t="n">
        <v>5.469</v>
      </c>
      <c r="C89" s="60" t="n">
        <v>11.058</v>
      </c>
      <c r="D89" s="60" t="n">
        <v>13.844</v>
      </c>
      <c r="E89" s="61" t="n">
        <v>6.483</v>
      </c>
      <c r="F89" s="75" t="n">
        <f aca="false">SUM(B89:E89)</f>
        <v>36.854</v>
      </c>
      <c r="G89" s="82"/>
    </row>
    <row r="90" customFormat="false" ht="12.75" hidden="false" customHeight="false" outlineLevel="0" collapsed="false">
      <c r="A90" s="63" t="s">
        <v>26</v>
      </c>
      <c r="B90" s="66" t="n">
        <f aca="false">4.496+0.077</f>
        <v>4.573</v>
      </c>
      <c r="C90" s="64" t="n">
        <f aca="false">2.726+0.085</f>
        <v>2.811</v>
      </c>
      <c r="D90" s="64" t="n">
        <f aca="false">3.84+0.143</f>
        <v>3.983</v>
      </c>
      <c r="E90" s="65" t="n">
        <f aca="false">3.03+1.443</f>
        <v>4.473</v>
      </c>
      <c r="F90" s="75" t="n">
        <f aca="false">SUM(B90:E90)</f>
        <v>15.84</v>
      </c>
      <c r="G90" s="82"/>
    </row>
    <row r="91" customFormat="false" ht="12.75" hidden="false" customHeight="false" outlineLevel="0" collapsed="false">
      <c r="A91" s="63" t="s">
        <v>43</v>
      </c>
      <c r="B91" s="66" t="n">
        <v>0</v>
      </c>
      <c r="C91" s="64" t="n">
        <v>0</v>
      </c>
      <c r="D91" s="64" t="n">
        <v>0</v>
      </c>
      <c r="E91" s="65" t="n">
        <v>0</v>
      </c>
      <c r="F91" s="75" t="n">
        <f aca="false">SUM(B91:E91)</f>
        <v>0</v>
      </c>
      <c r="G91" s="82"/>
    </row>
    <row r="92" customFormat="false" ht="12.75" hidden="false" customHeight="false" outlineLevel="0" collapsed="false">
      <c r="A92" s="63" t="s">
        <v>27</v>
      </c>
      <c r="B92" s="66" t="n">
        <v>1.927</v>
      </c>
      <c r="C92" s="64" t="n">
        <v>0.688</v>
      </c>
      <c r="D92" s="64" t="n">
        <v>0.642</v>
      </c>
      <c r="E92" s="65" t="n">
        <v>1.131</v>
      </c>
      <c r="F92" s="75" t="n">
        <f aca="false">SUM(B92:E92)</f>
        <v>4.388</v>
      </c>
      <c r="G92" s="82"/>
    </row>
    <row r="93" customFormat="false" ht="12.75" hidden="false" customHeight="false" outlineLevel="0" collapsed="false">
      <c r="A93" s="63" t="s">
        <v>29</v>
      </c>
      <c r="B93" s="66" t="n">
        <v>1.101</v>
      </c>
      <c r="C93" s="64" t="n">
        <v>1.295</v>
      </c>
      <c r="D93" s="64" t="n">
        <v>0.737</v>
      </c>
      <c r="E93" s="65" t="n">
        <v>1.816</v>
      </c>
      <c r="F93" s="75" t="n">
        <f aca="false">SUM(B93:E93)</f>
        <v>4.949</v>
      </c>
      <c r="G93" s="82"/>
    </row>
    <row r="94" customFormat="false" ht="12.75" hidden="false" customHeight="false" outlineLevel="0" collapsed="false">
      <c r="A94" s="63" t="s">
        <v>30</v>
      </c>
      <c r="B94" s="66" t="n">
        <v>0.643</v>
      </c>
      <c r="C94" s="64" t="n">
        <v>0.938</v>
      </c>
      <c r="D94" s="64" t="n">
        <v>1.025</v>
      </c>
      <c r="E94" s="65" t="n">
        <v>1.46</v>
      </c>
      <c r="F94" s="75" t="n">
        <f aca="false">SUM(B94:E94)</f>
        <v>4.066</v>
      </c>
      <c r="G94" s="82"/>
    </row>
    <row r="95" customFormat="false" ht="12.75" hidden="false" customHeight="false" outlineLevel="0" collapsed="false">
      <c r="A95" s="63" t="s">
        <v>32</v>
      </c>
      <c r="B95" s="66"/>
      <c r="C95" s="64"/>
      <c r="D95" s="64"/>
      <c r="E95" s="65" t="n">
        <v>1.602</v>
      </c>
      <c r="F95" s="75" t="n">
        <f aca="false">SUM(B95:E95)</f>
        <v>1.602</v>
      </c>
      <c r="G95" s="82"/>
    </row>
    <row r="96" customFormat="false" ht="12.75" hidden="false" customHeight="false" outlineLevel="0" collapsed="false">
      <c r="A96" s="63" t="s">
        <v>44</v>
      </c>
      <c r="B96" s="66" t="n">
        <v>0</v>
      </c>
      <c r="C96" s="64" t="n">
        <v>0</v>
      </c>
      <c r="D96" s="64" t="n">
        <v>0</v>
      </c>
      <c r="E96" s="65" t="n">
        <f aca="false">2.625</f>
        <v>2.625</v>
      </c>
      <c r="F96" s="75" t="n">
        <f aca="false">SUM(B96:E96)</f>
        <v>2.625</v>
      </c>
      <c r="G96" s="82"/>
    </row>
    <row r="97" customFormat="false" ht="12.75" hidden="false" customHeight="false" outlineLevel="0" collapsed="false">
      <c r="A97" s="63" t="s">
        <v>45</v>
      </c>
      <c r="B97" s="66" t="n">
        <v>0</v>
      </c>
      <c r="C97" s="64" t="n">
        <v>0</v>
      </c>
      <c r="D97" s="64" t="n">
        <v>0</v>
      </c>
      <c r="E97" s="65" t="n">
        <v>0.301</v>
      </c>
      <c r="F97" s="75" t="n">
        <f aca="false">SUM(B97:E97)</f>
        <v>0.301</v>
      </c>
      <c r="G97" s="82"/>
    </row>
    <row r="98" customFormat="false" ht="12.75" hidden="false" customHeight="false" outlineLevel="0" collapsed="false">
      <c r="A98" s="63" t="s">
        <v>46</v>
      </c>
      <c r="B98" s="66" t="n">
        <v>0</v>
      </c>
      <c r="C98" s="64" t="n">
        <v>0</v>
      </c>
      <c r="D98" s="64" t="n">
        <v>0</v>
      </c>
      <c r="E98" s="65" t="n">
        <v>1.344</v>
      </c>
      <c r="F98" s="75" t="n">
        <f aca="false">SUM(B98:E98)</f>
        <v>1.344</v>
      </c>
      <c r="G98" s="82"/>
    </row>
    <row r="99" customFormat="false" ht="13.5" hidden="false" customHeight="false" outlineLevel="0" collapsed="false">
      <c r="A99" s="67" t="s">
        <v>55</v>
      </c>
      <c r="B99" s="78" t="n">
        <v>0</v>
      </c>
      <c r="C99" s="79" t="n">
        <v>0</v>
      </c>
      <c r="D99" s="79" t="n">
        <v>0.06</v>
      </c>
      <c r="E99" s="80" t="n">
        <v>1.372</v>
      </c>
      <c r="F99" s="75" t="n">
        <f aca="false">SUM(B99:E99)</f>
        <v>1.432</v>
      </c>
      <c r="G99" s="82"/>
    </row>
    <row r="100" customFormat="false" ht="13.5" hidden="false" customHeight="false" outlineLevel="0" collapsed="false">
      <c r="A100" s="68" t="s">
        <v>39</v>
      </c>
      <c r="B100" s="72" t="n">
        <f aca="false">SUM(B89:B99)</f>
        <v>13.713</v>
      </c>
      <c r="C100" s="69" t="n">
        <f aca="false">SUM(C89:C99)</f>
        <v>16.79</v>
      </c>
      <c r="D100" s="69" t="n">
        <f aca="false">SUM(D89:D99)</f>
        <v>20.291</v>
      </c>
      <c r="E100" s="70" t="n">
        <f aca="false">SUM(E89:E99)</f>
        <v>22.607</v>
      </c>
      <c r="F100" s="71" t="n">
        <f aca="false">SUM(B100:E100)</f>
        <v>73.401</v>
      </c>
      <c r="G100" s="82"/>
    </row>
    <row r="101" customFormat="false" ht="12.75" hidden="false" customHeight="false" outlineLevel="0" collapsed="false">
      <c r="A101" s="17"/>
      <c r="B101" s="75"/>
      <c r="C101" s="75"/>
      <c r="D101" s="75"/>
      <c r="F101" s="71"/>
      <c r="G101" s="82"/>
    </row>
    <row r="102" customFormat="false" ht="12.75" hidden="false" customHeight="false" outlineLevel="0" collapsed="false">
      <c r="G102" s="82"/>
    </row>
    <row r="103" customFormat="false" ht="12.75" hidden="false" customHeight="false" outlineLevel="0" collapsed="false">
      <c r="A103" s="82"/>
      <c r="B103" s="82"/>
      <c r="C103" s="82"/>
      <c r="D103" s="82"/>
      <c r="E103" s="82"/>
      <c r="F103" s="82"/>
      <c r="G103" s="82"/>
    </row>
    <row r="104" customFormat="false" ht="13.5" hidden="false" customHeight="false" outlineLevel="0" collapsed="false">
      <c r="G104" s="82"/>
    </row>
    <row r="105" customFormat="false" ht="12.75" hidden="false" customHeight="false" outlineLevel="0" collapsed="false">
      <c r="A105" s="83" t="n">
        <v>2000</v>
      </c>
      <c r="B105" s="48" t="s">
        <v>59</v>
      </c>
      <c r="C105" s="49" t="s">
        <v>59</v>
      </c>
      <c r="D105" s="49" t="s">
        <v>59</v>
      </c>
      <c r="E105" s="50" t="s">
        <v>59</v>
      </c>
      <c r="F105" s="51"/>
      <c r="G105" s="82"/>
    </row>
    <row r="106" customFormat="false" ht="13.5" hidden="false" customHeight="false" outlineLevel="0" collapsed="false">
      <c r="A106" s="54" t="s">
        <v>62</v>
      </c>
      <c r="B106" s="55" t="s">
        <v>0</v>
      </c>
      <c r="C106" s="56" t="s">
        <v>1</v>
      </c>
      <c r="D106" s="56" t="s">
        <v>2</v>
      </c>
      <c r="E106" s="57" t="s">
        <v>3</v>
      </c>
      <c r="F106" s="51"/>
      <c r="G106" s="82"/>
    </row>
    <row r="107" customFormat="false" ht="12.75" hidden="false" customHeight="false" outlineLevel="0" collapsed="false">
      <c r="A107" s="59" t="s">
        <v>13</v>
      </c>
      <c r="B107" s="62" t="n">
        <v>19.7</v>
      </c>
      <c r="C107" s="60" t="n">
        <v>-7.201</v>
      </c>
      <c r="D107" s="60" t="n">
        <v>-22.509</v>
      </c>
      <c r="E107" s="61" t="n">
        <v>-1.51</v>
      </c>
      <c r="F107" s="75" t="n">
        <f aca="false">SUM(B107:E107)</f>
        <v>-11.52</v>
      </c>
      <c r="G107" s="82"/>
    </row>
    <row r="108" customFormat="false" ht="12.75" hidden="false" customHeight="false" outlineLevel="0" collapsed="false">
      <c r="A108" s="63" t="s">
        <v>26</v>
      </c>
      <c r="B108" s="66" t="n">
        <v>0</v>
      </c>
      <c r="C108" s="64" t="n">
        <v>-7.9</v>
      </c>
      <c r="D108" s="64" t="n">
        <v>-4.7</v>
      </c>
      <c r="E108" s="65" t="n">
        <v>42.9</v>
      </c>
      <c r="F108" s="75" t="n">
        <f aca="false">SUM(B108:E108)</f>
        <v>30.3</v>
      </c>
      <c r="G108" s="82"/>
    </row>
    <row r="109" customFormat="false" ht="12.75" hidden="false" customHeight="false" outlineLevel="0" collapsed="false">
      <c r="A109" s="63" t="s">
        <v>43</v>
      </c>
      <c r="B109" s="66" t="n">
        <v>0</v>
      </c>
      <c r="C109" s="64" t="n">
        <v>0</v>
      </c>
      <c r="D109" s="64" t="n">
        <v>0</v>
      </c>
      <c r="E109" s="65" t="n">
        <v>0</v>
      </c>
      <c r="F109" s="75" t="n">
        <f aca="false">SUM(B109:E109)</f>
        <v>0</v>
      </c>
      <c r="G109" s="82"/>
    </row>
    <row r="110" customFormat="false" ht="12.75" hidden="false" customHeight="false" outlineLevel="0" collapsed="false">
      <c r="A110" s="63" t="s">
        <v>27</v>
      </c>
      <c r="B110" s="66" t="n">
        <v>3.057</v>
      </c>
      <c r="C110" s="64" t="n">
        <v>2.397</v>
      </c>
      <c r="D110" s="64" t="n">
        <v>2.235</v>
      </c>
      <c r="E110" s="65" t="n">
        <v>3.676</v>
      </c>
      <c r="F110" s="75" t="n">
        <f aca="false">SUM(B110:E110)</f>
        <v>11.365</v>
      </c>
      <c r="G110" s="82"/>
    </row>
    <row r="111" customFormat="false" ht="12.75" hidden="false" customHeight="false" outlineLevel="0" collapsed="false">
      <c r="A111" s="63" t="s">
        <v>29</v>
      </c>
      <c r="B111" s="66" t="n">
        <v>-1.549</v>
      </c>
      <c r="C111" s="64" t="n">
        <v>-0.528</v>
      </c>
      <c r="D111" s="64" t="n">
        <v>-1.418</v>
      </c>
      <c r="E111" s="65" t="n">
        <v>-3.099</v>
      </c>
      <c r="F111" s="75" t="n">
        <f aca="false">SUM(B111:E111)</f>
        <v>-6.594</v>
      </c>
      <c r="G111" s="82"/>
    </row>
    <row r="112" customFormat="false" ht="12.75" hidden="false" customHeight="false" outlineLevel="0" collapsed="false">
      <c r="A112" s="63" t="s">
        <v>30</v>
      </c>
      <c r="B112" s="66" t="n">
        <v>31.095</v>
      </c>
      <c r="C112" s="64" t="n">
        <v>11.921</v>
      </c>
      <c r="D112" s="64" t="n">
        <v>16.915</v>
      </c>
      <c r="E112" s="65" t="n">
        <v>-1.646</v>
      </c>
      <c r="F112" s="75" t="n">
        <f aca="false">SUM(B112:E112)</f>
        <v>58.285</v>
      </c>
      <c r="G112" s="82"/>
    </row>
    <row r="113" customFormat="false" ht="12.75" hidden="false" customHeight="false" outlineLevel="0" collapsed="false">
      <c r="A113" s="63" t="s">
        <v>32</v>
      </c>
      <c r="B113" s="66" t="n">
        <v>0</v>
      </c>
      <c r="C113" s="64" t="n">
        <v>0</v>
      </c>
      <c r="D113" s="64" t="n">
        <v>0</v>
      </c>
      <c r="E113" s="65" t="n">
        <v>-1.602</v>
      </c>
      <c r="F113" s="75" t="n">
        <f aca="false">SUM(B113:E113)</f>
        <v>-1.602</v>
      </c>
      <c r="G113" s="82"/>
    </row>
    <row r="114" customFormat="false" ht="12.75" hidden="false" customHeight="false" outlineLevel="0" collapsed="false">
      <c r="A114" s="63" t="s">
        <v>44</v>
      </c>
      <c r="B114" s="66" t="n">
        <v>0</v>
      </c>
      <c r="C114" s="64" t="n">
        <v>0</v>
      </c>
      <c r="D114" s="64" t="n">
        <v>0</v>
      </c>
      <c r="E114" s="65" t="n">
        <v>2.864</v>
      </c>
      <c r="F114" s="75" t="n">
        <f aca="false">SUM(B114:E114)</f>
        <v>2.864</v>
      </c>
      <c r="G114" s="82"/>
    </row>
    <row r="115" customFormat="false" ht="12.75" hidden="false" customHeight="false" outlineLevel="0" collapsed="false">
      <c r="A115" s="63" t="s">
        <v>45</v>
      </c>
      <c r="B115" s="66" t="n">
        <v>0</v>
      </c>
      <c r="C115" s="64" t="n">
        <v>0</v>
      </c>
      <c r="D115" s="64" t="n">
        <v>0</v>
      </c>
      <c r="E115" s="65" t="n">
        <v>-1.605</v>
      </c>
      <c r="F115" s="75" t="n">
        <f aca="false">SUM(B115:E115)</f>
        <v>-1.605</v>
      </c>
      <c r="G115" s="82"/>
    </row>
    <row r="116" customFormat="false" ht="12.75" hidden="false" customHeight="false" outlineLevel="0" collapsed="false">
      <c r="A116" s="63" t="s">
        <v>46</v>
      </c>
      <c r="B116" s="66" t="n">
        <v>0</v>
      </c>
      <c r="C116" s="64" t="n">
        <v>0</v>
      </c>
      <c r="D116" s="64" t="n">
        <v>0</v>
      </c>
      <c r="E116" s="65" t="n">
        <v>-1.871</v>
      </c>
      <c r="F116" s="75" t="n">
        <f aca="false">SUM(B116:E116)</f>
        <v>-1.871</v>
      </c>
      <c r="G116" s="82"/>
    </row>
    <row r="117" customFormat="false" ht="13.5" hidden="false" customHeight="false" outlineLevel="0" collapsed="false">
      <c r="A117" s="67" t="s">
        <v>55</v>
      </c>
      <c r="B117" s="78" t="n">
        <v>-2.2</v>
      </c>
      <c r="C117" s="79" t="n">
        <v>-2.2</v>
      </c>
      <c r="D117" s="79" t="n">
        <v>-2.3</v>
      </c>
      <c r="E117" s="80" t="n">
        <f aca="false">-3.929-1.8</f>
        <v>-5.729</v>
      </c>
      <c r="F117" s="75" t="n">
        <f aca="false">SUM(B117:E117)</f>
        <v>-12.429</v>
      </c>
      <c r="G117" s="82"/>
    </row>
    <row r="118" customFormat="false" ht="13.5" hidden="false" customHeight="false" outlineLevel="0" collapsed="false">
      <c r="A118" s="68" t="s">
        <v>39</v>
      </c>
      <c r="B118" s="72" t="n">
        <f aca="false">SUM(B107:B117)</f>
        <v>50.103</v>
      </c>
      <c r="C118" s="69" t="n">
        <f aca="false">SUM(C107:C117)</f>
        <v>-3.511</v>
      </c>
      <c r="D118" s="69" t="n">
        <f aca="false">SUM(D107:D117)</f>
        <v>-11.777</v>
      </c>
      <c r="E118" s="70" t="n">
        <f aca="false">SUM(E107:E117)</f>
        <v>32.378</v>
      </c>
      <c r="F118" s="71" t="n">
        <f aca="false">SUM(B118:E118)</f>
        <v>67.193</v>
      </c>
      <c r="G118" s="82"/>
    </row>
    <row r="119" customFormat="false" ht="12.75" hidden="false" customHeight="false" outlineLevel="0" collapsed="false">
      <c r="A119" s="17"/>
      <c r="B119" s="75"/>
      <c r="C119" s="75"/>
      <c r="D119" s="75"/>
      <c r="F119" s="71"/>
      <c r="G119" s="82"/>
    </row>
    <row r="120" customFormat="false" ht="12.75" hidden="false" customHeight="false" outlineLevel="0" collapsed="false">
      <c r="G120" s="82"/>
    </row>
    <row r="121" customFormat="false" ht="12.75" hidden="false" customHeight="false" outlineLevel="0" collapsed="false">
      <c r="A121" s="82"/>
      <c r="B121" s="82"/>
      <c r="C121" s="82"/>
      <c r="D121" s="82"/>
      <c r="E121" s="82"/>
      <c r="F121" s="82"/>
      <c r="G121" s="82"/>
    </row>
  </sheetData>
  <mergeCells count="11">
    <mergeCell ref="B1:G1"/>
    <mergeCell ref="I1:N1"/>
    <mergeCell ref="P1:U1"/>
    <mergeCell ref="W1:AB1"/>
    <mergeCell ref="AD1:AI1"/>
    <mergeCell ref="B14:D14"/>
    <mergeCell ref="E14:G14"/>
    <mergeCell ref="I14:N14"/>
    <mergeCell ref="P14:U14"/>
    <mergeCell ref="W14:AB14"/>
    <mergeCell ref="AD14:AI14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50" t="s">
        <v>100</v>
      </c>
      <c r="B2" s="147"/>
      <c r="C2" s="147"/>
      <c r="D2" s="147"/>
      <c r="E2" s="147"/>
      <c r="F2" s="147"/>
      <c r="G2" s="147"/>
      <c r="H2" s="147" t="s">
        <v>42</v>
      </c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</sheetData>
  <mergeCells count="1">
    <mergeCell ref="A1:O1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N24" activeCellId="0" sqref="N2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47"/>
      <c r="B2" s="147"/>
      <c r="C2" s="147"/>
      <c r="D2" s="147"/>
      <c r="E2" s="147"/>
      <c r="F2" s="147"/>
      <c r="G2" s="147"/>
      <c r="H2" s="147" t="s">
        <v>27</v>
      </c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49" t="s">
        <v>99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</sheetData>
  <mergeCells count="2">
    <mergeCell ref="A1:O1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50" t="s">
        <v>100</v>
      </c>
      <c r="B2" s="147"/>
      <c r="C2" s="147"/>
      <c r="D2" s="147"/>
      <c r="E2" s="147"/>
      <c r="F2" s="147"/>
      <c r="G2" s="147"/>
      <c r="H2" s="147" t="s">
        <v>27</v>
      </c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</sheetData>
  <mergeCells count="1">
    <mergeCell ref="A1:O1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47"/>
      <c r="B2" s="147"/>
      <c r="C2" s="147"/>
      <c r="D2" s="147"/>
      <c r="E2" s="147"/>
      <c r="F2" s="147"/>
      <c r="G2" s="147"/>
      <c r="H2" s="147" t="s">
        <v>31</v>
      </c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49" t="s">
        <v>99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</sheetData>
  <mergeCells count="2">
    <mergeCell ref="A1:O1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47"/>
      <c r="B2" s="147"/>
      <c r="C2" s="147"/>
      <c r="D2" s="147"/>
      <c r="E2" s="147"/>
      <c r="F2" s="147"/>
      <c r="G2" s="147"/>
      <c r="H2" s="147" t="s">
        <v>33</v>
      </c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49" t="s">
        <v>99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</sheetData>
  <mergeCells count="2">
    <mergeCell ref="A1:O1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47"/>
      <c r="B2" s="147"/>
      <c r="C2" s="147"/>
      <c r="D2" s="147"/>
      <c r="E2" s="147"/>
      <c r="F2" s="147"/>
      <c r="G2" s="147"/>
      <c r="H2" s="147" t="s">
        <v>45</v>
      </c>
      <c r="I2" s="147"/>
      <c r="J2" s="147"/>
      <c r="K2" s="147"/>
      <c r="L2" s="147"/>
      <c r="M2" s="147"/>
      <c r="N2" s="147"/>
      <c r="O2" s="148" t="s">
        <v>103</v>
      </c>
    </row>
    <row r="3" customFormat="false" ht="12.75" hidden="false" customHeight="false" outlineLevel="0" collapsed="false">
      <c r="A3" s="149" t="s">
        <v>99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</sheetData>
  <mergeCells count="2">
    <mergeCell ref="A1:O1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K24" activeCellId="0" sqref="K2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47"/>
      <c r="B2" s="147"/>
      <c r="C2" s="147"/>
      <c r="D2" s="147"/>
      <c r="E2" s="147"/>
      <c r="F2" s="147"/>
      <c r="G2" s="147"/>
      <c r="H2" s="147" t="s">
        <v>32</v>
      </c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49" t="s">
        <v>99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</sheetData>
  <mergeCells count="2">
    <mergeCell ref="A1:O1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50" t="s">
        <v>100</v>
      </c>
      <c r="B2" s="147"/>
      <c r="C2" s="147"/>
      <c r="D2" s="147"/>
      <c r="E2" s="147"/>
      <c r="F2" s="147"/>
      <c r="G2" s="147"/>
      <c r="H2" s="147" t="s">
        <v>32</v>
      </c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</sheetData>
  <mergeCells count="1">
    <mergeCell ref="A1:O1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47"/>
      <c r="B2" s="147"/>
      <c r="C2" s="147"/>
      <c r="D2" s="147"/>
      <c r="E2" s="147"/>
      <c r="F2" s="147"/>
      <c r="G2" s="147"/>
      <c r="H2" s="147" t="s">
        <v>44</v>
      </c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49" t="s">
        <v>99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</sheetData>
  <mergeCells count="2">
    <mergeCell ref="A1:O1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47"/>
      <c r="B2" s="147"/>
      <c r="C2" s="147"/>
      <c r="D2" s="147"/>
      <c r="E2" s="147"/>
      <c r="F2" s="147"/>
      <c r="G2" s="147"/>
      <c r="H2" s="147" t="s">
        <v>35</v>
      </c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49" t="s">
        <v>99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</sheetData>
  <mergeCells count="2">
    <mergeCell ref="A1:O1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AL3" activePane="bottomRight" state="frozen"/>
      <selection pane="topLeft" activeCell="A1" activeCellId="0" sqref="A1"/>
      <selection pane="topRight" activeCell="AL1" activeCellId="0" sqref="AL1"/>
      <selection pane="bottomLeft" activeCell="A3" activeCellId="0" sqref="A3"/>
      <selection pane="bottomRight" activeCell="AT15" activeCellId="0" sqref="AT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99"/>
    <col collapsed="false" customWidth="true" hidden="false" outlineLevel="0" max="2" min="2" style="1" width="13.7"/>
    <col collapsed="false" customWidth="true" hidden="false" outlineLevel="0" max="3" min="3" style="1" width="16.7"/>
    <col collapsed="false" customWidth="true" hidden="false" outlineLevel="0" max="5" min="4" style="1" width="12.14"/>
    <col collapsed="false" customWidth="true" hidden="false" outlineLevel="0" max="6" min="6" style="2" width="2.42"/>
    <col collapsed="false" customWidth="true" hidden="false" outlineLevel="0" max="7" min="7" style="1" width="13.7"/>
    <col collapsed="false" customWidth="true" hidden="false" outlineLevel="0" max="8" min="8" style="1" width="16.7"/>
    <col collapsed="false" customWidth="true" hidden="false" outlineLevel="0" max="10" min="9" style="1" width="12.14"/>
    <col collapsed="false" customWidth="true" hidden="false" outlineLevel="0" max="11" min="11" style="2" width="2.42"/>
    <col collapsed="false" customWidth="true" hidden="false" outlineLevel="0" max="12" min="12" style="1" width="12.7"/>
    <col collapsed="false" customWidth="true" hidden="false" outlineLevel="0" max="13" min="13" style="1" width="15.7"/>
    <col collapsed="false" customWidth="true" hidden="false" outlineLevel="0" max="15" min="14" style="1" width="12.14"/>
    <col collapsed="false" customWidth="true" hidden="false" outlineLevel="0" max="16" min="16" style="2" width="2.42"/>
    <col collapsed="false" customWidth="true" hidden="false" outlineLevel="0" max="17" min="17" style="1" width="12.7"/>
    <col collapsed="false" customWidth="true" hidden="false" outlineLevel="0" max="18" min="18" style="1" width="13.7"/>
    <col collapsed="false" customWidth="true" hidden="false" outlineLevel="0" max="20" min="19" style="1" width="12.14"/>
    <col collapsed="false" customWidth="true" hidden="false" outlineLevel="0" max="21" min="21" style="2" width="2.42"/>
    <col collapsed="false" customWidth="true" hidden="false" outlineLevel="0" max="22" min="22" style="1" width="13.7"/>
    <col collapsed="false" customWidth="true" hidden="false" outlineLevel="0" max="23" min="23" style="1" width="15.7"/>
    <col collapsed="false" customWidth="true" hidden="false" outlineLevel="0" max="25" min="24" style="1" width="12.14"/>
    <col collapsed="false" customWidth="true" hidden="false" outlineLevel="0" max="26" min="26" style="9" width="2.42"/>
    <col collapsed="false" customWidth="true" hidden="false" outlineLevel="0" max="27" min="27" style="9" width="12.7"/>
    <col collapsed="false" customWidth="true" hidden="false" outlineLevel="0" max="28" min="28" style="9" width="13.7"/>
    <col collapsed="false" customWidth="true" hidden="false" outlineLevel="0" max="30" min="29" style="9" width="12.14"/>
    <col collapsed="false" customWidth="true" hidden="false" outlineLevel="0" max="31" min="31" style="9" width="2.42"/>
    <col collapsed="false" customWidth="true" hidden="false" outlineLevel="0" max="32" min="32" style="9" width="12.7"/>
    <col collapsed="false" customWidth="true" hidden="false" outlineLevel="0" max="33" min="33" style="9" width="13.7"/>
    <col collapsed="false" customWidth="true" hidden="false" outlineLevel="0" max="35" min="34" style="9" width="12.14"/>
    <col collapsed="false" customWidth="true" hidden="false" outlineLevel="0" max="36" min="36" style="9" width="2.42"/>
    <col collapsed="false" customWidth="true" hidden="false" outlineLevel="0" max="37" min="37" style="9" width="12.7"/>
    <col collapsed="false" customWidth="true" hidden="false" outlineLevel="0" max="38" min="38" style="9" width="13.7"/>
    <col collapsed="false" customWidth="true" hidden="false" outlineLevel="0" max="40" min="39" style="9" width="12.14"/>
    <col collapsed="false" customWidth="true" hidden="false" outlineLevel="0" max="41" min="41" style="9" width="2.42"/>
    <col collapsed="false" customWidth="true" hidden="false" outlineLevel="0" max="42" min="42" style="9" width="12.7"/>
    <col collapsed="false" customWidth="true" hidden="false" outlineLevel="0" max="43" min="43" style="9" width="13.7"/>
    <col collapsed="false" customWidth="true" hidden="false" outlineLevel="0" max="45" min="44" style="9" width="12.14"/>
    <col collapsed="false" customWidth="true" hidden="false" outlineLevel="0" max="46" min="46" style="9" width="2.42"/>
    <col collapsed="false" customWidth="true" hidden="false" outlineLevel="0" max="47" min="47" style="9" width="12.7"/>
    <col collapsed="false" customWidth="true" hidden="false" outlineLevel="0" max="48" min="48" style="9" width="13.7"/>
    <col collapsed="false" customWidth="true" hidden="false" outlineLevel="0" max="50" min="49" style="9" width="12.14"/>
    <col collapsed="false" customWidth="true" hidden="false" outlineLevel="0" max="51" min="51" style="9" width="2.42"/>
    <col collapsed="false" customWidth="true" hidden="false" outlineLevel="0" max="52" min="52" style="9" width="13.7"/>
    <col collapsed="false" customWidth="true" hidden="false" outlineLevel="0" max="53" min="53" style="1" width="13.7"/>
    <col collapsed="false" customWidth="true" hidden="false" outlineLevel="0" max="55" min="54" style="1" width="12.14"/>
    <col collapsed="false" customWidth="true" hidden="false" outlineLevel="0" max="56" min="56" style="1" width="2.42"/>
    <col collapsed="false" customWidth="true" hidden="false" outlineLevel="0" max="57" min="57" style="1" width="12.7"/>
    <col collapsed="false" customWidth="true" hidden="false" outlineLevel="0" max="58" min="58" style="1" width="13.7"/>
    <col collapsed="false" customWidth="true" hidden="false" outlineLevel="0" max="60" min="59" style="1" width="12.14"/>
    <col collapsed="false" customWidth="true" hidden="false" outlineLevel="0" max="61" min="61" style="1" width="2.42"/>
    <col collapsed="false" customWidth="true" hidden="false" outlineLevel="0" max="62" min="62" style="1" width="13.7"/>
    <col collapsed="false" customWidth="true" hidden="false" outlineLevel="0" max="63" min="63" style="1" width="15.7"/>
    <col collapsed="false" customWidth="true" hidden="false" outlineLevel="0" max="65" min="64" style="1" width="12.14"/>
    <col collapsed="false" customWidth="false" hidden="false" outlineLevel="0" max="68" min="66" style="1" width="9.14"/>
    <col collapsed="false" customWidth="true" hidden="false" outlineLevel="0" max="69" min="69" style="1" width="11.56"/>
    <col collapsed="false" customWidth="false" hidden="false" outlineLevel="0" max="257" min="70" style="1" width="9.14"/>
  </cols>
  <sheetData>
    <row r="1" customFormat="false" ht="19.5" hidden="false" customHeight="true" outlineLevel="0" collapsed="false">
      <c r="A1" s="3"/>
      <c r="B1" s="4" t="s">
        <v>0</v>
      </c>
      <c r="C1" s="4"/>
      <c r="D1" s="4"/>
      <c r="E1" s="4"/>
      <c r="F1" s="5"/>
      <c r="G1" s="4" t="s">
        <v>1</v>
      </c>
      <c r="H1" s="4"/>
      <c r="I1" s="4"/>
      <c r="J1" s="4"/>
      <c r="K1" s="5"/>
      <c r="L1" s="4" t="s">
        <v>2</v>
      </c>
      <c r="M1" s="4"/>
      <c r="N1" s="4"/>
      <c r="O1" s="4"/>
      <c r="P1" s="5"/>
      <c r="Q1" s="4" t="s">
        <v>3</v>
      </c>
      <c r="R1" s="4"/>
      <c r="S1" s="4"/>
      <c r="T1" s="4"/>
      <c r="U1" s="5"/>
      <c r="V1" s="4" t="s">
        <v>4</v>
      </c>
      <c r="W1" s="4"/>
      <c r="X1" s="4"/>
      <c r="Y1" s="4"/>
      <c r="Z1" s="84"/>
      <c r="AA1" s="53"/>
      <c r="AZ1" s="84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" hidden="false" customHeight="false" outlineLevel="0" collapsed="false">
      <c r="B2" s="85" t="s">
        <v>63</v>
      </c>
      <c r="C2" s="85" t="s">
        <v>64</v>
      </c>
      <c r="D2" s="85" t="s">
        <v>65</v>
      </c>
      <c r="E2" s="85" t="s">
        <v>66</v>
      </c>
      <c r="F2" s="12"/>
      <c r="G2" s="85" t="s">
        <v>63</v>
      </c>
      <c r="H2" s="85" t="s">
        <v>64</v>
      </c>
      <c r="I2" s="85" t="s">
        <v>65</v>
      </c>
      <c r="J2" s="85" t="s">
        <v>66</v>
      </c>
      <c r="K2" s="12"/>
      <c r="L2" s="85" t="s">
        <v>63</v>
      </c>
      <c r="M2" s="85" t="s">
        <v>64</v>
      </c>
      <c r="N2" s="85" t="s">
        <v>65</v>
      </c>
      <c r="O2" s="85" t="s">
        <v>66</v>
      </c>
      <c r="P2" s="12"/>
      <c r="Q2" s="85" t="s">
        <v>63</v>
      </c>
      <c r="R2" s="85" t="s">
        <v>64</v>
      </c>
      <c r="S2" s="85" t="s">
        <v>65</v>
      </c>
      <c r="T2" s="85" t="s">
        <v>66</v>
      </c>
      <c r="U2" s="12"/>
      <c r="V2" s="85" t="s">
        <v>63</v>
      </c>
      <c r="W2" s="85" t="s">
        <v>64</v>
      </c>
      <c r="X2" s="85" t="s">
        <v>65</v>
      </c>
      <c r="Y2" s="85" t="s">
        <v>66</v>
      </c>
      <c r="AA2" s="86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BA2" s="8"/>
      <c r="BB2" s="8"/>
      <c r="BC2" s="8"/>
    </row>
    <row r="3" customFormat="false" ht="12.75" hidden="false" customHeight="false" outlineLevel="0" collapsed="false">
      <c r="A3" s="17" t="s">
        <v>13</v>
      </c>
      <c r="B3" s="88" t="n">
        <f aca="false">+B11+G11+L11</f>
        <v>111902.855</v>
      </c>
      <c r="C3" s="88" t="n">
        <f aca="false">+C11+H11+M11</f>
        <v>1055869.85</v>
      </c>
      <c r="D3" s="88" t="n">
        <f aca="false">+D11+I11+N11</f>
        <v>31272</v>
      </c>
      <c r="E3" s="89" t="n">
        <f aca="false">+E11+J11+O11</f>
        <v>17807</v>
      </c>
      <c r="F3" s="90"/>
      <c r="G3" s="88" t="n">
        <f aca="false">+Q11+V11+AA11</f>
        <v>164653.357</v>
      </c>
      <c r="H3" s="88" t="n">
        <f aca="false">+R11+W11+AB11</f>
        <v>1218385.273</v>
      </c>
      <c r="I3" s="88" t="n">
        <f aca="false">+S11+X11+AC11</f>
        <v>29685</v>
      </c>
      <c r="J3" s="89" t="n">
        <f aca="false">+T11+Y11+AD11</f>
        <v>17434</v>
      </c>
      <c r="K3" s="90"/>
      <c r="L3" s="88" t="n">
        <f aca="false">+AF11+AK11+AP11</f>
        <v>157096.524</v>
      </c>
      <c r="M3" s="88" t="n">
        <f aca="false">+AG11+AL11+AQ11</f>
        <v>1242720</v>
      </c>
      <c r="N3" s="88" t="n">
        <f aca="false">+AH11+AM11+AR11</f>
        <v>33660</v>
      </c>
      <c r="O3" s="89" t="n">
        <f aca="false">+AI11+AN11+AS11</f>
        <v>20111</v>
      </c>
      <c r="P3" s="90"/>
      <c r="Q3" s="88" t="n">
        <f aca="false">+AU11+AZ11+BE11</f>
        <v>0</v>
      </c>
      <c r="R3" s="88" t="n">
        <f aca="false">+AV11+BA11+BF11</f>
        <v>0</v>
      </c>
      <c r="S3" s="88" t="n">
        <f aca="false">+AW11+BB11+BG11</f>
        <v>0</v>
      </c>
      <c r="T3" s="89" t="n">
        <f aca="false">+AX11+BC11+BH11</f>
        <v>0</v>
      </c>
      <c r="U3" s="90"/>
      <c r="V3" s="88" t="n">
        <f aca="false">+B3+G3+L3+Q3</f>
        <v>433652.736</v>
      </c>
      <c r="W3" s="88" t="n">
        <f aca="false">+C3+H3+M3+R3</f>
        <v>3516975.123</v>
      </c>
      <c r="X3" s="88" t="n">
        <f aca="false">+D3+I3+N3+S3</f>
        <v>94617</v>
      </c>
      <c r="Y3" s="89" t="n">
        <f aca="false">+E3+J3+O3+T3</f>
        <v>55352</v>
      </c>
      <c r="Z3" s="91"/>
      <c r="AA3" s="91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1"/>
      <c r="BA3" s="93"/>
      <c r="BB3" s="93"/>
      <c r="BC3" s="93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</row>
    <row r="4" customFormat="false" ht="12.75" hidden="false" customHeight="false" outlineLevel="0" collapsed="false">
      <c r="A4" s="17" t="s">
        <v>42</v>
      </c>
      <c r="B4" s="88" t="n">
        <f aca="false">+B12+G12+L12</f>
        <v>19532.815</v>
      </c>
      <c r="C4" s="88" t="n">
        <f aca="false">+C12+H12+M12</f>
        <v>4023.4</v>
      </c>
      <c r="D4" s="88" t="n">
        <f aca="false">+D12+I12+N12</f>
        <v>740</v>
      </c>
      <c r="E4" s="89" t="n">
        <f aca="false">+E12+J12+O12</f>
        <v>187</v>
      </c>
      <c r="F4" s="90"/>
      <c r="G4" s="88" t="n">
        <f aca="false">+Q12+V12+AA12</f>
        <v>21693.869</v>
      </c>
      <c r="H4" s="88" t="n">
        <f aca="false">+R12+W12+AB12</f>
        <v>4893.612</v>
      </c>
      <c r="I4" s="88" t="n">
        <f aca="false">+S12+X12+AC12</f>
        <v>385</v>
      </c>
      <c r="J4" s="89" t="n">
        <f aca="false">+T12+Y12+AD12</f>
        <v>31</v>
      </c>
      <c r="K4" s="90"/>
      <c r="L4" s="88" t="n">
        <f aca="false">+AF12+AK12+AP12</f>
        <v>22637.37</v>
      </c>
      <c r="M4" s="88" t="n">
        <f aca="false">+AG12+AL12+AQ12</f>
        <v>842.5</v>
      </c>
      <c r="N4" s="88" t="n">
        <f aca="false">+AH12+AM12+AR12</f>
        <v>1749</v>
      </c>
      <c r="O4" s="89" t="n">
        <f aca="false">+AI12+AN12+AS12</f>
        <v>362</v>
      </c>
      <c r="P4" s="90"/>
      <c r="Q4" s="88" t="n">
        <f aca="false">+AU12+AZ12+BE12</f>
        <v>0</v>
      </c>
      <c r="R4" s="88" t="n">
        <f aca="false">+AV12+BA12+BF12</f>
        <v>0</v>
      </c>
      <c r="S4" s="88" t="n">
        <f aca="false">+AW12+BB12+BG12</f>
        <v>0</v>
      </c>
      <c r="T4" s="89" t="n">
        <f aca="false">+AX12+BC12+BH12</f>
        <v>0</v>
      </c>
      <c r="U4" s="90"/>
      <c r="V4" s="88" t="n">
        <f aca="false">+B4+G4+L4+Q4</f>
        <v>63864.054</v>
      </c>
      <c r="W4" s="88" t="n">
        <f aca="false">+C4+H4+M4+R4</f>
        <v>9759.512</v>
      </c>
      <c r="X4" s="88" t="n">
        <f aca="false">+D4+I4+N4+S4</f>
        <v>2874</v>
      </c>
      <c r="Y4" s="89" t="n">
        <f aca="false">+E4+J4+O4+T4</f>
        <v>580</v>
      </c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5"/>
      <c r="AK4" s="91"/>
      <c r="AL4" s="91"/>
      <c r="AM4" s="91"/>
      <c r="AN4" s="95"/>
      <c r="AO4" s="91"/>
      <c r="AP4" s="91"/>
      <c r="AQ4" s="91"/>
      <c r="AR4" s="95"/>
      <c r="AS4" s="91"/>
      <c r="AT4" s="91"/>
      <c r="AU4" s="91"/>
      <c r="AV4" s="95"/>
      <c r="AW4" s="91"/>
      <c r="AX4" s="91"/>
      <c r="AY4" s="91"/>
      <c r="AZ4" s="91"/>
      <c r="BA4" s="93"/>
      <c r="BB4" s="93"/>
      <c r="BC4" s="93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</row>
    <row r="5" customFormat="false" ht="12.75" hidden="false" customHeight="false" outlineLevel="0" collapsed="false">
      <c r="A5" s="17" t="s">
        <v>27</v>
      </c>
      <c r="B5" s="88" t="n">
        <f aca="false">+B13+G13+L13</f>
        <v>0</v>
      </c>
      <c r="C5" s="88" t="n">
        <f aca="false">+C13+H13+M13</f>
        <v>290100</v>
      </c>
      <c r="D5" s="88" t="n">
        <f aca="false">+D13+I13+N13</f>
        <v>378</v>
      </c>
      <c r="E5" s="89" t="n">
        <f aca="false">+E13+J13+O13</f>
        <v>139</v>
      </c>
      <c r="F5" s="90"/>
      <c r="G5" s="88" t="n">
        <f aca="false">+Q13+V13+AA13</f>
        <v>0</v>
      </c>
      <c r="H5" s="88" t="n">
        <f aca="false">+R13+W13+AB13</f>
        <v>185205.9</v>
      </c>
      <c r="I5" s="88" t="n">
        <f aca="false">+S13+X13+AC13</f>
        <v>328</v>
      </c>
      <c r="J5" s="89" t="n">
        <f aca="false">+T13+Y13+AD13</f>
        <v>204</v>
      </c>
      <c r="K5" s="90"/>
      <c r="L5" s="88" t="n">
        <f aca="false">+AF13+AK13+AP13</f>
        <v>0</v>
      </c>
      <c r="M5" s="88" t="n">
        <f aca="false">+AG13+AL13+AQ13</f>
        <v>303650</v>
      </c>
      <c r="N5" s="88" t="n">
        <f aca="false">+AH13+AM13+AR13</f>
        <v>354</v>
      </c>
      <c r="O5" s="89" t="n">
        <f aca="false">+AI13+AN13+AS13</f>
        <v>163</v>
      </c>
      <c r="P5" s="90"/>
      <c r="Q5" s="88" t="n">
        <f aca="false">+AU13+AZ13+BE13</f>
        <v>0</v>
      </c>
      <c r="R5" s="88" t="n">
        <f aca="false">+AV13+BA13+BF13</f>
        <v>0</v>
      </c>
      <c r="S5" s="88" t="n">
        <f aca="false">+AW13+BB13+BG13</f>
        <v>0</v>
      </c>
      <c r="T5" s="89" t="n">
        <f aca="false">+AX13+BC13+BH13</f>
        <v>0</v>
      </c>
      <c r="U5" s="90"/>
      <c r="V5" s="88" t="n">
        <f aca="false">+B5+G5+L5+Q5</f>
        <v>0</v>
      </c>
      <c r="W5" s="88" t="n">
        <f aca="false">+C5+H5+M5+R5</f>
        <v>778955.9</v>
      </c>
      <c r="X5" s="88" t="n">
        <f aca="false">+D5+I5+N5+S5</f>
        <v>1060</v>
      </c>
      <c r="Y5" s="89" t="n">
        <f aca="false">+E5+J5+O5+T5</f>
        <v>506</v>
      </c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3"/>
      <c r="BB5" s="93"/>
      <c r="BC5" s="93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</row>
    <row r="6" customFormat="false" ht="13.5" hidden="false" customHeight="false" outlineLevel="0" collapsed="false">
      <c r="A6" s="17" t="s">
        <v>32</v>
      </c>
      <c r="B6" s="88" t="n">
        <f aca="false">+B14+G14+L14</f>
        <v>772.799</v>
      </c>
      <c r="C6" s="88" t="n">
        <f aca="false">+C14+H14+M14</f>
        <v>0</v>
      </c>
      <c r="D6" s="88" t="n">
        <f aca="false">+D14+I14+N14</f>
        <v>2211</v>
      </c>
      <c r="E6" s="89" t="n">
        <f aca="false">+E14+J14+O14</f>
        <v>0</v>
      </c>
      <c r="F6" s="90"/>
      <c r="G6" s="88" t="n">
        <f aca="false">+Q14+V14+AA14</f>
        <v>2162.879</v>
      </c>
      <c r="H6" s="88" t="n">
        <f aca="false">+R14+W14+AB14</f>
        <v>0</v>
      </c>
      <c r="I6" s="88" t="n">
        <f aca="false">+S14+X14+AC14</f>
        <v>5690</v>
      </c>
      <c r="J6" s="89" t="n">
        <f aca="false">+T14+Y14+AD14</f>
        <v>0</v>
      </c>
      <c r="K6" s="90"/>
      <c r="L6" s="88" t="n">
        <f aca="false">+AF14+AK14+AP14</f>
        <v>2132.347</v>
      </c>
      <c r="M6" s="88" t="n">
        <f aca="false">+AG14+AL14+AQ14</f>
        <v>0</v>
      </c>
      <c r="N6" s="88" t="n">
        <f aca="false">+AH14+AM14+AR14</f>
        <v>4856</v>
      </c>
      <c r="O6" s="89" t="n">
        <f aca="false">+AI14+AN14+AS14</f>
        <v>0</v>
      </c>
      <c r="P6" s="90"/>
      <c r="Q6" s="88" t="n">
        <f aca="false">+AU14+AZ14+BE14</f>
        <v>0</v>
      </c>
      <c r="R6" s="88" t="n">
        <f aca="false">+AV14+BA14+BF14</f>
        <v>0</v>
      </c>
      <c r="S6" s="88" t="n">
        <f aca="false">+AW14+BB14+BG14</f>
        <v>0</v>
      </c>
      <c r="T6" s="89" t="n">
        <f aca="false">+AX14+BC14+BH14</f>
        <v>0</v>
      </c>
      <c r="U6" s="90"/>
      <c r="V6" s="88" t="n">
        <f aca="false">+B6+G6+L6+Q6</f>
        <v>5068.025</v>
      </c>
      <c r="W6" s="88" t="n">
        <f aca="false">+C6+H6+M6+R6</f>
        <v>0</v>
      </c>
      <c r="X6" s="88" t="n">
        <f aca="false">+D6+I6+N6+S6</f>
        <v>12757</v>
      </c>
      <c r="Y6" s="89" t="n">
        <f aca="false">+E6+J6+O6+T6</f>
        <v>0</v>
      </c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3"/>
      <c r="BB6" s="93"/>
      <c r="BC6" s="93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</row>
    <row r="7" customFormat="false" ht="13.5" hidden="false" customHeight="false" outlineLevel="0" collapsed="false">
      <c r="A7" s="17" t="s">
        <v>39</v>
      </c>
      <c r="B7" s="96" t="n">
        <f aca="false">SUM(B3:B6)</f>
        <v>132208.469</v>
      </c>
      <c r="C7" s="96" t="n">
        <f aca="false">SUM(C3:C6)</f>
        <v>1349993.25</v>
      </c>
      <c r="D7" s="96" t="n">
        <f aca="false">SUM(D3:D6)</f>
        <v>34601</v>
      </c>
      <c r="E7" s="97" t="n">
        <f aca="false">SUM(E3:E6)</f>
        <v>18133</v>
      </c>
      <c r="F7" s="98"/>
      <c r="G7" s="96" t="n">
        <f aca="false">SUM(G3:G6)</f>
        <v>188510.105</v>
      </c>
      <c r="H7" s="96" t="n">
        <f aca="false">SUM(H3:H6)</f>
        <v>1408484.785</v>
      </c>
      <c r="I7" s="96" t="n">
        <f aca="false">SUM(I3:I6)</f>
        <v>36088</v>
      </c>
      <c r="J7" s="97" t="n">
        <f aca="false">SUM(J3:J6)</f>
        <v>17669</v>
      </c>
      <c r="K7" s="98"/>
      <c r="L7" s="96" t="n">
        <f aca="false">SUM(L3:L6)</f>
        <v>181866.241</v>
      </c>
      <c r="M7" s="96" t="n">
        <f aca="false">SUM(M3:M6)</f>
        <v>1547212.5</v>
      </c>
      <c r="N7" s="96" t="n">
        <f aca="false">SUM(N3:N6)</f>
        <v>40619</v>
      </c>
      <c r="O7" s="97" t="n">
        <f aca="false">SUM(O3:O6)</f>
        <v>20636</v>
      </c>
      <c r="P7" s="98"/>
      <c r="Q7" s="96" t="n">
        <f aca="false">SUM(Q3:Q6)</f>
        <v>0</v>
      </c>
      <c r="R7" s="96" t="n">
        <f aca="false">SUM(R3:R6)</f>
        <v>0</v>
      </c>
      <c r="S7" s="96" t="n">
        <f aca="false">SUM(S3:S6)</f>
        <v>0</v>
      </c>
      <c r="T7" s="97" t="n">
        <f aca="false">SUM(T3:T6)</f>
        <v>0</v>
      </c>
      <c r="U7" s="90"/>
      <c r="V7" s="96" t="n">
        <f aca="false">SUM(V3:V6)</f>
        <v>502584.815</v>
      </c>
      <c r="W7" s="96" t="n">
        <f aca="false">SUM(W3:W6)</f>
        <v>4305690.535</v>
      </c>
      <c r="X7" s="96" t="n">
        <f aca="false">SUM(X3:X6)</f>
        <v>111308</v>
      </c>
      <c r="Y7" s="97" t="n">
        <f aca="false">SUM(Y3:Y6)</f>
        <v>56438</v>
      </c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9"/>
      <c r="AK7" s="91"/>
      <c r="AL7" s="99"/>
      <c r="AM7" s="91"/>
      <c r="AN7" s="99"/>
      <c r="AO7" s="91"/>
      <c r="AP7" s="99"/>
      <c r="AQ7" s="91"/>
      <c r="AR7" s="99"/>
      <c r="AS7" s="91"/>
      <c r="AT7" s="99"/>
      <c r="AU7" s="91"/>
      <c r="AV7" s="99"/>
      <c r="AW7" s="91"/>
      <c r="AX7" s="91"/>
      <c r="AY7" s="91"/>
      <c r="AZ7" s="91"/>
      <c r="BA7" s="93"/>
      <c r="BB7" s="93"/>
      <c r="BC7" s="93"/>
      <c r="BD7" s="94"/>
      <c r="BE7" s="94"/>
      <c r="BF7" s="94"/>
      <c r="BG7" s="94"/>
      <c r="BH7" s="94"/>
      <c r="BI7" s="94" t="s">
        <v>67</v>
      </c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</row>
    <row r="8" customFormat="false" ht="12.75" hidden="false" customHeight="false" outlineLevel="0" collapsed="false">
      <c r="A8" s="9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34"/>
      <c r="V8" s="21"/>
      <c r="W8" s="21"/>
      <c r="X8" s="21"/>
      <c r="Y8" s="21"/>
      <c r="AA8" s="53"/>
      <c r="AB8" s="53"/>
      <c r="AC8" s="53"/>
      <c r="AD8" s="53"/>
      <c r="AE8" s="53"/>
      <c r="AF8" s="53"/>
      <c r="AG8" s="53"/>
      <c r="AH8" s="53"/>
      <c r="AI8" s="53"/>
      <c r="AK8" s="53"/>
      <c r="AM8" s="53"/>
      <c r="AO8" s="53"/>
      <c r="AQ8" s="53"/>
      <c r="AS8" s="53"/>
      <c r="AU8" s="53"/>
      <c r="AW8" s="53"/>
      <c r="AY8" s="53"/>
      <c r="BA8" s="8"/>
      <c r="BB8" s="8"/>
      <c r="BC8" s="8"/>
    </row>
    <row r="9" customFormat="false" ht="15" hidden="false" customHeight="false" outlineLevel="0" collapsed="false">
      <c r="A9" s="3"/>
      <c r="B9" s="4" t="s">
        <v>14</v>
      </c>
      <c r="C9" s="4"/>
      <c r="D9" s="4"/>
      <c r="E9" s="4"/>
      <c r="F9" s="5"/>
      <c r="G9" s="4" t="s">
        <v>15</v>
      </c>
      <c r="H9" s="4"/>
      <c r="I9" s="4"/>
      <c r="J9" s="4"/>
      <c r="K9" s="5"/>
      <c r="L9" s="4" t="s">
        <v>16</v>
      </c>
      <c r="M9" s="4"/>
      <c r="N9" s="4"/>
      <c r="O9" s="4"/>
      <c r="P9" s="5"/>
      <c r="Q9" s="4" t="s">
        <v>17</v>
      </c>
      <c r="R9" s="4"/>
      <c r="S9" s="4"/>
      <c r="T9" s="4"/>
      <c r="U9" s="21"/>
      <c r="V9" s="4" t="s">
        <v>18</v>
      </c>
      <c r="W9" s="4"/>
      <c r="X9" s="4"/>
      <c r="Y9" s="4"/>
      <c r="Z9" s="100"/>
      <c r="AA9" s="4" t="s">
        <v>19</v>
      </c>
      <c r="AB9" s="4"/>
      <c r="AC9" s="4"/>
      <c r="AD9" s="4"/>
      <c r="AE9" s="5"/>
      <c r="AF9" s="4" t="s">
        <v>20</v>
      </c>
      <c r="AG9" s="4"/>
      <c r="AH9" s="4"/>
      <c r="AI9" s="4"/>
      <c r="AJ9" s="5"/>
      <c r="AK9" s="4" t="s">
        <v>21</v>
      </c>
      <c r="AL9" s="4"/>
      <c r="AM9" s="4"/>
      <c r="AN9" s="4"/>
      <c r="AO9" s="5"/>
      <c r="AP9" s="4" t="s">
        <v>68</v>
      </c>
      <c r="AQ9" s="4"/>
      <c r="AR9" s="4"/>
      <c r="AS9" s="4"/>
      <c r="AT9" s="21"/>
      <c r="AU9" s="4" t="s">
        <v>23</v>
      </c>
      <c r="AV9" s="4"/>
      <c r="AW9" s="4"/>
      <c r="AX9" s="4"/>
      <c r="AY9" s="100"/>
      <c r="AZ9" s="4" t="s">
        <v>24</v>
      </c>
      <c r="BA9" s="4"/>
      <c r="BB9" s="4"/>
      <c r="BC9" s="4"/>
      <c r="BD9" s="100"/>
      <c r="BE9" s="4" t="s">
        <v>25</v>
      </c>
      <c r="BF9" s="4"/>
      <c r="BG9" s="4"/>
      <c r="BH9" s="4"/>
      <c r="BI9" s="9"/>
      <c r="BJ9" s="4" t="s">
        <v>4</v>
      </c>
      <c r="BK9" s="4"/>
      <c r="BL9" s="4"/>
      <c r="BM9" s="4"/>
      <c r="BN9" s="9"/>
      <c r="BO9" s="9"/>
      <c r="BP9" s="9"/>
      <c r="BQ9" s="9"/>
      <c r="BR9" s="9"/>
      <c r="BS9" s="9"/>
      <c r="BT9" s="9"/>
      <c r="BU9" s="9"/>
      <c r="BV9" s="9"/>
    </row>
    <row r="10" customFormat="false" ht="12.75" hidden="false" customHeight="false" outlineLevel="0" collapsed="false">
      <c r="A10" s="1" t="n">
        <v>2001</v>
      </c>
      <c r="B10" s="85" t="s">
        <v>63</v>
      </c>
      <c r="C10" s="85" t="s">
        <v>64</v>
      </c>
      <c r="D10" s="85" t="s">
        <v>65</v>
      </c>
      <c r="E10" s="85" t="s">
        <v>66</v>
      </c>
      <c r="F10" s="12"/>
      <c r="G10" s="85" t="s">
        <v>63</v>
      </c>
      <c r="H10" s="85" t="s">
        <v>64</v>
      </c>
      <c r="I10" s="85" t="s">
        <v>65</v>
      </c>
      <c r="J10" s="85" t="s">
        <v>66</v>
      </c>
      <c r="K10" s="12"/>
      <c r="L10" s="85" t="s">
        <v>63</v>
      </c>
      <c r="M10" s="85" t="s">
        <v>64</v>
      </c>
      <c r="N10" s="85" t="s">
        <v>65</v>
      </c>
      <c r="O10" s="85" t="s">
        <v>66</v>
      </c>
      <c r="P10" s="12"/>
      <c r="Q10" s="85" t="s">
        <v>63</v>
      </c>
      <c r="R10" s="85" t="s">
        <v>64</v>
      </c>
      <c r="S10" s="85" t="s">
        <v>65</v>
      </c>
      <c r="T10" s="85" t="s">
        <v>66</v>
      </c>
      <c r="U10" s="12"/>
      <c r="V10" s="85" t="s">
        <v>63</v>
      </c>
      <c r="W10" s="85" t="s">
        <v>64</v>
      </c>
      <c r="X10" s="85" t="s">
        <v>65</v>
      </c>
      <c r="Y10" s="85" t="s">
        <v>66</v>
      </c>
      <c r="Z10" s="101"/>
      <c r="AA10" s="85" t="s">
        <v>63</v>
      </c>
      <c r="AB10" s="85" t="s">
        <v>64</v>
      </c>
      <c r="AC10" s="85" t="s">
        <v>65</v>
      </c>
      <c r="AD10" s="85" t="s">
        <v>66</v>
      </c>
      <c r="AE10" s="12"/>
      <c r="AF10" s="85" t="s">
        <v>63</v>
      </c>
      <c r="AG10" s="85" t="s">
        <v>64</v>
      </c>
      <c r="AH10" s="85" t="s">
        <v>65</v>
      </c>
      <c r="AI10" s="85" t="s">
        <v>66</v>
      </c>
      <c r="AJ10" s="12"/>
      <c r="AK10" s="85" t="s">
        <v>63</v>
      </c>
      <c r="AL10" s="85" t="s">
        <v>64</v>
      </c>
      <c r="AM10" s="85" t="s">
        <v>65</v>
      </c>
      <c r="AN10" s="85" t="s">
        <v>66</v>
      </c>
      <c r="AO10" s="12"/>
      <c r="AP10" s="85" t="s">
        <v>63</v>
      </c>
      <c r="AQ10" s="85" t="s">
        <v>64</v>
      </c>
      <c r="AR10" s="85" t="s">
        <v>65</v>
      </c>
      <c r="AS10" s="85" t="s">
        <v>66</v>
      </c>
      <c r="AT10" s="12"/>
      <c r="AU10" s="85" t="s">
        <v>63</v>
      </c>
      <c r="AV10" s="85" t="s">
        <v>64</v>
      </c>
      <c r="AW10" s="85" t="s">
        <v>65</v>
      </c>
      <c r="AX10" s="85" t="s">
        <v>66</v>
      </c>
      <c r="AY10" s="101"/>
      <c r="AZ10" s="85" t="s">
        <v>63</v>
      </c>
      <c r="BA10" s="85" t="s">
        <v>64</v>
      </c>
      <c r="BB10" s="85" t="s">
        <v>65</v>
      </c>
      <c r="BC10" s="85" t="s">
        <v>66</v>
      </c>
      <c r="BD10" s="101"/>
      <c r="BE10" s="85" t="s">
        <v>63</v>
      </c>
      <c r="BF10" s="85" t="s">
        <v>64</v>
      </c>
      <c r="BG10" s="85" t="s">
        <v>65</v>
      </c>
      <c r="BH10" s="85" t="s">
        <v>66</v>
      </c>
      <c r="BI10" s="9"/>
      <c r="BJ10" s="85" t="s">
        <v>63</v>
      </c>
      <c r="BK10" s="85" t="s">
        <v>64</v>
      </c>
      <c r="BL10" s="85" t="s">
        <v>65</v>
      </c>
      <c r="BM10" s="85" t="s">
        <v>66</v>
      </c>
      <c r="BN10" s="9"/>
      <c r="BO10" s="9"/>
      <c r="BP10" s="9"/>
      <c r="BQ10" s="9"/>
      <c r="BR10" s="9"/>
      <c r="BS10" s="9"/>
      <c r="BT10" s="9"/>
      <c r="BU10" s="9"/>
      <c r="BV10" s="9"/>
    </row>
    <row r="11" customFormat="false" ht="12.75" hidden="false" customHeight="false" outlineLevel="0" collapsed="false">
      <c r="A11" s="17" t="s">
        <v>13</v>
      </c>
      <c r="B11" s="88" t="n">
        <v>35889.035</v>
      </c>
      <c r="C11" s="88" t="n">
        <v>314627.526</v>
      </c>
      <c r="D11" s="88" t="n">
        <v>10780</v>
      </c>
      <c r="E11" s="89" t="n">
        <v>6293</v>
      </c>
      <c r="F11" s="90"/>
      <c r="G11" s="88" t="n">
        <v>38708.028</v>
      </c>
      <c r="H11" s="88" t="n">
        <v>325890.158</v>
      </c>
      <c r="I11" s="88" t="n">
        <v>9908</v>
      </c>
      <c r="J11" s="89" t="n">
        <v>5954</v>
      </c>
      <c r="K11" s="90"/>
      <c r="L11" s="88" t="n">
        <v>37305.792</v>
      </c>
      <c r="M11" s="88" t="n">
        <v>415352.166</v>
      </c>
      <c r="N11" s="88" t="n">
        <v>10584</v>
      </c>
      <c r="O11" s="89" t="n">
        <v>5560</v>
      </c>
      <c r="P11" s="90"/>
      <c r="Q11" s="88" t="n">
        <v>51131.207</v>
      </c>
      <c r="R11" s="88" t="n">
        <v>390818.951</v>
      </c>
      <c r="S11" s="88" t="n">
        <v>8289</v>
      </c>
      <c r="T11" s="89" t="n">
        <v>3845</v>
      </c>
      <c r="U11" s="102"/>
      <c r="V11" s="88" t="n">
        <v>60815.774</v>
      </c>
      <c r="W11" s="88" t="n">
        <v>422219.235</v>
      </c>
      <c r="X11" s="88" t="n">
        <v>12021</v>
      </c>
      <c r="Y11" s="89" t="n">
        <v>6451</v>
      </c>
      <c r="Z11" s="90"/>
      <c r="AA11" s="88" t="n">
        <v>52706.376</v>
      </c>
      <c r="AB11" s="88" t="n">
        <v>405347.087</v>
      </c>
      <c r="AC11" s="88" t="n">
        <v>9375</v>
      </c>
      <c r="AD11" s="89" t="n">
        <v>7138</v>
      </c>
      <c r="AE11" s="90"/>
      <c r="AF11" s="88" t="n">
        <v>50733.235</v>
      </c>
      <c r="AG11" s="88" t="n">
        <f aca="false">284373+101430</f>
        <v>385803</v>
      </c>
      <c r="AH11" s="88" t="n">
        <v>10180</v>
      </c>
      <c r="AI11" s="89" t="n">
        <v>7574</v>
      </c>
      <c r="AJ11" s="90"/>
      <c r="AK11" s="88" t="n">
        <v>59849.841</v>
      </c>
      <c r="AL11" s="88" t="n">
        <f aca="false">291290+151757</f>
        <v>443047</v>
      </c>
      <c r="AM11" s="88" t="n">
        <v>12418</v>
      </c>
      <c r="AN11" s="89" t="n">
        <v>7543</v>
      </c>
      <c r="AO11" s="90"/>
      <c r="AP11" s="88" t="n">
        <v>46513.448</v>
      </c>
      <c r="AQ11" s="88" t="n">
        <f aca="false">279788+134082</f>
        <v>413870</v>
      </c>
      <c r="AR11" s="88" t="n">
        <v>11062</v>
      </c>
      <c r="AS11" s="89" t="n">
        <v>4994</v>
      </c>
      <c r="AT11" s="102"/>
      <c r="AU11" s="88"/>
      <c r="AV11" s="88"/>
      <c r="AW11" s="88"/>
      <c r="AX11" s="89"/>
      <c r="AY11" s="90"/>
      <c r="AZ11" s="88"/>
      <c r="BA11" s="88"/>
      <c r="BB11" s="88"/>
      <c r="BC11" s="89"/>
      <c r="BD11" s="90"/>
      <c r="BE11" s="88"/>
      <c r="BF11" s="88"/>
      <c r="BG11" s="88"/>
      <c r="BH11" s="89"/>
      <c r="BI11" s="91"/>
      <c r="BJ11" s="88" t="n">
        <v>276718.052</v>
      </c>
      <c r="BK11" s="88" t="n">
        <v>2201803.947</v>
      </c>
      <c r="BL11" s="88" t="n">
        <v>60957</v>
      </c>
      <c r="BM11" s="89" t="n">
        <v>35241</v>
      </c>
      <c r="BN11" s="91"/>
      <c r="BO11" s="91"/>
      <c r="BP11" s="91"/>
      <c r="BQ11" s="91"/>
      <c r="BR11" s="91"/>
      <c r="BS11" s="91"/>
      <c r="BT11" s="91"/>
      <c r="BU11" s="91"/>
      <c r="BV11" s="91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03"/>
      <c r="CW11" s="103"/>
      <c r="CX11" s="103"/>
      <c r="CY11" s="103"/>
      <c r="CZ11" s="103"/>
      <c r="DA11" s="103"/>
      <c r="DB11" s="103"/>
      <c r="DC11" s="103"/>
      <c r="DD11" s="103"/>
      <c r="DE11" s="103"/>
      <c r="DF11" s="103"/>
      <c r="DG11" s="103"/>
      <c r="DH11" s="103"/>
      <c r="DI11" s="103"/>
      <c r="DJ11" s="103"/>
      <c r="DK11" s="103"/>
      <c r="DL11" s="103"/>
      <c r="DM11" s="103"/>
      <c r="DN11" s="103"/>
      <c r="DO11" s="103"/>
      <c r="DP11" s="103"/>
      <c r="DQ11" s="103"/>
      <c r="DR11" s="103"/>
      <c r="DS11" s="103"/>
      <c r="DT11" s="103"/>
      <c r="DU11" s="103"/>
      <c r="DV11" s="103"/>
      <c r="DW11" s="103"/>
      <c r="DX11" s="103"/>
      <c r="DY11" s="103"/>
      <c r="DZ11" s="103"/>
      <c r="EA11" s="103"/>
      <c r="EB11" s="103"/>
      <c r="EC11" s="103"/>
      <c r="ED11" s="103"/>
      <c r="EE11" s="103"/>
      <c r="EF11" s="103"/>
      <c r="EG11" s="103"/>
      <c r="EH11" s="103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2.75" hidden="false" customHeight="false" outlineLevel="0" collapsed="false">
      <c r="A12" s="17" t="s">
        <v>42</v>
      </c>
      <c r="B12" s="88" t="n">
        <v>6936.721</v>
      </c>
      <c r="C12" s="88" t="n">
        <v>767.6</v>
      </c>
      <c r="D12" s="88" t="n">
        <v>331</v>
      </c>
      <c r="E12" s="89" t="n">
        <v>130</v>
      </c>
      <c r="F12" s="90"/>
      <c r="G12" s="88" t="n">
        <v>6270.981</v>
      </c>
      <c r="H12" s="88" t="n">
        <v>1460</v>
      </c>
      <c r="I12" s="88" t="n">
        <v>220</v>
      </c>
      <c r="J12" s="89" t="n">
        <v>46</v>
      </c>
      <c r="K12" s="90"/>
      <c r="L12" s="88" t="n">
        <v>6325.113</v>
      </c>
      <c r="M12" s="88" t="n">
        <v>1795.8</v>
      </c>
      <c r="N12" s="88" t="n">
        <v>189</v>
      </c>
      <c r="O12" s="89" t="n">
        <v>11</v>
      </c>
      <c r="P12" s="90"/>
      <c r="Q12" s="88" t="n">
        <v>8004.107</v>
      </c>
      <c r="R12" s="88" t="n">
        <v>240</v>
      </c>
      <c r="S12" s="88" t="n">
        <v>116</v>
      </c>
      <c r="T12" s="89" t="n">
        <v>15</v>
      </c>
      <c r="U12" s="90"/>
      <c r="V12" s="88" t="n">
        <v>5662.816</v>
      </c>
      <c r="W12" s="88" t="n">
        <v>2170.012</v>
      </c>
      <c r="X12" s="88" t="n">
        <v>144</v>
      </c>
      <c r="Y12" s="89" t="n">
        <v>10</v>
      </c>
      <c r="Z12" s="90"/>
      <c r="AA12" s="88" t="n">
        <v>8026.946</v>
      </c>
      <c r="AB12" s="88" t="n">
        <v>2483.6</v>
      </c>
      <c r="AC12" s="88" t="n">
        <f aca="false">91+34</f>
        <v>125</v>
      </c>
      <c r="AD12" s="89" t="n">
        <v>6</v>
      </c>
      <c r="AE12" s="90"/>
      <c r="AF12" s="88" t="n">
        <v>7527.629</v>
      </c>
      <c r="AG12" s="88" t="n">
        <v>287.5</v>
      </c>
      <c r="AH12" s="88" t="n">
        <f aca="false">327+45</f>
        <v>372</v>
      </c>
      <c r="AI12" s="89" t="n">
        <v>43</v>
      </c>
      <c r="AJ12" s="90"/>
      <c r="AK12" s="88" t="n">
        <v>7200.54</v>
      </c>
      <c r="AL12" s="88" t="n">
        <v>277.5</v>
      </c>
      <c r="AM12" s="88" t="n">
        <f aca="false">762+147</f>
        <v>909</v>
      </c>
      <c r="AN12" s="89" t="n">
        <v>203</v>
      </c>
      <c r="AO12" s="90"/>
      <c r="AP12" s="88" t="n">
        <v>7909.201</v>
      </c>
      <c r="AQ12" s="88" t="n">
        <v>277.5</v>
      </c>
      <c r="AR12" s="88" t="n">
        <f aca="false">410+58</f>
        <v>468</v>
      </c>
      <c r="AS12" s="89" t="n">
        <v>116</v>
      </c>
      <c r="AT12" s="90"/>
      <c r="AU12" s="88"/>
      <c r="AV12" s="88"/>
      <c r="AW12" s="88"/>
      <c r="AX12" s="89"/>
      <c r="AY12" s="90"/>
      <c r="AZ12" s="88"/>
      <c r="BA12" s="88"/>
      <c r="BB12" s="88"/>
      <c r="BC12" s="89"/>
      <c r="BD12" s="90"/>
      <c r="BE12" s="88"/>
      <c r="BF12" s="88"/>
      <c r="BG12" s="88"/>
      <c r="BH12" s="89"/>
      <c r="BI12" s="91"/>
      <c r="BJ12" s="88" t="n">
        <v>42279.362</v>
      </c>
      <c r="BK12" s="88" t="n">
        <v>10831.012</v>
      </c>
      <c r="BL12" s="88" t="n">
        <v>1277</v>
      </c>
      <c r="BM12" s="89" t="n">
        <v>237</v>
      </c>
      <c r="BN12" s="91"/>
      <c r="BO12" s="91"/>
      <c r="BP12" s="91"/>
      <c r="BQ12" s="91"/>
      <c r="BR12" s="91"/>
      <c r="BS12" s="91"/>
      <c r="BT12" s="91"/>
      <c r="BU12" s="91"/>
      <c r="BV12" s="91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</row>
    <row r="13" customFormat="false" ht="14.25" hidden="false" customHeight="true" outlineLevel="0" collapsed="false">
      <c r="A13" s="17" t="s">
        <v>27</v>
      </c>
      <c r="B13" s="88" t="n">
        <v>0</v>
      </c>
      <c r="C13" s="88" t="n">
        <v>62850</v>
      </c>
      <c r="D13" s="88" t="n">
        <v>138</v>
      </c>
      <c r="E13" s="89" t="n">
        <v>62</v>
      </c>
      <c r="F13" s="90"/>
      <c r="G13" s="88" t="n">
        <v>0</v>
      </c>
      <c r="H13" s="88" t="n">
        <v>167500</v>
      </c>
      <c r="I13" s="88" t="n">
        <v>154</v>
      </c>
      <c r="J13" s="89" t="n">
        <v>50</v>
      </c>
      <c r="K13" s="90"/>
      <c r="L13" s="88" t="n">
        <v>0</v>
      </c>
      <c r="M13" s="88" t="n">
        <v>59750</v>
      </c>
      <c r="N13" s="88" t="n">
        <v>86</v>
      </c>
      <c r="O13" s="89" t="n">
        <v>27</v>
      </c>
      <c r="P13" s="90"/>
      <c r="Q13" s="88" t="n">
        <v>0</v>
      </c>
      <c r="R13" s="88" t="n">
        <v>19350</v>
      </c>
      <c r="S13" s="88" t="n">
        <v>58</v>
      </c>
      <c r="T13" s="89" t="n">
        <v>32</v>
      </c>
      <c r="U13" s="90"/>
      <c r="V13" s="88" t="n">
        <v>0</v>
      </c>
      <c r="W13" s="88" t="n">
        <v>56520</v>
      </c>
      <c r="X13" s="88" t="n">
        <v>123</v>
      </c>
      <c r="Y13" s="89" t="n">
        <v>82</v>
      </c>
      <c r="Z13" s="90"/>
      <c r="AA13" s="88" t="n">
        <v>0</v>
      </c>
      <c r="AB13" s="88" t="n">
        <v>109335.9</v>
      </c>
      <c r="AC13" s="88" t="n">
        <v>147</v>
      </c>
      <c r="AD13" s="89" t="n">
        <v>90</v>
      </c>
      <c r="AE13" s="90"/>
      <c r="AF13" s="88" t="n">
        <v>0</v>
      </c>
      <c r="AG13" s="88" t="n">
        <v>113660</v>
      </c>
      <c r="AH13" s="88" t="n">
        <v>142</v>
      </c>
      <c r="AI13" s="89" t="n">
        <v>58</v>
      </c>
      <c r="AJ13" s="90"/>
      <c r="AK13" s="88" t="n">
        <v>0</v>
      </c>
      <c r="AL13" s="88" t="n">
        <v>79850</v>
      </c>
      <c r="AM13" s="88" t="n">
        <v>135</v>
      </c>
      <c r="AN13" s="89" t="n">
        <v>63</v>
      </c>
      <c r="AO13" s="90"/>
      <c r="AP13" s="88" t="n">
        <v>0</v>
      </c>
      <c r="AQ13" s="88" t="n">
        <v>110140</v>
      </c>
      <c r="AR13" s="88" t="n">
        <v>77</v>
      </c>
      <c r="AS13" s="89" t="n">
        <v>42</v>
      </c>
      <c r="AT13" s="90"/>
      <c r="AU13" s="88"/>
      <c r="AV13" s="88"/>
      <c r="AW13" s="88"/>
      <c r="AX13" s="89"/>
      <c r="AY13" s="90"/>
      <c r="AZ13" s="88"/>
      <c r="BA13" s="88"/>
      <c r="BB13" s="88"/>
      <c r="BC13" s="89"/>
      <c r="BD13" s="90"/>
      <c r="BE13" s="88"/>
      <c r="BF13" s="88"/>
      <c r="BG13" s="88"/>
      <c r="BH13" s="89"/>
      <c r="BI13" s="91"/>
      <c r="BJ13" s="88" t="n">
        <v>0</v>
      </c>
      <c r="BK13" s="88" t="n">
        <v>481935.9</v>
      </c>
      <c r="BL13" s="88" t="n">
        <v>807</v>
      </c>
      <c r="BM13" s="89" t="n">
        <v>438</v>
      </c>
      <c r="BN13" s="91"/>
      <c r="BO13" s="91"/>
      <c r="BP13" s="91"/>
      <c r="BQ13" s="91"/>
      <c r="BR13" s="91"/>
      <c r="BS13" s="91"/>
      <c r="BT13" s="91"/>
      <c r="BU13" s="91"/>
      <c r="BV13" s="91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</row>
    <row r="14" customFormat="false" ht="13.5" hidden="false" customHeight="false" outlineLevel="0" collapsed="false">
      <c r="A14" s="17" t="s">
        <v>32</v>
      </c>
      <c r="B14" s="88" t="n">
        <v>0</v>
      </c>
      <c r="C14" s="88" t="n">
        <v>0</v>
      </c>
      <c r="D14" s="88" t="n">
        <v>0</v>
      </c>
      <c r="E14" s="89" t="n">
        <v>0</v>
      </c>
      <c r="F14" s="90"/>
      <c r="G14" s="88" t="n">
        <v>0</v>
      </c>
      <c r="H14" s="88" t="n">
        <v>0</v>
      </c>
      <c r="I14" s="88" t="n">
        <v>0</v>
      </c>
      <c r="J14" s="89" t="n">
        <v>0</v>
      </c>
      <c r="K14" s="90"/>
      <c r="L14" s="88" t="n">
        <v>772.799</v>
      </c>
      <c r="M14" s="88" t="n">
        <v>0</v>
      </c>
      <c r="N14" s="88" t="n">
        <v>2211</v>
      </c>
      <c r="O14" s="89" t="n">
        <v>0</v>
      </c>
      <c r="P14" s="90"/>
      <c r="Q14" s="88" t="n">
        <v>787.527</v>
      </c>
      <c r="R14" s="88" t="n">
        <v>0</v>
      </c>
      <c r="S14" s="88" t="n">
        <v>2244</v>
      </c>
      <c r="T14" s="89" t="n">
        <v>0</v>
      </c>
      <c r="U14" s="90"/>
      <c r="V14" s="88" t="n">
        <v>795.274</v>
      </c>
      <c r="W14" s="88" t="n">
        <v>0</v>
      </c>
      <c r="X14" s="88" t="n">
        <v>1865</v>
      </c>
      <c r="Y14" s="89" t="n">
        <v>0</v>
      </c>
      <c r="Z14" s="90"/>
      <c r="AA14" s="88" t="n">
        <v>580.078</v>
      </c>
      <c r="AB14" s="88" t="n">
        <v>0</v>
      </c>
      <c r="AC14" s="88" t="n">
        <v>1581</v>
      </c>
      <c r="AD14" s="89" t="n">
        <v>0</v>
      </c>
      <c r="AE14" s="90"/>
      <c r="AF14" s="88" t="n">
        <v>690.348</v>
      </c>
      <c r="AG14" s="88" t="n">
        <v>0</v>
      </c>
      <c r="AH14" s="88" t="n">
        <v>1925</v>
      </c>
      <c r="AI14" s="89" t="n">
        <v>0</v>
      </c>
      <c r="AJ14" s="90"/>
      <c r="AK14" s="88" t="n">
        <v>508.312</v>
      </c>
      <c r="AL14" s="88" t="n">
        <v>0</v>
      </c>
      <c r="AM14" s="88" t="n">
        <v>1330</v>
      </c>
      <c r="AN14" s="89" t="n">
        <v>0</v>
      </c>
      <c r="AO14" s="90"/>
      <c r="AP14" s="88" t="n">
        <v>933.687</v>
      </c>
      <c r="AQ14" s="88" t="n">
        <v>0</v>
      </c>
      <c r="AR14" s="88" t="n">
        <v>1601</v>
      </c>
      <c r="AS14" s="89" t="n">
        <v>0</v>
      </c>
      <c r="AT14" s="90"/>
      <c r="AU14" s="88"/>
      <c r="AV14" s="88"/>
      <c r="AW14" s="88"/>
      <c r="AX14" s="89"/>
      <c r="AY14" s="90"/>
      <c r="AZ14" s="88"/>
      <c r="BA14" s="88"/>
      <c r="BB14" s="88"/>
      <c r="BC14" s="89"/>
      <c r="BD14" s="90"/>
      <c r="BE14" s="88"/>
      <c r="BF14" s="88"/>
      <c r="BG14" s="88"/>
      <c r="BH14" s="89"/>
      <c r="BI14" s="91"/>
      <c r="BJ14" s="88" t="n">
        <v>4614.678</v>
      </c>
      <c r="BK14" s="88" t="n">
        <v>0</v>
      </c>
      <c r="BL14" s="88" t="n">
        <v>8508.343</v>
      </c>
      <c r="BM14" s="89" t="n">
        <v>0</v>
      </c>
      <c r="BN14" s="91"/>
      <c r="BO14" s="91"/>
      <c r="BP14" s="91"/>
      <c r="BQ14" s="91"/>
      <c r="BR14" s="91"/>
      <c r="BS14" s="91"/>
      <c r="BT14" s="91"/>
      <c r="BU14" s="91"/>
      <c r="BV14" s="91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</row>
    <row r="15" customFormat="false" ht="13.5" hidden="false" customHeight="false" outlineLevel="0" collapsed="false">
      <c r="A15" s="17" t="s">
        <v>39</v>
      </c>
      <c r="B15" s="96" t="n">
        <v>51061.466</v>
      </c>
      <c r="C15" s="96" t="n">
        <v>371507.961</v>
      </c>
      <c r="D15" s="96" t="n">
        <v>11249</v>
      </c>
      <c r="E15" s="97" t="n">
        <v>6485</v>
      </c>
      <c r="F15" s="98"/>
      <c r="G15" s="96" t="n">
        <v>44981.405</v>
      </c>
      <c r="H15" s="96" t="n">
        <v>484130.017</v>
      </c>
      <c r="I15" s="96" t="n">
        <v>10282</v>
      </c>
      <c r="J15" s="97" t="n">
        <v>6050</v>
      </c>
      <c r="K15" s="98"/>
      <c r="L15" s="96" t="n">
        <v>47566.935</v>
      </c>
      <c r="M15" s="96" t="n">
        <v>460947.361</v>
      </c>
      <c r="N15" s="96" t="n">
        <v>13070</v>
      </c>
      <c r="O15" s="97" t="n">
        <v>5598</v>
      </c>
      <c r="P15" s="98"/>
      <c r="Q15" s="96" t="n">
        <v>63525.685</v>
      </c>
      <c r="R15" s="96" t="n">
        <v>428915.275</v>
      </c>
      <c r="S15" s="96" t="n">
        <v>10736</v>
      </c>
      <c r="T15" s="97" t="n">
        <v>3892</v>
      </c>
      <c r="U15" s="90"/>
      <c r="V15" s="96" t="n">
        <v>79672.368</v>
      </c>
      <c r="W15" s="96" t="n">
        <v>479213.187</v>
      </c>
      <c r="X15" s="96" t="n">
        <v>14138</v>
      </c>
      <c r="Y15" s="97" t="n">
        <v>6543</v>
      </c>
      <c r="Z15" s="98"/>
      <c r="AA15" s="96" t="n">
        <v>61470.072</v>
      </c>
      <c r="AB15" s="96" t="n">
        <v>517166.587</v>
      </c>
      <c r="AC15" s="96" t="n">
        <v>11259</v>
      </c>
      <c r="AD15" s="96" t="n">
        <v>7234</v>
      </c>
      <c r="AE15" s="98"/>
      <c r="AF15" s="96" t="n">
        <v>0</v>
      </c>
      <c r="AG15" s="96" t="n">
        <v>0</v>
      </c>
      <c r="AH15" s="96" t="n">
        <v>0</v>
      </c>
      <c r="AI15" s="97" t="n">
        <v>0</v>
      </c>
      <c r="AJ15" s="98"/>
      <c r="AK15" s="96" t="n">
        <v>0</v>
      </c>
      <c r="AL15" s="96" t="n">
        <v>0</v>
      </c>
      <c r="AM15" s="96" t="n">
        <v>0</v>
      </c>
      <c r="AN15" s="97" t="n">
        <v>0</v>
      </c>
      <c r="AO15" s="98"/>
      <c r="AP15" s="96" t="n">
        <v>0</v>
      </c>
      <c r="AQ15" s="96" t="n">
        <v>0</v>
      </c>
      <c r="AR15" s="96" t="n">
        <v>0</v>
      </c>
      <c r="AS15" s="97" t="n">
        <v>0</v>
      </c>
      <c r="AT15" s="90"/>
      <c r="AU15" s="96" t="n">
        <v>0</v>
      </c>
      <c r="AV15" s="96" t="n">
        <v>0</v>
      </c>
      <c r="AW15" s="96" t="n">
        <v>0</v>
      </c>
      <c r="AX15" s="97" t="n">
        <v>0</v>
      </c>
      <c r="AY15" s="98"/>
      <c r="AZ15" s="96" t="n">
        <v>0</v>
      </c>
      <c r="BA15" s="96" t="n">
        <v>0</v>
      </c>
      <c r="BB15" s="96" t="n">
        <v>0</v>
      </c>
      <c r="BC15" s="97" t="n">
        <v>0</v>
      </c>
      <c r="BD15" s="98"/>
      <c r="BE15" s="96" t="n">
        <v>0</v>
      </c>
      <c r="BF15" s="96" t="n">
        <v>0</v>
      </c>
      <c r="BG15" s="96" t="n">
        <v>0</v>
      </c>
      <c r="BH15" s="97" t="n">
        <v>0</v>
      </c>
      <c r="BI15" s="91"/>
      <c r="BJ15" s="96" t="n">
        <v>286807.859</v>
      </c>
      <c r="BK15" s="96" t="n">
        <v>2224713.801</v>
      </c>
      <c r="BL15" s="96" t="n">
        <v>59475</v>
      </c>
      <c r="BM15" s="97" t="n">
        <v>28568</v>
      </c>
      <c r="BN15" s="91"/>
      <c r="BO15" s="91"/>
      <c r="BP15" s="91"/>
      <c r="BQ15" s="91"/>
      <c r="BR15" s="91"/>
      <c r="BS15" s="91"/>
      <c r="BT15" s="91"/>
      <c r="BU15" s="91"/>
      <c r="BV15" s="91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</row>
    <row r="16" customFormat="false" ht="12.75" hidden="false" customHeight="false" outlineLevel="0" collapsed="false">
      <c r="A16" s="9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21"/>
      <c r="V16" s="34"/>
      <c r="W16" s="34"/>
      <c r="X16" s="34"/>
      <c r="Y16" s="34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</row>
    <row r="17" customFormat="false" ht="15" hidden="false" customHeight="false" outlineLevel="0" collapsed="false">
      <c r="A17" s="3"/>
      <c r="B17" s="4" t="s">
        <v>14</v>
      </c>
      <c r="C17" s="4"/>
      <c r="D17" s="4"/>
      <c r="E17" s="4"/>
      <c r="F17" s="5"/>
      <c r="G17" s="4" t="s">
        <v>15</v>
      </c>
      <c r="H17" s="4"/>
      <c r="I17" s="4"/>
      <c r="J17" s="4"/>
      <c r="K17" s="5"/>
      <c r="L17" s="4" t="s">
        <v>16</v>
      </c>
      <c r="M17" s="4"/>
      <c r="N17" s="4"/>
      <c r="O17" s="4"/>
      <c r="P17" s="5"/>
      <c r="Q17" s="4" t="s">
        <v>17</v>
      </c>
      <c r="R17" s="4"/>
      <c r="S17" s="4"/>
      <c r="T17" s="4"/>
      <c r="U17" s="21"/>
      <c r="V17" s="4" t="s">
        <v>18</v>
      </c>
      <c r="W17" s="4"/>
      <c r="X17" s="4"/>
      <c r="Y17" s="4"/>
      <c r="Z17" s="100"/>
      <c r="AA17" s="4" t="s">
        <v>19</v>
      </c>
      <c r="AB17" s="4"/>
      <c r="AC17" s="4"/>
      <c r="AD17" s="4"/>
      <c r="AE17" s="5"/>
      <c r="AF17" s="4" t="s">
        <v>20</v>
      </c>
      <c r="AG17" s="4"/>
      <c r="AH17" s="4"/>
      <c r="AI17" s="4"/>
      <c r="AJ17" s="5"/>
      <c r="AK17" s="4" t="s">
        <v>21</v>
      </c>
      <c r="AL17" s="4"/>
      <c r="AM17" s="4"/>
      <c r="AN17" s="4"/>
      <c r="AO17" s="5"/>
      <c r="AP17" s="4" t="s">
        <v>68</v>
      </c>
      <c r="AQ17" s="4"/>
      <c r="AR17" s="4"/>
      <c r="AS17" s="4"/>
      <c r="AT17" s="21"/>
      <c r="AU17" s="4" t="s">
        <v>23</v>
      </c>
      <c r="AV17" s="4"/>
      <c r="AW17" s="4"/>
      <c r="AX17" s="4"/>
      <c r="AY17" s="100"/>
      <c r="AZ17" s="4" t="s">
        <v>24</v>
      </c>
      <c r="BA17" s="4"/>
      <c r="BB17" s="4"/>
      <c r="BC17" s="4"/>
      <c r="BD17" s="100"/>
      <c r="BE17" s="4" t="s">
        <v>25</v>
      </c>
      <c r="BF17" s="4"/>
      <c r="BG17" s="4"/>
      <c r="BH17" s="4"/>
      <c r="BI17" s="9"/>
      <c r="BJ17" s="4" t="s">
        <v>4</v>
      </c>
      <c r="BK17" s="4"/>
      <c r="BL17" s="4"/>
      <c r="BM17" s="4"/>
      <c r="BN17" s="9"/>
      <c r="BO17" s="9"/>
      <c r="BP17" s="9"/>
      <c r="BQ17" s="9"/>
      <c r="BR17" s="9"/>
      <c r="BS17" s="9"/>
      <c r="BT17" s="9"/>
      <c r="BU17" s="9"/>
      <c r="BV17" s="9"/>
    </row>
    <row r="18" customFormat="false" ht="12.75" hidden="false" customHeight="false" outlineLevel="0" collapsed="false">
      <c r="A18" s="1" t="n">
        <v>2000</v>
      </c>
      <c r="B18" s="85" t="s">
        <v>63</v>
      </c>
      <c r="C18" s="85" t="s">
        <v>64</v>
      </c>
      <c r="D18" s="85" t="s">
        <v>65</v>
      </c>
      <c r="E18" s="85" t="s">
        <v>66</v>
      </c>
      <c r="F18" s="12"/>
      <c r="G18" s="85" t="s">
        <v>63</v>
      </c>
      <c r="H18" s="85" t="s">
        <v>64</v>
      </c>
      <c r="I18" s="85" t="s">
        <v>65</v>
      </c>
      <c r="J18" s="85" t="s">
        <v>66</v>
      </c>
      <c r="K18" s="12"/>
      <c r="L18" s="85" t="s">
        <v>63</v>
      </c>
      <c r="M18" s="85" t="s">
        <v>64</v>
      </c>
      <c r="N18" s="85" t="s">
        <v>65</v>
      </c>
      <c r="O18" s="85" t="s">
        <v>66</v>
      </c>
      <c r="P18" s="12"/>
      <c r="Q18" s="85" t="s">
        <v>63</v>
      </c>
      <c r="R18" s="85" t="s">
        <v>64</v>
      </c>
      <c r="S18" s="85" t="s">
        <v>65</v>
      </c>
      <c r="T18" s="85" t="s">
        <v>66</v>
      </c>
      <c r="U18" s="12"/>
      <c r="V18" s="85" t="s">
        <v>63</v>
      </c>
      <c r="W18" s="85" t="s">
        <v>64</v>
      </c>
      <c r="X18" s="85" t="s">
        <v>65</v>
      </c>
      <c r="Y18" s="85" t="s">
        <v>66</v>
      </c>
      <c r="Z18" s="101"/>
      <c r="AA18" s="85" t="s">
        <v>63</v>
      </c>
      <c r="AB18" s="85" t="s">
        <v>64</v>
      </c>
      <c r="AC18" s="85" t="s">
        <v>65</v>
      </c>
      <c r="AD18" s="85" t="s">
        <v>66</v>
      </c>
      <c r="AE18" s="12"/>
      <c r="AF18" s="85" t="s">
        <v>63</v>
      </c>
      <c r="AG18" s="85" t="s">
        <v>64</v>
      </c>
      <c r="AH18" s="85" t="s">
        <v>65</v>
      </c>
      <c r="AI18" s="85" t="s">
        <v>66</v>
      </c>
      <c r="AJ18" s="12"/>
      <c r="AK18" s="85" t="s">
        <v>63</v>
      </c>
      <c r="AL18" s="85" t="s">
        <v>64</v>
      </c>
      <c r="AM18" s="85" t="s">
        <v>65</v>
      </c>
      <c r="AN18" s="85" t="s">
        <v>66</v>
      </c>
      <c r="AO18" s="12"/>
      <c r="AP18" s="85" t="s">
        <v>63</v>
      </c>
      <c r="AQ18" s="85" t="s">
        <v>64</v>
      </c>
      <c r="AR18" s="85" t="s">
        <v>65</v>
      </c>
      <c r="AS18" s="85" t="s">
        <v>66</v>
      </c>
      <c r="AT18" s="12"/>
      <c r="AU18" s="85" t="s">
        <v>63</v>
      </c>
      <c r="AV18" s="85" t="s">
        <v>64</v>
      </c>
      <c r="AW18" s="85" t="s">
        <v>65</v>
      </c>
      <c r="AX18" s="85" t="s">
        <v>66</v>
      </c>
      <c r="AY18" s="101"/>
      <c r="AZ18" s="85" t="s">
        <v>63</v>
      </c>
      <c r="BA18" s="85" t="s">
        <v>64</v>
      </c>
      <c r="BB18" s="85" t="s">
        <v>65</v>
      </c>
      <c r="BC18" s="85" t="s">
        <v>66</v>
      </c>
      <c r="BD18" s="101"/>
      <c r="BE18" s="85" t="s">
        <v>63</v>
      </c>
      <c r="BF18" s="85" t="s">
        <v>64</v>
      </c>
      <c r="BG18" s="85" t="s">
        <v>65</v>
      </c>
      <c r="BH18" s="85" t="s">
        <v>66</v>
      </c>
      <c r="BI18" s="9"/>
      <c r="BJ18" s="85" t="s">
        <v>63</v>
      </c>
      <c r="BK18" s="85" t="s">
        <v>64</v>
      </c>
      <c r="BL18" s="85" t="s">
        <v>65</v>
      </c>
      <c r="BM18" s="85" t="s">
        <v>66</v>
      </c>
      <c r="BN18" s="9"/>
      <c r="BO18" s="9"/>
      <c r="BP18" s="9"/>
      <c r="BQ18" s="9"/>
      <c r="BR18" s="9"/>
      <c r="BS18" s="9"/>
      <c r="BT18" s="9"/>
      <c r="BU18" s="9"/>
      <c r="BV18" s="9"/>
    </row>
    <row r="19" customFormat="false" ht="12.75" hidden="false" customHeight="false" outlineLevel="0" collapsed="false">
      <c r="A19" s="17" t="s">
        <v>13</v>
      </c>
      <c r="B19" s="88" t="n">
        <v>50965.918</v>
      </c>
      <c r="C19" s="88" t="n">
        <v>199515.983</v>
      </c>
      <c r="D19" s="88" t="n">
        <v>3050</v>
      </c>
      <c r="E19" s="89" t="n">
        <v>176</v>
      </c>
      <c r="F19" s="90"/>
      <c r="G19" s="88" t="n">
        <v>39570.202</v>
      </c>
      <c r="H19" s="88" t="n">
        <v>171546.618</v>
      </c>
      <c r="I19" s="88" t="n">
        <v>2694</v>
      </c>
      <c r="J19" s="89" t="n">
        <v>270</v>
      </c>
      <c r="K19" s="90"/>
      <c r="L19" s="88" t="n">
        <v>38112.879</v>
      </c>
      <c r="M19" s="88" t="n">
        <v>193331.081</v>
      </c>
      <c r="N19" s="88" t="n">
        <v>3172</v>
      </c>
      <c r="O19" s="89" t="n">
        <v>221</v>
      </c>
      <c r="P19" s="90"/>
      <c r="Q19" s="88" t="n">
        <v>28915.627</v>
      </c>
      <c r="R19" s="88" t="n">
        <v>150072.627</v>
      </c>
      <c r="S19" s="88" t="n">
        <v>2620</v>
      </c>
      <c r="T19" s="89" t="n">
        <v>570</v>
      </c>
      <c r="U19" s="102"/>
      <c r="V19" s="88" t="n">
        <v>41715.71</v>
      </c>
      <c r="W19" s="88" t="n">
        <v>245942.075</v>
      </c>
      <c r="X19" s="88" t="n">
        <v>5180</v>
      </c>
      <c r="Y19" s="89" t="n">
        <v>2106</v>
      </c>
      <c r="Z19" s="90"/>
      <c r="AA19" s="88" t="n">
        <v>36391.863</v>
      </c>
      <c r="AB19" s="88" t="n">
        <v>308437.321</v>
      </c>
      <c r="AC19" s="88" t="n">
        <v>6303</v>
      </c>
      <c r="AD19" s="89" t="n">
        <v>1631</v>
      </c>
      <c r="AE19" s="90"/>
      <c r="AF19" s="88" t="n">
        <v>37776.136</v>
      </c>
      <c r="AG19" s="88" t="n">
        <v>253779.674</v>
      </c>
      <c r="AH19" s="88" t="n">
        <v>3683</v>
      </c>
      <c r="AI19" s="89" t="n">
        <v>1141</v>
      </c>
      <c r="AJ19" s="90"/>
      <c r="AK19" s="88" t="n">
        <v>43826.926</v>
      </c>
      <c r="AL19" s="88" t="n">
        <v>308730.992</v>
      </c>
      <c r="AM19" s="88" t="n">
        <v>4563</v>
      </c>
      <c r="AN19" s="89" t="n">
        <v>1308</v>
      </c>
      <c r="AO19" s="90"/>
      <c r="AP19" s="88" t="n">
        <v>42724.757</v>
      </c>
      <c r="AQ19" s="88" t="n">
        <v>285951.801</v>
      </c>
      <c r="AR19" s="88" t="n">
        <v>5556</v>
      </c>
      <c r="AS19" s="89" t="n">
        <v>2131</v>
      </c>
      <c r="AT19" s="102"/>
      <c r="AU19" s="88" t="n">
        <v>52145.502</v>
      </c>
      <c r="AV19" s="88" t="n">
        <v>310339.722</v>
      </c>
      <c r="AW19" s="88" t="n">
        <v>6026</v>
      </c>
      <c r="AX19" s="89" t="n">
        <v>2575</v>
      </c>
      <c r="AY19" s="90"/>
      <c r="AZ19" s="88" t="n">
        <v>66226.272</v>
      </c>
      <c r="BA19" s="88" t="n">
        <v>311093.028</v>
      </c>
      <c r="BB19" s="88" t="n">
        <v>5283</v>
      </c>
      <c r="BC19" s="89" t="n">
        <v>2565</v>
      </c>
      <c r="BD19" s="90"/>
      <c r="BE19" s="88" t="n">
        <v>43836.365</v>
      </c>
      <c r="BF19" s="88" t="n">
        <v>297885.808</v>
      </c>
      <c r="BG19" s="88" t="n">
        <v>5326</v>
      </c>
      <c r="BH19" s="89" t="n">
        <v>2470</v>
      </c>
      <c r="BI19" s="91"/>
      <c r="BJ19" s="88" t="n">
        <v>522208.157</v>
      </c>
      <c r="BK19" s="88" t="n">
        <v>3036626.73</v>
      </c>
      <c r="BL19" s="88" t="n">
        <v>53456</v>
      </c>
      <c r="BM19" s="89" t="n">
        <v>17164</v>
      </c>
      <c r="BN19" s="91"/>
      <c r="BO19" s="91"/>
      <c r="BP19" s="91"/>
      <c r="BQ19" s="91"/>
      <c r="BR19" s="91"/>
      <c r="BS19" s="91"/>
      <c r="BT19" s="91"/>
      <c r="BU19" s="91"/>
      <c r="BV19" s="91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  <c r="DH19" s="103"/>
      <c r="DI19" s="103"/>
      <c r="DJ19" s="103"/>
      <c r="DK19" s="103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DW19" s="103"/>
      <c r="DX19" s="103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12.75" hidden="false" customHeight="false" outlineLevel="0" collapsed="false">
      <c r="A20" s="17" t="s">
        <v>42</v>
      </c>
      <c r="B20" s="88" t="n">
        <v>2692.75</v>
      </c>
      <c r="C20" s="88" t="n">
        <v>0</v>
      </c>
      <c r="D20" s="88" t="n">
        <v>93</v>
      </c>
      <c r="E20" s="89" t="n">
        <v>38</v>
      </c>
      <c r="F20" s="90"/>
      <c r="G20" s="88" t="n">
        <v>2549.831</v>
      </c>
      <c r="H20" s="88" t="n">
        <v>0</v>
      </c>
      <c r="I20" s="88" t="n">
        <v>92</v>
      </c>
      <c r="J20" s="89" t="n">
        <v>26</v>
      </c>
      <c r="K20" s="90"/>
      <c r="L20" s="88" t="n">
        <v>2692.487</v>
      </c>
      <c r="M20" s="88" t="n">
        <v>0</v>
      </c>
      <c r="N20" s="88" t="n">
        <v>81</v>
      </c>
      <c r="O20" s="89" t="n">
        <v>20</v>
      </c>
      <c r="P20" s="90"/>
      <c r="Q20" s="88" t="n">
        <v>2809.562</v>
      </c>
      <c r="R20" s="88" t="n">
        <v>0</v>
      </c>
      <c r="S20" s="88" t="n">
        <v>96</v>
      </c>
      <c r="T20" s="89" t="n">
        <v>31</v>
      </c>
      <c r="U20" s="90"/>
      <c r="V20" s="88" t="n">
        <v>2954.256</v>
      </c>
      <c r="W20" s="88" t="n">
        <v>0</v>
      </c>
      <c r="X20" s="88" t="n">
        <v>90</v>
      </c>
      <c r="Y20" s="89" t="n">
        <v>13</v>
      </c>
      <c r="Z20" s="90"/>
      <c r="AA20" s="88" t="n">
        <v>3265.875</v>
      </c>
      <c r="AB20" s="88" t="n">
        <v>0</v>
      </c>
      <c r="AC20" s="88" t="n">
        <v>71</v>
      </c>
      <c r="AD20" s="89" t="n">
        <v>15</v>
      </c>
      <c r="AE20" s="90"/>
      <c r="AF20" s="88" t="n">
        <v>2893.06</v>
      </c>
      <c r="AG20" s="88" t="n">
        <v>0</v>
      </c>
      <c r="AH20" s="88" t="n">
        <v>106</v>
      </c>
      <c r="AI20" s="89" t="n">
        <v>79</v>
      </c>
      <c r="AJ20" s="90"/>
      <c r="AK20" s="88" t="n">
        <v>3103.223</v>
      </c>
      <c r="AL20" s="88" t="n">
        <v>0</v>
      </c>
      <c r="AM20" s="88" t="n">
        <v>473</v>
      </c>
      <c r="AN20" s="89" t="n">
        <v>380</v>
      </c>
      <c r="AO20" s="90"/>
      <c r="AP20" s="88" t="n">
        <v>3022.793</v>
      </c>
      <c r="AQ20" s="88" t="n">
        <v>0</v>
      </c>
      <c r="AR20" s="88" t="n">
        <v>473</v>
      </c>
      <c r="AS20" s="89" t="n">
        <v>385</v>
      </c>
      <c r="AT20" s="90"/>
      <c r="AU20" s="88" t="n">
        <v>4236.09</v>
      </c>
      <c r="AV20" s="88" t="n">
        <v>0</v>
      </c>
      <c r="AW20" s="88" t="n">
        <v>955</v>
      </c>
      <c r="AX20" s="89" t="n">
        <v>817</v>
      </c>
      <c r="AY20" s="90"/>
      <c r="AZ20" s="88" t="n">
        <v>5082.321</v>
      </c>
      <c r="BA20" s="88" t="n">
        <v>0</v>
      </c>
      <c r="BB20" s="88" t="n">
        <v>421</v>
      </c>
      <c r="BC20" s="89" t="n">
        <v>208</v>
      </c>
      <c r="BD20" s="90"/>
      <c r="BE20" s="88" t="n">
        <v>5140.719</v>
      </c>
      <c r="BF20" s="88" t="n">
        <v>1980</v>
      </c>
      <c r="BG20" s="88" t="n">
        <v>332</v>
      </c>
      <c r="BH20" s="89" t="n">
        <v>164</v>
      </c>
      <c r="BI20" s="91"/>
      <c r="BJ20" s="88" t="n">
        <v>40442.967</v>
      </c>
      <c r="BK20" s="88" t="n">
        <v>1980</v>
      </c>
      <c r="BL20" s="88" t="n">
        <v>3283</v>
      </c>
      <c r="BM20" s="89" t="n">
        <v>2176</v>
      </c>
      <c r="BN20" s="91"/>
      <c r="BO20" s="91"/>
      <c r="BP20" s="91"/>
      <c r="BQ20" s="91"/>
      <c r="BR20" s="91"/>
      <c r="BS20" s="91"/>
      <c r="BT20" s="91"/>
      <c r="BU20" s="91"/>
      <c r="BV20" s="91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</row>
    <row r="21" customFormat="false" ht="14.25" hidden="false" customHeight="true" outlineLevel="0" collapsed="false">
      <c r="A21" s="17" t="s">
        <v>27</v>
      </c>
      <c r="B21" s="88" t="n">
        <v>0</v>
      </c>
      <c r="C21" s="88" t="n">
        <v>116753.047</v>
      </c>
      <c r="D21" s="88" t="n">
        <v>58</v>
      </c>
      <c r="E21" s="89" t="n">
        <v>35</v>
      </c>
      <c r="F21" s="90"/>
      <c r="G21" s="88" t="n">
        <v>0</v>
      </c>
      <c r="H21" s="88" t="n">
        <v>137559.875</v>
      </c>
      <c r="I21" s="88" t="n">
        <v>129</v>
      </c>
      <c r="J21" s="89" t="n">
        <v>60</v>
      </c>
      <c r="K21" s="90"/>
      <c r="L21" s="88" t="n">
        <v>0</v>
      </c>
      <c r="M21" s="88" t="n">
        <v>70954.87</v>
      </c>
      <c r="N21" s="88" t="n">
        <v>63</v>
      </c>
      <c r="O21" s="89" t="n">
        <v>29</v>
      </c>
      <c r="P21" s="90"/>
      <c r="Q21" s="88" t="n">
        <v>0</v>
      </c>
      <c r="R21" s="88" t="n">
        <v>5092.205</v>
      </c>
      <c r="S21" s="88" t="n">
        <v>25</v>
      </c>
      <c r="T21" s="89" t="n">
        <v>14</v>
      </c>
      <c r="U21" s="90"/>
      <c r="V21" s="88" t="n">
        <v>0</v>
      </c>
      <c r="W21" s="88" t="n">
        <v>8410.276</v>
      </c>
      <c r="X21" s="88" t="n">
        <v>167</v>
      </c>
      <c r="Y21" s="89" t="n">
        <v>142</v>
      </c>
      <c r="Z21" s="90"/>
      <c r="AA21" s="88" t="n">
        <v>0</v>
      </c>
      <c r="AB21" s="88" t="n">
        <v>9251.127</v>
      </c>
      <c r="AC21" s="88" t="n">
        <v>179</v>
      </c>
      <c r="AD21" s="89" t="n">
        <v>241</v>
      </c>
      <c r="AE21" s="90"/>
      <c r="AF21" s="88" t="n">
        <v>0</v>
      </c>
      <c r="AG21" s="88" t="n">
        <v>42465.187</v>
      </c>
      <c r="AH21" s="88" t="n">
        <v>192</v>
      </c>
      <c r="AI21" s="89" t="n">
        <v>124</v>
      </c>
      <c r="AJ21" s="90"/>
      <c r="AK21" s="88" t="n">
        <v>0</v>
      </c>
      <c r="AL21" s="88" t="n">
        <v>26001.776</v>
      </c>
      <c r="AM21" s="88" t="n">
        <v>157</v>
      </c>
      <c r="AN21" s="89" t="n">
        <v>126</v>
      </c>
      <c r="AO21" s="90"/>
      <c r="AP21" s="88" t="n">
        <v>0</v>
      </c>
      <c r="AQ21" s="88" t="n">
        <v>95942.337</v>
      </c>
      <c r="AR21" s="88" t="n">
        <v>138</v>
      </c>
      <c r="AS21" s="89" t="n">
        <v>54</v>
      </c>
      <c r="AT21" s="90"/>
      <c r="AU21" s="88" t="n">
        <v>0</v>
      </c>
      <c r="AV21" s="88" t="n">
        <v>27649.072</v>
      </c>
      <c r="AW21" s="88" t="n">
        <v>256</v>
      </c>
      <c r="AX21" s="89" t="n">
        <v>28</v>
      </c>
      <c r="AY21" s="90"/>
      <c r="AZ21" s="88" t="n">
        <v>0</v>
      </c>
      <c r="BA21" s="88" t="n">
        <v>18296.405</v>
      </c>
      <c r="BB21" s="88" t="n">
        <v>131</v>
      </c>
      <c r="BC21" s="89" t="n">
        <v>54</v>
      </c>
      <c r="BD21" s="90"/>
      <c r="BE21" s="88" t="n">
        <v>0</v>
      </c>
      <c r="BF21" s="88" t="n">
        <v>40429.214</v>
      </c>
      <c r="BG21" s="88" t="n">
        <v>134</v>
      </c>
      <c r="BH21" s="89" t="n">
        <v>71</v>
      </c>
      <c r="BI21" s="91"/>
      <c r="BJ21" s="88" t="n">
        <v>0</v>
      </c>
      <c r="BK21" s="88" t="n">
        <v>598805.391</v>
      </c>
      <c r="BL21" s="88" t="n">
        <v>1629</v>
      </c>
      <c r="BM21" s="89" t="n">
        <v>978</v>
      </c>
      <c r="BN21" s="91"/>
      <c r="BO21" s="91"/>
      <c r="BP21" s="91"/>
      <c r="BQ21" s="91"/>
      <c r="BR21" s="91"/>
      <c r="BS21" s="91"/>
      <c r="BT21" s="91"/>
      <c r="BU21" s="91"/>
      <c r="BV21" s="91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</row>
    <row r="22" customFormat="false" ht="13.5" hidden="false" customHeight="false" outlineLevel="0" collapsed="false">
      <c r="A22" s="17" t="s">
        <v>32</v>
      </c>
      <c r="B22" s="88" t="n">
        <v>0</v>
      </c>
      <c r="C22" s="88" t="n">
        <v>0</v>
      </c>
      <c r="D22" s="88" t="n">
        <v>0</v>
      </c>
      <c r="E22" s="89" t="n">
        <v>0</v>
      </c>
      <c r="F22" s="90"/>
      <c r="G22" s="88" t="n">
        <v>0</v>
      </c>
      <c r="H22" s="88" t="n">
        <v>0</v>
      </c>
      <c r="I22" s="88" t="n">
        <v>0</v>
      </c>
      <c r="J22" s="89" t="n">
        <v>0</v>
      </c>
      <c r="K22" s="90"/>
      <c r="L22" s="88" t="n">
        <v>0</v>
      </c>
      <c r="M22" s="88" t="n">
        <v>0</v>
      </c>
      <c r="N22" s="88" t="n">
        <v>0</v>
      </c>
      <c r="O22" s="89" t="n">
        <v>0</v>
      </c>
      <c r="P22" s="90"/>
      <c r="Q22" s="88" t="n">
        <v>0</v>
      </c>
      <c r="R22" s="88" t="n">
        <v>0</v>
      </c>
      <c r="S22" s="88" t="n">
        <v>0</v>
      </c>
      <c r="T22" s="89" t="n">
        <v>0</v>
      </c>
      <c r="U22" s="90"/>
      <c r="V22" s="88" t="n">
        <v>0</v>
      </c>
      <c r="W22" s="88" t="n">
        <v>0</v>
      </c>
      <c r="X22" s="88" t="n">
        <v>0</v>
      </c>
      <c r="Y22" s="89" t="n">
        <v>0</v>
      </c>
      <c r="Z22" s="90"/>
      <c r="AA22" s="88" t="n">
        <v>0</v>
      </c>
      <c r="AB22" s="88" t="n">
        <v>0</v>
      </c>
      <c r="AC22" s="88" t="n">
        <v>0</v>
      </c>
      <c r="AD22" s="89" t="n">
        <v>0</v>
      </c>
      <c r="AE22" s="90"/>
      <c r="AF22" s="88" t="n">
        <v>0</v>
      </c>
      <c r="AG22" s="88" t="n">
        <v>0</v>
      </c>
      <c r="AH22" s="88" t="n">
        <v>0</v>
      </c>
      <c r="AI22" s="89" t="n">
        <v>0</v>
      </c>
      <c r="AJ22" s="90"/>
      <c r="AK22" s="88" t="n">
        <v>0</v>
      </c>
      <c r="AL22" s="88" t="n">
        <v>0</v>
      </c>
      <c r="AM22" s="88" t="n">
        <v>0</v>
      </c>
      <c r="AN22" s="89" t="n">
        <v>0</v>
      </c>
      <c r="AO22" s="90"/>
      <c r="AP22" s="88" t="n">
        <v>0</v>
      </c>
      <c r="AQ22" s="88" t="n">
        <v>0</v>
      </c>
      <c r="AR22" s="88" t="n">
        <v>0</v>
      </c>
      <c r="AS22" s="89" t="n">
        <v>0</v>
      </c>
      <c r="AT22" s="90"/>
      <c r="AU22" s="88" t="n">
        <v>0</v>
      </c>
      <c r="AV22" s="88" t="n">
        <v>0</v>
      </c>
      <c r="AW22" s="88" t="n">
        <v>0</v>
      </c>
      <c r="AX22" s="89" t="n">
        <v>0</v>
      </c>
      <c r="AY22" s="90"/>
      <c r="AZ22" s="88" t="n">
        <v>0</v>
      </c>
      <c r="BA22" s="88" t="n">
        <v>0</v>
      </c>
      <c r="BB22" s="88" t="n">
        <v>0</v>
      </c>
      <c r="BC22" s="89" t="n">
        <v>0</v>
      </c>
      <c r="BD22" s="90"/>
      <c r="BE22" s="88" t="n">
        <v>0</v>
      </c>
      <c r="BF22" s="88" t="n">
        <v>0</v>
      </c>
      <c r="BG22" s="88" t="n">
        <v>0</v>
      </c>
      <c r="BH22" s="89" t="n">
        <v>0</v>
      </c>
      <c r="BI22" s="91"/>
      <c r="BJ22" s="88" t="n">
        <v>0</v>
      </c>
      <c r="BK22" s="88" t="n">
        <v>0</v>
      </c>
      <c r="BL22" s="88" t="n">
        <v>0</v>
      </c>
      <c r="BM22" s="89" t="n">
        <v>0</v>
      </c>
      <c r="BN22" s="91"/>
      <c r="BO22" s="91"/>
      <c r="BP22" s="91"/>
      <c r="BQ22" s="91"/>
      <c r="BR22" s="91"/>
      <c r="BS22" s="91"/>
      <c r="BT22" s="91"/>
      <c r="BU22" s="91"/>
      <c r="BV22" s="91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</row>
    <row r="23" customFormat="false" ht="13.5" hidden="false" customHeight="false" outlineLevel="0" collapsed="false">
      <c r="A23" s="17" t="s">
        <v>39</v>
      </c>
      <c r="B23" s="96" t="n">
        <v>52544.402</v>
      </c>
      <c r="C23" s="96" t="n">
        <v>316269.03</v>
      </c>
      <c r="D23" s="96" t="n">
        <v>3201</v>
      </c>
      <c r="E23" s="97" t="n">
        <v>249</v>
      </c>
      <c r="F23" s="98"/>
      <c r="G23" s="96" t="n">
        <v>40906.122</v>
      </c>
      <c r="H23" s="96" t="n">
        <v>309106.493</v>
      </c>
      <c r="I23" s="96" t="n">
        <v>2915</v>
      </c>
      <c r="J23" s="97" t="n">
        <v>356</v>
      </c>
      <c r="K23" s="98"/>
      <c r="L23" s="96" t="n">
        <v>39764.511</v>
      </c>
      <c r="M23" s="96" t="n">
        <v>264285.951</v>
      </c>
      <c r="N23" s="96" t="n">
        <v>3316</v>
      </c>
      <c r="O23" s="97" t="n">
        <v>270</v>
      </c>
      <c r="P23" s="98"/>
      <c r="Q23" s="96" t="n">
        <v>29428.401</v>
      </c>
      <c r="R23" s="96" t="n">
        <v>155164.832</v>
      </c>
      <c r="S23" s="96" t="n">
        <v>2741</v>
      </c>
      <c r="T23" s="97" t="n">
        <v>615</v>
      </c>
      <c r="U23" s="90"/>
      <c r="V23" s="96" t="n">
        <v>43413.421</v>
      </c>
      <c r="W23" s="96" t="n">
        <v>254352.351</v>
      </c>
      <c r="X23" s="96" t="n">
        <v>5437</v>
      </c>
      <c r="Y23" s="97" t="n">
        <v>2261</v>
      </c>
      <c r="Z23" s="98"/>
      <c r="AA23" s="96" t="n">
        <v>38397.105</v>
      </c>
      <c r="AB23" s="96" t="n">
        <v>317688.448</v>
      </c>
      <c r="AC23" s="96" t="n">
        <v>6553</v>
      </c>
      <c r="AD23" s="97" t="n">
        <v>1887</v>
      </c>
      <c r="AE23" s="98"/>
      <c r="AF23" s="96" t="n">
        <v>39170.394</v>
      </c>
      <c r="AG23" s="96" t="n">
        <v>296244.861</v>
      </c>
      <c r="AH23" s="96" t="n">
        <v>3981</v>
      </c>
      <c r="AI23" s="97" t="n">
        <v>1344</v>
      </c>
      <c r="AJ23" s="98"/>
      <c r="AK23" s="96" t="n">
        <v>45396.845</v>
      </c>
      <c r="AL23" s="96" t="n">
        <v>334732.768</v>
      </c>
      <c r="AM23" s="96" t="n">
        <v>5193</v>
      </c>
      <c r="AN23" s="97" t="n">
        <v>1814</v>
      </c>
      <c r="AO23" s="98"/>
      <c r="AP23" s="96" t="n">
        <v>44168.275</v>
      </c>
      <c r="AQ23" s="96" t="n">
        <v>381894.138</v>
      </c>
      <c r="AR23" s="96" t="n">
        <v>6167</v>
      </c>
      <c r="AS23" s="97" t="n">
        <v>2570</v>
      </c>
      <c r="AT23" s="90"/>
      <c r="AU23" s="96" t="n">
        <v>53837.992</v>
      </c>
      <c r="AV23" s="96" t="n">
        <v>338140.816</v>
      </c>
      <c r="AW23" s="96" t="n">
        <v>7237</v>
      </c>
      <c r="AX23" s="97" t="n">
        <v>3420</v>
      </c>
      <c r="AY23" s="98"/>
      <c r="AZ23" s="96" t="n">
        <v>68275.093</v>
      </c>
      <c r="BA23" s="96" t="n">
        <v>329531.236</v>
      </c>
      <c r="BB23" s="96" t="n">
        <v>5835</v>
      </c>
      <c r="BC23" s="97" t="n">
        <v>2827</v>
      </c>
      <c r="BD23" s="98"/>
      <c r="BE23" s="96" t="n">
        <v>45439.792</v>
      </c>
      <c r="BF23" s="96" t="n">
        <v>304914.488</v>
      </c>
      <c r="BG23" s="96" t="n">
        <v>5792</v>
      </c>
      <c r="BH23" s="97" t="n">
        <v>2705</v>
      </c>
      <c r="BI23" s="91"/>
      <c r="BJ23" s="96" t="n">
        <v>540742.353</v>
      </c>
      <c r="BK23" s="96" t="n">
        <v>3602325.412</v>
      </c>
      <c r="BL23" s="96" t="n">
        <v>58368</v>
      </c>
      <c r="BM23" s="97" t="n">
        <v>20318</v>
      </c>
      <c r="BN23" s="91"/>
      <c r="BO23" s="91"/>
      <c r="BP23" s="91"/>
      <c r="BQ23" s="91"/>
      <c r="BR23" s="91"/>
      <c r="BS23" s="91"/>
      <c r="BT23" s="91"/>
      <c r="BU23" s="91"/>
      <c r="BV23" s="91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</row>
    <row r="24" customFormat="false" ht="12.75" hidden="false" customHeight="false" outlineLevel="0" collapsed="false">
      <c r="V24" s="9"/>
      <c r="W24" s="9"/>
      <c r="X24" s="9"/>
      <c r="Y24" s="9"/>
    </row>
    <row r="26" customFormat="false" ht="15" hidden="false" customHeight="false" outlineLevel="0" collapsed="false">
      <c r="A26" s="104"/>
    </row>
  </sheetData>
  <mergeCells count="31">
    <mergeCell ref="B1:E1"/>
    <mergeCell ref="G1:J1"/>
    <mergeCell ref="L1:O1"/>
    <mergeCell ref="Q1:T1"/>
    <mergeCell ref="V1:Y1"/>
    <mergeCell ref="B9:E9"/>
    <mergeCell ref="G9:J9"/>
    <mergeCell ref="L9:O9"/>
    <mergeCell ref="Q9:T9"/>
    <mergeCell ref="V9:Y9"/>
    <mergeCell ref="AA9:AD9"/>
    <mergeCell ref="AF9:AI9"/>
    <mergeCell ref="AK9:AN9"/>
    <mergeCell ref="AP9:AS9"/>
    <mergeCell ref="AU9:AX9"/>
    <mergeCell ref="AZ9:BC9"/>
    <mergeCell ref="BE9:BH9"/>
    <mergeCell ref="BJ9:BM9"/>
    <mergeCell ref="B17:E17"/>
    <mergeCell ref="G17:J17"/>
    <mergeCell ref="L17:O17"/>
    <mergeCell ref="Q17:T17"/>
    <mergeCell ref="V17:Y17"/>
    <mergeCell ref="AA17:AD17"/>
    <mergeCell ref="AF17:AI17"/>
    <mergeCell ref="AK17:AN17"/>
    <mergeCell ref="AP17:AS17"/>
    <mergeCell ref="AU17:AX17"/>
    <mergeCell ref="AZ17:BC17"/>
    <mergeCell ref="BE17:BH17"/>
    <mergeCell ref="BJ17:BM17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" activeCellId="0" sqref="H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47" t="s">
        <v>46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8" t="s">
        <v>104</v>
      </c>
    </row>
    <row r="3" customFormat="false" ht="12.75" hidden="false" customHeight="false" outlineLevel="0" collapsed="false">
      <c r="A3" s="149" t="s">
        <v>99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</sheetData>
  <mergeCells count="3">
    <mergeCell ref="A1:O1"/>
    <mergeCell ref="A2:N2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O38"/>
  <sheetViews>
    <sheetView showFormulas="false" showGridLines="true" showRowColHeaders="true" showZeros="true" rightToLeft="false" tabSelected="false" showOutlineSymbols="true" defaultGridColor="true" view="normal" topLeftCell="C7" colorId="64" zoomScale="100" zoomScaleNormal="100" zoomScalePageLayoutView="85" workbookViewId="0">
      <selection pane="topLeft" activeCell="N34" activeCellId="0" sqref="N3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5" width="2.7"/>
    <col collapsed="false" customWidth="true" hidden="false" outlineLevel="0" max="2" min="2" style="105" width="51.28"/>
    <col collapsed="false" customWidth="true" hidden="false" outlineLevel="0" max="3" min="3" style="105" width="7.7"/>
    <col collapsed="false" customWidth="true" hidden="false" outlineLevel="0" max="4" min="4" style="105" width="13.85"/>
    <col collapsed="false" customWidth="true" hidden="false" outlineLevel="0" max="5" min="5" style="105" width="8.99"/>
    <col collapsed="false" customWidth="true" hidden="false" outlineLevel="0" max="6" min="6" style="105" width="8.85"/>
    <col collapsed="false" customWidth="true" hidden="false" outlineLevel="0" max="15" min="7" style="105" width="8.99"/>
    <col collapsed="false" customWidth="true" hidden="false" outlineLevel="0" max="16" min="16" style="105" width="3.14"/>
    <col collapsed="false" customWidth="false" hidden="false" outlineLevel="0" max="257" min="17" style="105" width="9.14"/>
  </cols>
  <sheetData>
    <row r="1" customFormat="false" ht="12.75" hidden="false" customHeight="false" outlineLevel="0" collapsed="false">
      <c r="B1" s="106" t="s">
        <v>69</v>
      </c>
      <c r="C1" s="106"/>
      <c r="J1" s="107" t="str">
        <f aca="true">CELL("FILENAME",A1)</f>
        <v>'file:///mnt/12tb/@roms/datasets/enron/EDRM Enron Email Data Set v2 XML/filtered-attachments/xls/RADAR_Screens_4Q_1019.xls'#$Funds Flow-Cap Employed</v>
      </c>
    </row>
    <row r="2" customFormat="false" ht="12.75" hidden="false" customHeight="false" outlineLevel="0" collapsed="false">
      <c r="B2" s="106" t="s">
        <v>70</v>
      </c>
      <c r="C2" s="106"/>
      <c r="J2" s="108" t="n">
        <f aca="true">NOW()</f>
        <v>45926.9276553105</v>
      </c>
    </row>
    <row r="3" customFormat="false" ht="12.75" hidden="false" customHeight="false" outlineLevel="0" collapsed="false">
      <c r="B3" s="106" t="s">
        <v>71</v>
      </c>
      <c r="C3" s="106"/>
      <c r="J3" s="109" t="n">
        <f aca="true">NOW()</f>
        <v>45926.9276553106</v>
      </c>
    </row>
    <row r="4" customFormat="false" ht="12.75" hidden="false" customHeight="false" outlineLevel="0" collapsed="false">
      <c r="B4" s="110" t="s">
        <v>72</v>
      </c>
      <c r="C4" s="106"/>
    </row>
    <row r="5" customFormat="false" ht="12.75" hidden="false" customHeight="false" outlineLevel="0" collapsed="false">
      <c r="B5" s="106" t="s">
        <v>73</v>
      </c>
      <c r="C5" s="106"/>
    </row>
    <row r="6" customFormat="false" ht="3.75" hidden="false" customHeight="true" outlineLevel="0" collapsed="false"/>
    <row r="7" customFormat="false" ht="12.75" hidden="false" customHeight="false" outlineLevel="0" collapsed="false">
      <c r="B7" s="111" t="s">
        <v>74</v>
      </c>
      <c r="C7" s="112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4"/>
    </row>
    <row r="8" customFormat="false" ht="4.5" hidden="false" customHeight="true" outlineLevel="0" collapsed="false"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7"/>
    </row>
    <row r="9" customFormat="false" ht="12.75" hidden="false" customHeight="false" outlineLevel="0" collapsed="false">
      <c r="B9" s="115"/>
      <c r="C9" s="116"/>
      <c r="D9" s="118" t="s">
        <v>14</v>
      </c>
      <c r="E9" s="118" t="s">
        <v>15</v>
      </c>
      <c r="F9" s="118" t="s">
        <v>16</v>
      </c>
      <c r="G9" s="118" t="s">
        <v>17</v>
      </c>
      <c r="H9" s="118" t="s">
        <v>18</v>
      </c>
      <c r="I9" s="118" t="s">
        <v>19</v>
      </c>
      <c r="J9" s="118" t="s">
        <v>20</v>
      </c>
      <c r="K9" s="118" t="s">
        <v>21</v>
      </c>
      <c r="L9" s="118" t="s">
        <v>68</v>
      </c>
      <c r="M9" s="118" t="s">
        <v>23</v>
      </c>
      <c r="N9" s="118" t="s">
        <v>24</v>
      </c>
      <c r="O9" s="119" t="s">
        <v>25</v>
      </c>
    </row>
    <row r="10" customFormat="false" ht="12.75" hidden="false" customHeight="false" outlineLevel="0" collapsed="false">
      <c r="B10" s="115" t="s">
        <v>75</v>
      </c>
      <c r="C10" s="116"/>
      <c r="D10" s="120" t="n">
        <v>-149.726</v>
      </c>
      <c r="E10" s="120" t="n">
        <f aca="false">-143.867-D10</f>
        <v>5.85900000000001</v>
      </c>
      <c r="F10" s="120" t="n">
        <v>-9.8</v>
      </c>
      <c r="G10" s="120" t="n">
        <f aca="false">G11-F11</f>
        <v>4.00900000000001</v>
      </c>
      <c r="H10" s="120" t="n">
        <v>-70.4</v>
      </c>
      <c r="I10" s="120" t="n">
        <v>-61.3</v>
      </c>
      <c r="J10" s="120" t="n">
        <v>-82.9</v>
      </c>
      <c r="K10" s="120" t="n">
        <f aca="false">+K11-J11</f>
        <v>19.042</v>
      </c>
      <c r="L10" s="120" t="n">
        <v>0</v>
      </c>
      <c r="M10" s="120" t="n">
        <v>0</v>
      </c>
      <c r="N10" s="120" t="n">
        <v>0</v>
      </c>
      <c r="O10" s="121" t="n">
        <v>0</v>
      </c>
    </row>
    <row r="11" customFormat="false" ht="12.75" hidden="false" customHeight="false" outlineLevel="0" collapsed="false">
      <c r="B11" s="115" t="s">
        <v>76</v>
      </c>
      <c r="C11" s="116"/>
      <c r="D11" s="122" t="n">
        <f aca="false">SUM($C10:D10)</f>
        <v>-149.726</v>
      </c>
      <c r="E11" s="122" t="n">
        <f aca="false">SUM($C10:E10)</f>
        <v>-143.867</v>
      </c>
      <c r="F11" s="122" t="n">
        <f aca="false">SUM($C10:F10)</f>
        <v>-153.667</v>
      </c>
      <c r="G11" s="122" t="n">
        <v>-149.658</v>
      </c>
      <c r="H11" s="122" t="n">
        <v>-220.1</v>
      </c>
      <c r="I11" s="122" t="n">
        <v>-281.4</v>
      </c>
      <c r="J11" s="122" t="n">
        <v>-364.3</v>
      </c>
      <c r="K11" s="122" t="n">
        <v>-345.258</v>
      </c>
      <c r="L11" s="122" t="n">
        <v>0</v>
      </c>
      <c r="M11" s="122" t="n">
        <v>0</v>
      </c>
      <c r="N11" s="122" t="n">
        <v>0</v>
      </c>
      <c r="O11" s="123" t="n">
        <v>0</v>
      </c>
    </row>
    <row r="12" customFormat="false" ht="12.75" hidden="false" customHeight="false" outlineLevel="0" collapsed="false">
      <c r="B12" s="115" t="s">
        <v>77</v>
      </c>
      <c r="C12" s="116"/>
      <c r="D12" s="120" t="n">
        <v>0.7</v>
      </c>
      <c r="E12" s="120" t="n">
        <v>0.6</v>
      </c>
      <c r="F12" s="120" t="n">
        <v>9.4</v>
      </c>
      <c r="G12" s="120" t="n">
        <v>12.9</v>
      </c>
      <c r="H12" s="120" t="n">
        <v>-0.3</v>
      </c>
      <c r="I12" s="120" t="n">
        <v>8.4</v>
      </c>
      <c r="J12" s="120" t="n">
        <v>1.1</v>
      </c>
      <c r="K12" s="120" t="n">
        <v>1</v>
      </c>
      <c r="L12" s="120" t="n">
        <v>17.3</v>
      </c>
      <c r="M12" s="120" t="n">
        <v>16.3</v>
      </c>
      <c r="N12" s="120" t="n">
        <v>4.4</v>
      </c>
      <c r="O12" s="121" t="n">
        <v>78.2</v>
      </c>
    </row>
    <row r="13" customFormat="false" ht="12.75" hidden="false" customHeight="false" outlineLevel="0" collapsed="false">
      <c r="B13" s="115" t="s">
        <v>78</v>
      </c>
      <c r="C13" s="116"/>
      <c r="D13" s="122" t="n">
        <f aca="false">SUM($C12:D12)</f>
        <v>0.7</v>
      </c>
      <c r="E13" s="122" t="n">
        <f aca="false">SUM($C12:E12)</f>
        <v>1.3</v>
      </c>
      <c r="F13" s="122" t="n">
        <f aca="false">SUM($C12:F12)</f>
        <v>10.7</v>
      </c>
      <c r="G13" s="122" t="n">
        <f aca="false">SUM($C12:G12)</f>
        <v>23.6</v>
      </c>
      <c r="H13" s="122" t="n">
        <f aca="false">SUM($C12:H12)</f>
        <v>23.3</v>
      </c>
      <c r="I13" s="122" t="n">
        <f aca="false">SUM($C12:I12)</f>
        <v>31.7</v>
      </c>
      <c r="J13" s="122" t="n">
        <f aca="false">SUM($C12:J12)</f>
        <v>32.8</v>
      </c>
      <c r="K13" s="122" t="n">
        <f aca="false">SUM($C12:K12)</f>
        <v>33.8</v>
      </c>
      <c r="L13" s="122" t="n">
        <f aca="false">SUM($C12:L12)</f>
        <v>51.1</v>
      </c>
      <c r="M13" s="122" t="n">
        <f aca="false">SUM($C12:M12)</f>
        <v>67.4</v>
      </c>
      <c r="N13" s="122" t="n">
        <f aca="false">SUM($C12:N12)</f>
        <v>71.8</v>
      </c>
      <c r="O13" s="123" t="n">
        <f aca="false">SUM($C12:O12)</f>
        <v>150</v>
      </c>
    </row>
    <row r="14" customFormat="false" ht="3" hidden="false" customHeight="true" outlineLevel="0" collapsed="false">
      <c r="B14" s="124"/>
      <c r="C14" s="125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7"/>
    </row>
    <row r="15" customFormat="false" ht="3" hidden="false" customHeight="true" outlineLevel="0" collapsed="false"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</row>
    <row r="16" customFormat="false" ht="12.75" hidden="false" customHeight="false" outlineLevel="0" collapsed="false">
      <c r="B16" s="111" t="s">
        <v>79</v>
      </c>
      <c r="C16" s="112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9"/>
    </row>
    <row r="17" customFormat="false" ht="4.5" hidden="false" customHeight="true" outlineLevel="0" collapsed="false">
      <c r="B17" s="115"/>
      <c r="C17" s="130" t="n">
        <v>1</v>
      </c>
      <c r="D17" s="131" t="n">
        <v>2</v>
      </c>
      <c r="E17" s="131" t="n">
        <v>3</v>
      </c>
      <c r="F17" s="131" t="n">
        <v>4</v>
      </c>
      <c r="G17" s="131" t="n">
        <v>5</v>
      </c>
      <c r="H17" s="131" t="n">
        <v>6</v>
      </c>
      <c r="I17" s="131" t="n">
        <v>7</v>
      </c>
      <c r="J17" s="131" t="n">
        <v>8</v>
      </c>
      <c r="K17" s="131" t="n">
        <v>9</v>
      </c>
      <c r="L17" s="131" t="n">
        <v>10</v>
      </c>
      <c r="M17" s="131" t="n">
        <v>11</v>
      </c>
      <c r="N17" s="131" t="n">
        <v>12</v>
      </c>
      <c r="O17" s="132" t="n">
        <v>13</v>
      </c>
    </row>
    <row r="18" customFormat="false" ht="12.75" hidden="false" customHeight="false" outlineLevel="0" collapsed="false">
      <c r="B18" s="115"/>
      <c r="C18" s="133" t="n">
        <v>36861</v>
      </c>
      <c r="D18" s="118" t="s">
        <v>14</v>
      </c>
      <c r="E18" s="118" t="s">
        <v>15</v>
      </c>
      <c r="F18" s="118" t="s">
        <v>16</v>
      </c>
      <c r="G18" s="118" t="s">
        <v>17</v>
      </c>
      <c r="H18" s="118" t="s">
        <v>18</v>
      </c>
      <c r="I18" s="118" t="s">
        <v>19</v>
      </c>
      <c r="J18" s="118" t="s">
        <v>20</v>
      </c>
      <c r="K18" s="118" t="s">
        <v>21</v>
      </c>
      <c r="L18" s="118" t="s">
        <v>68</v>
      </c>
      <c r="M18" s="118" t="s">
        <v>23</v>
      </c>
      <c r="N18" s="118" t="s">
        <v>24</v>
      </c>
      <c r="O18" s="119" t="s">
        <v>25</v>
      </c>
    </row>
    <row r="19" customFormat="false" ht="12.75" hidden="false" customHeight="false" outlineLevel="0" collapsed="false">
      <c r="B19" s="115" t="s">
        <v>80</v>
      </c>
      <c r="C19" s="134"/>
      <c r="D19" s="120" t="n">
        <v>-27.810244</v>
      </c>
      <c r="E19" s="120" t="n">
        <v>-22.939139</v>
      </c>
      <c r="F19" s="120" t="n">
        <v>26.415493</v>
      </c>
      <c r="G19" s="120" t="n">
        <v>0</v>
      </c>
      <c r="H19" s="120" t="n">
        <v>0</v>
      </c>
      <c r="I19" s="120" t="n">
        <v>34</v>
      </c>
      <c r="J19" s="120" t="n">
        <v>0</v>
      </c>
      <c r="K19" s="120" t="n">
        <v>0</v>
      </c>
      <c r="L19" s="120" t="n">
        <v>0</v>
      </c>
      <c r="M19" s="120" t="n">
        <v>0</v>
      </c>
      <c r="N19" s="120" t="n">
        <v>0</v>
      </c>
      <c r="O19" s="121" t="n">
        <v>0</v>
      </c>
    </row>
    <row r="20" customFormat="false" ht="12.75" hidden="false" customHeight="false" outlineLevel="0" collapsed="false">
      <c r="B20" s="115" t="s">
        <v>81</v>
      </c>
      <c r="C20" s="134"/>
      <c r="D20" s="135" t="n">
        <f aca="false">D19*12</f>
        <v>-333.722928</v>
      </c>
      <c r="E20" s="135" t="n">
        <f aca="false">E19*6</f>
        <v>-137.634834</v>
      </c>
      <c r="F20" s="135" t="n">
        <f aca="false">F19*4</f>
        <v>105.661972</v>
      </c>
      <c r="G20" s="135" t="n">
        <f aca="false">G19*3</f>
        <v>0</v>
      </c>
      <c r="H20" s="135" t="n">
        <f aca="false">H19/5*12</f>
        <v>0</v>
      </c>
      <c r="I20" s="135" t="n">
        <f aca="false">I19*2</f>
        <v>68</v>
      </c>
      <c r="J20" s="135" t="n">
        <f aca="false">J19/7*12</f>
        <v>0</v>
      </c>
      <c r="K20" s="135" t="n">
        <f aca="false">K19/8*12</f>
        <v>0</v>
      </c>
      <c r="L20" s="135" t="n">
        <f aca="false">L19/9*12</f>
        <v>0</v>
      </c>
      <c r="M20" s="135" t="n">
        <f aca="false">M19/10*12</f>
        <v>0</v>
      </c>
      <c r="N20" s="135" t="n">
        <f aca="false">N19/11*21</f>
        <v>0</v>
      </c>
      <c r="O20" s="136" t="n">
        <f aca="false">O19</f>
        <v>0</v>
      </c>
    </row>
    <row r="21" customFormat="false" ht="12.75" hidden="false" customHeight="false" outlineLevel="0" collapsed="false">
      <c r="B21" s="115" t="s">
        <v>82</v>
      </c>
      <c r="C21" s="134"/>
      <c r="D21" s="120" t="n">
        <v>-27.810244</v>
      </c>
      <c r="E21" s="120" t="n">
        <v>-22.939139</v>
      </c>
      <c r="F21" s="120" t="n">
        <v>26.415493</v>
      </c>
      <c r="G21" s="120"/>
      <c r="H21" s="120"/>
      <c r="I21" s="120" t="n">
        <v>27.2</v>
      </c>
      <c r="J21" s="120"/>
      <c r="K21" s="120"/>
      <c r="L21" s="120"/>
      <c r="M21" s="120"/>
      <c r="N21" s="120"/>
      <c r="O21" s="121"/>
    </row>
    <row r="22" customFormat="false" ht="12.75" hidden="false" customHeight="false" outlineLevel="0" collapsed="false">
      <c r="B22" s="115" t="s">
        <v>83</v>
      </c>
      <c r="C22" s="134"/>
      <c r="D22" s="135" t="n">
        <f aca="false">D21*12</f>
        <v>-333.722928</v>
      </c>
      <c r="E22" s="135" t="n">
        <f aca="false">E21*6</f>
        <v>-137.634834</v>
      </c>
      <c r="F22" s="135" t="n">
        <f aca="false">F21*4</f>
        <v>105.661972</v>
      </c>
      <c r="G22" s="135" t="n">
        <v>0</v>
      </c>
      <c r="H22" s="135" t="n">
        <v>0</v>
      </c>
      <c r="I22" s="135" t="n">
        <v>54.5</v>
      </c>
      <c r="J22" s="135" t="n">
        <v>0</v>
      </c>
      <c r="K22" s="135" t="n">
        <v>0</v>
      </c>
      <c r="L22" s="135" t="n">
        <v>0</v>
      </c>
      <c r="M22" s="135" t="n">
        <v>0</v>
      </c>
      <c r="N22" s="135" t="n">
        <v>0</v>
      </c>
      <c r="O22" s="136" t="n">
        <v>0</v>
      </c>
    </row>
    <row r="23" customFormat="false" ht="12.75" hidden="false" customHeight="false" outlineLevel="0" collapsed="false">
      <c r="B23" s="115" t="s">
        <v>84</v>
      </c>
      <c r="C23" s="137"/>
      <c r="D23" s="120" t="n">
        <v>-28.158721</v>
      </c>
      <c r="E23" s="120" t="n">
        <v>-23.701181</v>
      </c>
      <c r="F23" s="120" t="n">
        <f aca="false">F21+(0.65*2.498754)</f>
        <v>28.0396831</v>
      </c>
      <c r="G23" s="120" t="n">
        <v>0</v>
      </c>
      <c r="H23" s="120" t="n">
        <v>0</v>
      </c>
      <c r="I23" s="120" t="n">
        <v>35.6</v>
      </c>
      <c r="J23" s="120" t="n">
        <v>0</v>
      </c>
      <c r="K23" s="120" t="n">
        <v>0</v>
      </c>
      <c r="L23" s="120" t="n">
        <v>0</v>
      </c>
      <c r="M23" s="120" t="n">
        <v>0</v>
      </c>
      <c r="N23" s="120" t="n">
        <v>0</v>
      </c>
      <c r="O23" s="121" t="n">
        <v>0</v>
      </c>
    </row>
    <row r="24" customFormat="false" ht="12.75" hidden="false" customHeight="false" outlineLevel="0" collapsed="false">
      <c r="B24" s="115" t="s">
        <v>85</v>
      </c>
      <c r="C24" s="137"/>
      <c r="D24" s="135" t="n">
        <f aca="false">D23*12</f>
        <v>-337.904652</v>
      </c>
      <c r="E24" s="135" t="n">
        <f aca="false">E23*6</f>
        <v>-142.207086</v>
      </c>
      <c r="F24" s="135" t="n">
        <f aca="false">F23*4</f>
        <v>112.1587324</v>
      </c>
      <c r="G24" s="135" t="n">
        <f aca="false">G23*3</f>
        <v>0</v>
      </c>
      <c r="H24" s="135" t="n">
        <f aca="false">H23/5*12</f>
        <v>0</v>
      </c>
      <c r="I24" s="135" t="n">
        <f aca="false">I23*2</f>
        <v>71.2</v>
      </c>
      <c r="J24" s="135" t="n">
        <f aca="false">J23/7*12</f>
        <v>0</v>
      </c>
      <c r="K24" s="135" t="n">
        <f aca="false">K23/8*12</f>
        <v>0</v>
      </c>
      <c r="L24" s="135" t="n">
        <f aca="false">L23/9*12</f>
        <v>0</v>
      </c>
      <c r="M24" s="135" t="n">
        <f aca="false">M23/10*12</f>
        <v>0</v>
      </c>
      <c r="N24" s="135" t="n">
        <f aca="false">N23/11*21</f>
        <v>0</v>
      </c>
      <c r="O24" s="136" t="n">
        <f aca="false">O23</f>
        <v>0</v>
      </c>
    </row>
    <row r="25" customFormat="false" ht="12.75" hidden="false" customHeight="false" outlineLevel="0" collapsed="false">
      <c r="B25" s="115" t="s">
        <v>86</v>
      </c>
      <c r="C25" s="0"/>
      <c r="D25" s="120" t="n">
        <f aca="false">(1133565/1000)</f>
        <v>1133.565</v>
      </c>
      <c r="E25" s="120" t="n">
        <f aca="false">(687761/1000)</f>
        <v>687.761</v>
      </c>
      <c r="F25" s="120" t="n">
        <f aca="false">(985129)/1000</f>
        <v>985.129</v>
      </c>
      <c r="G25" s="120" t="n">
        <v>1094.5</v>
      </c>
      <c r="H25" s="120" t="n">
        <v>1180.695738</v>
      </c>
      <c r="I25" s="120" t="n">
        <v>1251</v>
      </c>
      <c r="J25" s="120" t="n">
        <v>1094.253</v>
      </c>
      <c r="K25" s="120" t="n">
        <v>1116.799</v>
      </c>
      <c r="L25" s="120"/>
      <c r="M25" s="120"/>
      <c r="N25" s="120"/>
      <c r="O25" s="121"/>
    </row>
    <row r="26" customFormat="false" ht="12.75" hidden="false" customHeight="false" outlineLevel="0" collapsed="false">
      <c r="B26" s="115" t="s">
        <v>87</v>
      </c>
      <c r="C26" s="0"/>
      <c r="D26" s="122" t="n">
        <f aca="false">0.5*D$25</f>
        <v>566.7825</v>
      </c>
      <c r="E26" s="122" t="n">
        <f aca="false">0.5*E$25</f>
        <v>343.8805</v>
      </c>
      <c r="F26" s="122" t="n">
        <f aca="false">0.5*F$25</f>
        <v>492.5645</v>
      </c>
      <c r="G26" s="122" t="n">
        <f aca="false">0.5*G$25</f>
        <v>547.25</v>
      </c>
      <c r="H26" s="122" t="n">
        <f aca="false">0.5*H$25</f>
        <v>590.347869</v>
      </c>
      <c r="I26" s="122" t="n">
        <f aca="false">0.5*I$25</f>
        <v>625.5</v>
      </c>
      <c r="J26" s="135" t="n">
        <f aca="false">0.5*J$25</f>
        <v>547.1265</v>
      </c>
      <c r="K26" s="135" t="n">
        <f aca="false">0.5*K$25</f>
        <v>558.3995</v>
      </c>
      <c r="L26" s="135" t="n">
        <f aca="false">0.5*L$25</f>
        <v>0</v>
      </c>
      <c r="M26" s="135" t="n">
        <f aca="false">0.5*M$25</f>
        <v>0</v>
      </c>
      <c r="N26" s="135" t="n">
        <f aca="false">0.5*N$25</f>
        <v>0</v>
      </c>
      <c r="O26" s="136" t="n">
        <f aca="false">0.5*O$25</f>
        <v>0</v>
      </c>
    </row>
    <row r="27" customFormat="false" ht="12.75" hidden="false" customHeight="false" outlineLevel="0" collapsed="false">
      <c r="B27" s="115" t="s">
        <v>88</v>
      </c>
      <c r="C27" s="0"/>
      <c r="D27" s="122" t="n">
        <f aca="false">0.5*D$25</f>
        <v>566.7825</v>
      </c>
      <c r="E27" s="122" t="n">
        <f aca="false">0.5*E$25</f>
        <v>343.8805</v>
      </c>
      <c r="F27" s="122" t="n">
        <f aca="false">0.5*F$25</f>
        <v>492.5645</v>
      </c>
      <c r="G27" s="122" t="n">
        <f aca="false">0.5*G$25</f>
        <v>547.25</v>
      </c>
      <c r="H27" s="122" t="n">
        <f aca="false">0.5*H$25</f>
        <v>590.347869</v>
      </c>
      <c r="I27" s="122" t="n">
        <f aca="false">0.5*I$25</f>
        <v>625.5</v>
      </c>
      <c r="J27" s="135" t="n">
        <f aca="false">0.5*J$25</f>
        <v>547.1265</v>
      </c>
      <c r="K27" s="135" t="n">
        <f aca="false">0.5*K$25</f>
        <v>558.3995</v>
      </c>
      <c r="L27" s="135" t="n">
        <f aca="false">0.5*L$25</f>
        <v>0</v>
      </c>
      <c r="M27" s="135" t="n">
        <f aca="false">0.5*M$25</f>
        <v>0</v>
      </c>
      <c r="N27" s="135" t="n">
        <f aca="false">0.5*N$25</f>
        <v>0</v>
      </c>
      <c r="O27" s="136" t="n">
        <f aca="false">0.5*O$25</f>
        <v>0</v>
      </c>
    </row>
    <row r="28" customFormat="false" ht="12.75" hidden="false" customHeight="false" outlineLevel="0" collapsed="false">
      <c r="B28" s="115" t="s">
        <v>89</v>
      </c>
      <c r="C28" s="138" t="n">
        <v>958</v>
      </c>
      <c r="D28" s="122" t="n">
        <f aca="false">SUM($C$28,$D25:D25)/D17</f>
        <v>1045.7825</v>
      </c>
      <c r="E28" s="122" t="n">
        <f aca="false">SUM($C$28,$D25:E25)/E17</f>
        <v>926.442</v>
      </c>
      <c r="F28" s="122" t="n">
        <f aca="false">SUM($C$28,$D25:F25)/F17</f>
        <v>941.11375</v>
      </c>
      <c r="G28" s="122" t="n">
        <f aca="false">SUM($C$28,$D25:G25)/G17</f>
        <v>971.791</v>
      </c>
      <c r="H28" s="122" t="n">
        <f aca="false">SUM($C$28,$D25:H25)/H17</f>
        <v>1006.60845633333</v>
      </c>
      <c r="I28" s="122" t="n">
        <f aca="false">SUM($C$28,$D25:I25)/I17</f>
        <v>1041.521534</v>
      </c>
      <c r="J28" s="135" t="n">
        <f aca="false">0.5*J$25</f>
        <v>547.1265</v>
      </c>
      <c r="K28" s="135" t="n">
        <f aca="false">0.5*K$25</f>
        <v>558.3995</v>
      </c>
      <c r="L28" s="135" t="n">
        <f aca="false">0.5*L$25</f>
        <v>0</v>
      </c>
      <c r="M28" s="135" t="n">
        <f aca="false">0.5*M$25</f>
        <v>0</v>
      </c>
      <c r="N28" s="135" t="n">
        <f aca="false">0.5*N$25</f>
        <v>0</v>
      </c>
      <c r="O28" s="136" t="n">
        <f aca="false">0.5*O$25</f>
        <v>0</v>
      </c>
    </row>
    <row r="29" customFormat="false" ht="12.75" hidden="false" customHeight="false" outlineLevel="0" collapsed="false">
      <c r="B29" s="115" t="s">
        <v>90</v>
      </c>
      <c r="C29" s="137" t="n">
        <f aca="false">C28*0.5</f>
        <v>479</v>
      </c>
      <c r="D29" s="137" t="n">
        <f aca="false">D28*0.5</f>
        <v>522.89125</v>
      </c>
      <c r="E29" s="137" t="n">
        <f aca="false">E28*0.5</f>
        <v>463.221</v>
      </c>
      <c r="F29" s="137" t="n">
        <f aca="false">F28*0.5</f>
        <v>470.556875</v>
      </c>
      <c r="G29" s="135" t="n">
        <f aca="false">G28*0.5</f>
        <v>485.8955</v>
      </c>
      <c r="H29" s="135" t="n">
        <f aca="false">H28*0.5</f>
        <v>503.304228166667</v>
      </c>
      <c r="I29" s="139" t="n">
        <f aca="false">I28*0.5</f>
        <v>520.760767</v>
      </c>
      <c r="J29" s="135" t="n">
        <f aca="false">J28*0.5</f>
        <v>273.56325</v>
      </c>
      <c r="K29" s="135" t="n">
        <f aca="false">K28*0.5</f>
        <v>279.19975</v>
      </c>
      <c r="L29" s="135" t="n">
        <f aca="false">L28*0.5</f>
        <v>0</v>
      </c>
      <c r="M29" s="135" t="n">
        <f aca="false">M28*0.5</f>
        <v>0</v>
      </c>
      <c r="N29" s="135" t="n">
        <f aca="false">N28*0.5</f>
        <v>0</v>
      </c>
      <c r="O29" s="136" t="n">
        <f aca="false">O28*0.5</f>
        <v>0</v>
      </c>
    </row>
    <row r="30" customFormat="false" ht="12.75" hidden="false" customHeight="false" outlineLevel="0" collapsed="false">
      <c r="B30" s="115" t="s">
        <v>91</v>
      </c>
      <c r="C30" s="137"/>
      <c r="D30" s="120" t="n">
        <f aca="false">D25-281+37</f>
        <v>889.565</v>
      </c>
      <c r="E30" s="120" t="n">
        <f aca="false">E25-281+37</f>
        <v>443.761</v>
      </c>
      <c r="F30" s="120" t="n">
        <f aca="false">F25-281+37</f>
        <v>741.129</v>
      </c>
      <c r="G30" s="120" t="n">
        <v>850.5</v>
      </c>
      <c r="H30" s="120" t="n">
        <f aca="false">G30</f>
        <v>850.5</v>
      </c>
      <c r="I30" s="120" t="n">
        <f aca="false">H30</f>
        <v>850.5</v>
      </c>
      <c r="J30" s="120" t="n">
        <f aca="false">I30</f>
        <v>850.5</v>
      </c>
      <c r="K30" s="120" t="n">
        <f aca="false">J30</f>
        <v>850.5</v>
      </c>
      <c r="L30" s="120" t="n">
        <f aca="false">K30</f>
        <v>850.5</v>
      </c>
      <c r="M30" s="120" t="n">
        <f aca="false">L30</f>
        <v>850.5</v>
      </c>
      <c r="N30" s="120" t="n">
        <f aca="false">M30</f>
        <v>850.5</v>
      </c>
      <c r="O30" s="121" t="n">
        <f aca="false">N30</f>
        <v>850.5</v>
      </c>
    </row>
    <row r="31" customFormat="false" ht="12.75" hidden="false" customHeight="false" outlineLevel="0" collapsed="false">
      <c r="B31" s="115" t="s">
        <v>92</v>
      </c>
      <c r="C31" s="122" t="n">
        <v>714</v>
      </c>
      <c r="D31" s="122" t="n">
        <f aca="false">SUM($C$31,$D30:D30)/D17</f>
        <v>801.7825</v>
      </c>
      <c r="E31" s="122" t="n">
        <f aca="false">SUM($C$31,$D30:E30)/E17</f>
        <v>682.442</v>
      </c>
      <c r="F31" s="122" t="n">
        <f aca="false">SUM($C$31,$D30:F30)/F17</f>
        <v>697.11375</v>
      </c>
      <c r="G31" s="122" t="n">
        <f aca="false">SUM($C$31,$D30:G30)/G17</f>
        <v>727.791</v>
      </c>
      <c r="H31" s="122" t="n">
        <f aca="false">SUM($C$31,$D30:H30)/H17</f>
        <v>748.2425</v>
      </c>
      <c r="I31" s="122" t="n">
        <f aca="false">SUM($C$31,$D30:I30)/I17</f>
        <v>762.850714285714</v>
      </c>
      <c r="J31" s="120" t="n">
        <f aca="false">I31</f>
        <v>762.850714285714</v>
      </c>
      <c r="K31" s="120" t="n">
        <f aca="false">J31</f>
        <v>762.850714285714</v>
      </c>
      <c r="L31" s="120" t="n">
        <f aca="false">K31</f>
        <v>762.850714285714</v>
      </c>
      <c r="M31" s="120" t="n">
        <f aca="false">L31</f>
        <v>762.850714285714</v>
      </c>
      <c r="N31" s="120" t="n">
        <f aca="false">M31</f>
        <v>762.850714285714</v>
      </c>
      <c r="O31" s="121" t="n">
        <f aca="false">N31</f>
        <v>762.850714285714</v>
      </c>
    </row>
    <row r="32" customFormat="false" ht="12.75" hidden="false" customHeight="false" outlineLevel="0" collapsed="false">
      <c r="B32" s="115"/>
      <c r="C32" s="137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3"/>
    </row>
    <row r="33" customFormat="false" ht="12.75" hidden="false" customHeight="false" outlineLevel="0" collapsed="false">
      <c r="B33" s="115" t="s">
        <v>93</v>
      </c>
      <c r="C33" s="137"/>
      <c r="D33" s="140" t="n">
        <f aca="false">IF(D24=0,"-",D24/D28)</f>
        <v>-0.323111786628673</v>
      </c>
      <c r="E33" s="140" t="n">
        <f aca="false">IF(E24=0,"-",E24/E28)</f>
        <v>-0.153498099179441</v>
      </c>
      <c r="F33" s="140" t="n">
        <f aca="false">IF(F24=0,"-",F24/F28)</f>
        <v>0.119176595177788</v>
      </c>
      <c r="G33" s="140" t="str">
        <f aca="false">IF(G23=0,"-",G23/G31)</f>
        <v>-</v>
      </c>
      <c r="H33" s="140" t="str">
        <f aca="false">IF(H23=0,"-",H23/H31)</f>
        <v>-</v>
      </c>
      <c r="I33" s="140" t="n">
        <f aca="false">IF(I24=0,"-",I24/I28)</f>
        <v>0.0683615246307524</v>
      </c>
      <c r="J33" s="140" t="str">
        <f aca="false">IF(J23=0,"-",J23/J31)</f>
        <v>-</v>
      </c>
      <c r="K33" s="140" t="str">
        <f aca="false">IF(K23=0,"-",K23/K31)</f>
        <v>-</v>
      </c>
      <c r="L33" s="140" t="str">
        <f aca="false">IF(L23=0,"-",L23/L31)</f>
        <v>-</v>
      </c>
      <c r="M33" s="140" t="str">
        <f aca="false">IF(M23=0,"-",M23/M31)</f>
        <v>-</v>
      </c>
      <c r="N33" s="140" t="str">
        <f aca="false">IF(N23=0,"-",N23/N31)</f>
        <v>-</v>
      </c>
      <c r="O33" s="141" t="str">
        <f aca="false">IF(O23=0,"-",O23/O31)</f>
        <v>-</v>
      </c>
    </row>
    <row r="34" customFormat="false" ht="12.75" hidden="false" customHeight="false" outlineLevel="0" collapsed="false">
      <c r="B34" s="115" t="s">
        <v>94</v>
      </c>
      <c r="C34" s="137"/>
      <c r="D34" s="142" t="n">
        <f aca="false">$I$33</f>
        <v>0.0683615246307524</v>
      </c>
      <c r="E34" s="142" t="n">
        <f aca="false">$I$33</f>
        <v>0.0683615246307524</v>
      </c>
      <c r="F34" s="142" t="n">
        <f aca="false">$I$33</f>
        <v>0.0683615246307524</v>
      </c>
      <c r="G34" s="142" t="n">
        <f aca="false">$I$33</f>
        <v>0.0683615246307524</v>
      </c>
      <c r="H34" s="142" t="n">
        <f aca="false">$I$33</f>
        <v>0.0683615246307524</v>
      </c>
      <c r="I34" s="142" t="n">
        <f aca="false">$I$33</f>
        <v>0.0683615246307524</v>
      </c>
      <c r="J34" s="142" t="n">
        <f aca="false">$I$33</f>
        <v>0.0683615246307524</v>
      </c>
      <c r="K34" s="142" t="n">
        <f aca="false">$I$33</f>
        <v>0.0683615246307524</v>
      </c>
      <c r="L34" s="142" t="n">
        <f aca="false">$I$33</f>
        <v>0.0683615246307524</v>
      </c>
      <c r="M34" s="142" t="n">
        <f aca="false">$I$33</f>
        <v>0.0683615246307524</v>
      </c>
      <c r="N34" s="142" t="n">
        <f aca="false">$I$33</f>
        <v>0.0683615246307524</v>
      </c>
      <c r="O34" s="143" t="n">
        <f aca="false">$I$33</f>
        <v>0.0683615246307524</v>
      </c>
    </row>
    <row r="35" customFormat="false" ht="12.75" hidden="false" customHeight="false" outlineLevel="0" collapsed="false">
      <c r="B35" s="115"/>
      <c r="C35" s="137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3"/>
    </row>
    <row r="36" customFormat="false" ht="12.75" hidden="false" customHeight="false" outlineLevel="0" collapsed="false">
      <c r="B36" s="115" t="s">
        <v>95</v>
      </c>
      <c r="C36" s="137"/>
      <c r="D36" s="140" t="n">
        <f aca="false">IF(D29=0,"-",D22/D29)</f>
        <v>-0.638226262152981</v>
      </c>
      <c r="E36" s="140" t="n">
        <f aca="false">IF(E29=0,"-",E22/E29)</f>
        <v>-0.2971256354958</v>
      </c>
      <c r="F36" s="140" t="n">
        <f aca="false">IF(F29=0,"-",F22/F29)</f>
        <v>0.224546654429393</v>
      </c>
      <c r="G36" s="140" t="n">
        <f aca="false">IF(G29=0,"-",G20/G29)</f>
        <v>0</v>
      </c>
      <c r="H36" s="140" t="n">
        <f aca="false">IF(H29=0,"-",H20/H29)</f>
        <v>0</v>
      </c>
      <c r="I36" s="140" t="n">
        <f aca="false">IF(I22=0,"-",I22/I29)</f>
        <v>0.104654581246517</v>
      </c>
      <c r="J36" s="140" t="n">
        <f aca="false">IF(J29=0,"-",J20/J29)</f>
        <v>0</v>
      </c>
      <c r="K36" s="140" t="n">
        <f aca="false">IF(K29=0,"-",K20/K29)</f>
        <v>0</v>
      </c>
      <c r="L36" s="140" t="str">
        <f aca="false">IF(L29=0,"-",L20/L29)</f>
        <v>-</v>
      </c>
      <c r="M36" s="140" t="str">
        <f aca="false">IF(M29=0,"-",M20/M29)</f>
        <v>-</v>
      </c>
      <c r="N36" s="140" t="str">
        <f aca="false">IF(N29=0,"-",N20/N29)</f>
        <v>-</v>
      </c>
      <c r="O36" s="141" t="str">
        <f aca="false">IF(O29=0,"-",O20/O29)</f>
        <v>-</v>
      </c>
    </row>
    <row r="37" customFormat="false" ht="13.5" hidden="false" customHeight="false" outlineLevel="0" collapsed="false">
      <c r="B37" s="124" t="s">
        <v>96</v>
      </c>
      <c r="C37" s="126"/>
      <c r="D37" s="144" t="n">
        <f aca="false">$I$36</f>
        <v>0.104654581246517</v>
      </c>
      <c r="E37" s="144" t="n">
        <f aca="false">$I$36</f>
        <v>0.104654581246517</v>
      </c>
      <c r="F37" s="144" t="n">
        <f aca="false">$I$36</f>
        <v>0.104654581246517</v>
      </c>
      <c r="G37" s="144" t="n">
        <f aca="false">$I$36</f>
        <v>0.104654581246517</v>
      </c>
      <c r="H37" s="144" t="n">
        <f aca="false">$I$36</f>
        <v>0.104654581246517</v>
      </c>
      <c r="I37" s="144" t="n">
        <f aca="false">$I$36</f>
        <v>0.104654581246517</v>
      </c>
      <c r="J37" s="144" t="n">
        <f aca="false">$I$36</f>
        <v>0.104654581246517</v>
      </c>
      <c r="K37" s="144" t="n">
        <f aca="false">$I$36</f>
        <v>0.104654581246517</v>
      </c>
      <c r="L37" s="144" t="n">
        <f aca="false">$I$36</f>
        <v>0.104654581246517</v>
      </c>
      <c r="M37" s="144" t="n">
        <f aca="false">$I$36</f>
        <v>0.104654581246517</v>
      </c>
      <c r="N37" s="144" t="n">
        <f aca="false">$I$36</f>
        <v>0.104654581246517</v>
      </c>
      <c r="O37" s="145" t="n">
        <f aca="false">$I$36</f>
        <v>0.104654581246517</v>
      </c>
    </row>
    <row r="38" customFormat="false" ht="12.75" hidden="false" customHeight="false" outlineLevel="0" collapsed="false"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</row>
  </sheetData>
  <printOptions headings="false" gridLines="false" gridLinesSet="true" horizontalCentered="false" verticalCentered="false"/>
  <pageMargins left="0.279861111111111" right="0.290277777777778" top="0.340277777777778" bottom="0.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49" t="s">
        <v>99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4" activeCellId="0" sqref="P1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49" t="s">
        <v>99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47"/>
      <c r="B2" s="147"/>
      <c r="C2" s="147"/>
      <c r="D2" s="147"/>
      <c r="E2" s="147"/>
      <c r="F2" s="147"/>
      <c r="G2" s="147"/>
      <c r="H2" s="147" t="s">
        <v>13</v>
      </c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49" t="s">
        <v>99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50" t="s">
        <v>100</v>
      </c>
      <c r="B2" s="147"/>
      <c r="C2" s="147"/>
      <c r="D2" s="147"/>
      <c r="E2" s="147"/>
      <c r="F2" s="147"/>
      <c r="G2" s="147"/>
      <c r="H2" s="147" t="s">
        <v>13</v>
      </c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</sheetData>
  <mergeCells count="1">
    <mergeCell ref="A1:O1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H3" activeCellId="0" sqref="H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47"/>
      <c r="B2" s="147"/>
      <c r="C2" s="147"/>
      <c r="D2" s="147"/>
      <c r="E2" s="147"/>
      <c r="F2" s="147"/>
      <c r="G2" s="147"/>
      <c r="H2" s="147" t="s">
        <v>101</v>
      </c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49" t="s">
        <v>99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</sheetData>
  <mergeCells count="2">
    <mergeCell ref="A1:O1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H24" activeCellId="0" sqref="H2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47" t="s">
        <v>43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8" t="s">
        <v>102</v>
      </c>
    </row>
    <row r="3" customFormat="false" ht="12.75" hidden="false" customHeight="false" outlineLevel="0" collapsed="false">
      <c r="A3" s="149" t="s">
        <v>99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</sheetData>
  <mergeCells count="3">
    <mergeCell ref="A1:O1"/>
    <mergeCell ref="A2:N2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2000-08-25T13:23:29Z</dcterms:created>
  <dc:creator>Patricia Anderson</dc:creator>
  <dc:description/>
  <dc:language>en-US</dc:language>
  <cp:lastModifiedBy>agreen3</cp:lastModifiedBy>
  <cp:lastPrinted>2001-10-15T10:29:15Z</cp:lastPrinted>
  <dcterms:modified xsi:type="dcterms:W3CDTF">2001-10-22T10:52:16Z</dcterms:modified>
  <cp:revision>0</cp:revision>
  <dc:subject/>
  <dc:title/>
</cp:coreProperties>
</file>